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dataset" sheetId="1" r:id="rId4"/>
    <sheet state="visible" name="driver_dataset" sheetId="2" r:id="rId5"/>
    <sheet state="visible" name="delivery_dataset" sheetId="3" r:id="rId6"/>
    <sheet state="visible" name="delivery_Cleaning" sheetId="4" r:id="rId7"/>
    <sheet state="visible" name="delivery_cleaned" sheetId="5" r:id="rId8"/>
    <sheet state="visible" name="delivery status &amp; cost analysis" sheetId="6" r:id="rId9"/>
    <sheet state="visible" name="delivery cost advanced" sheetId="7" r:id="rId10"/>
    <sheet state="visible" name="driver performance analysis" sheetId="8" r:id="rId11"/>
    <sheet state="visible" name="delivery time analysis" sheetId="9" r:id="rId12"/>
  </sheets>
  <definedNames/>
  <calcPr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</pivotCaches>
</workbook>
</file>

<file path=xl/sharedStrings.xml><?xml version="1.0" encoding="utf-8"?>
<sst xmlns="http://schemas.openxmlformats.org/spreadsheetml/2006/main" count="13327" uniqueCount="3771">
  <si>
    <t>cust_id</t>
  </si>
  <si>
    <t>cust_name</t>
  </si>
  <si>
    <t>cust_email</t>
  </si>
  <si>
    <t>cust_contact</t>
  </si>
  <si>
    <t>cust_address</t>
  </si>
  <si>
    <t>cust_zipcode</t>
  </si>
  <si>
    <t>c847mi92</t>
  </si>
  <si>
    <t>Sheri</t>
  </si>
  <si>
    <t>sricco0@unblog.fr</t>
  </si>
  <si>
    <t>7724 Corry Point</t>
  </si>
  <si>
    <t>c390yi69</t>
  </si>
  <si>
    <t>Theressa</t>
  </si>
  <si>
    <t>ttuck1@wired.com</t>
  </si>
  <si>
    <t>277 Londonderry Way</t>
  </si>
  <si>
    <t>c721xg81</t>
  </si>
  <si>
    <t>Any</t>
  </si>
  <si>
    <t>adufour2@indiatimes.com</t>
  </si>
  <si>
    <t>31474 Badeau Center</t>
  </si>
  <si>
    <t>c256kj14</t>
  </si>
  <si>
    <t>Mamie</t>
  </si>
  <si>
    <t>mcullrford3@arstechnica.com</t>
  </si>
  <si>
    <t>55131 Sauthoff Parkway</t>
  </si>
  <si>
    <t>c482x974</t>
  </si>
  <si>
    <t>Brear</t>
  </si>
  <si>
    <t>bantognetti4@google.co.jp</t>
  </si>
  <si>
    <t>177 Arapahoe Road</t>
  </si>
  <si>
    <t>c559id63</t>
  </si>
  <si>
    <t>Reinhard</t>
  </si>
  <si>
    <t>rlankford5@clickbank.net</t>
  </si>
  <si>
    <t>6 Anthes Street</t>
  </si>
  <si>
    <t>c821w597</t>
  </si>
  <si>
    <t>Finley</t>
  </si>
  <si>
    <t>flansberry6@indiatimes.com</t>
  </si>
  <si>
    <t>21 Dixon Park</t>
  </si>
  <si>
    <t>c762ax51</t>
  </si>
  <si>
    <t>Jacqueline</t>
  </si>
  <si>
    <t>jetty7@qq.com</t>
  </si>
  <si>
    <t>1448 Hermina Crossing</t>
  </si>
  <si>
    <t>c563ef66</t>
  </si>
  <si>
    <t>Valle</t>
  </si>
  <si>
    <t>vmctague8@dell.com</t>
  </si>
  <si>
    <t>3 Aberg Drive</t>
  </si>
  <si>
    <t>c8815z16</t>
  </si>
  <si>
    <t>Gae</t>
  </si>
  <si>
    <t>goconor9@free.fr</t>
  </si>
  <si>
    <t>605 Superior Alley</t>
  </si>
  <si>
    <t>c2972z51</t>
  </si>
  <si>
    <t>Cosimo</t>
  </si>
  <si>
    <t>cbordisa@fc2.com</t>
  </si>
  <si>
    <t>9508 Golf Course Center</t>
  </si>
  <si>
    <t>c138cs24</t>
  </si>
  <si>
    <t>Loleta</t>
  </si>
  <si>
    <t>ldebernardisb@wp.com</t>
  </si>
  <si>
    <t>54 Iowa Avenue</t>
  </si>
  <si>
    <t>c785s954</t>
  </si>
  <si>
    <t>Upton</t>
  </si>
  <si>
    <t>uberceveloc@jigsy.com</t>
  </si>
  <si>
    <t>26810 Spohn Hill</t>
  </si>
  <si>
    <t>c254l910</t>
  </si>
  <si>
    <t>Dasha</t>
  </si>
  <si>
    <t>dgellingd@tinyurl.com</t>
  </si>
  <si>
    <t>3948 Harper Crossing</t>
  </si>
  <si>
    <t>c724z231</t>
  </si>
  <si>
    <t>Timmy</t>
  </si>
  <si>
    <t>tzuckere@blinklist.com</t>
  </si>
  <si>
    <t>84 Lake View Parkway</t>
  </si>
  <si>
    <t>c0481w73</t>
  </si>
  <si>
    <t>Brandie</t>
  </si>
  <si>
    <t>bhrachovecf@craigslist.org</t>
  </si>
  <si>
    <t>79 Welch Road</t>
  </si>
  <si>
    <t>c625o271</t>
  </si>
  <si>
    <t>Noel</t>
  </si>
  <si>
    <t>nferrareseg@lulu.com</t>
  </si>
  <si>
    <t>3 Lakewood Gardens Alley</t>
  </si>
  <si>
    <t>c344s738</t>
  </si>
  <si>
    <t>Brigid</t>
  </si>
  <si>
    <t>bmedgewickh@narod.ru</t>
  </si>
  <si>
    <t>47 Comanche Crossing</t>
  </si>
  <si>
    <t>c886bo00</t>
  </si>
  <si>
    <t>Benita</t>
  </si>
  <si>
    <t>bdurnalli@mtv.com</t>
  </si>
  <si>
    <t>57063 Cody Center</t>
  </si>
  <si>
    <t>c574l710</t>
  </si>
  <si>
    <t>Dyanna</t>
  </si>
  <si>
    <t>ddebiasij@amazon.de</t>
  </si>
  <si>
    <t>5581 Schmedeman Point</t>
  </si>
  <si>
    <t>c7781558</t>
  </si>
  <si>
    <t>Wakefield</t>
  </si>
  <si>
    <t>wstuehmeierk@usda.gov</t>
  </si>
  <si>
    <t>09944 Northview Point</t>
  </si>
  <si>
    <t>c107gf67</t>
  </si>
  <si>
    <t>Porty</t>
  </si>
  <si>
    <t>pogreadyl@gravatar.com</t>
  </si>
  <si>
    <t>7301 Doe Crossing Place</t>
  </si>
  <si>
    <t>c886ic20</t>
  </si>
  <si>
    <t>Courtenay</t>
  </si>
  <si>
    <t>ctrankm@yahoo.co.jp</t>
  </si>
  <si>
    <t>6 Kedzie Street</t>
  </si>
  <si>
    <t>c984r700</t>
  </si>
  <si>
    <t>Marcelia</t>
  </si>
  <si>
    <t>mcolbornn@wiley.com</t>
  </si>
  <si>
    <t>40 Lien Road</t>
  </si>
  <si>
    <t>c616p675</t>
  </si>
  <si>
    <t>Wadsworth</t>
  </si>
  <si>
    <t>wstansburyo@webnode.com</t>
  </si>
  <si>
    <t>2 Granby Lane</t>
  </si>
  <si>
    <t>c315i662</t>
  </si>
  <si>
    <t>Janessa</t>
  </si>
  <si>
    <t>jandricp@unc.edu</t>
  </si>
  <si>
    <t>71 Lakewood Park</t>
  </si>
  <si>
    <t>c478ve53</t>
  </si>
  <si>
    <t>Decca</t>
  </si>
  <si>
    <t>dlavellq@slate.com</t>
  </si>
  <si>
    <t>7 Union Lane</t>
  </si>
  <si>
    <t>c886ja45</t>
  </si>
  <si>
    <t>Lonna</t>
  </si>
  <si>
    <t>lwynner@shareasale.com</t>
  </si>
  <si>
    <t>655 Northport Plaza</t>
  </si>
  <si>
    <t>c0839u69</t>
  </si>
  <si>
    <t>Margeaux</t>
  </si>
  <si>
    <t>mcolcutts@wsj.com</t>
  </si>
  <si>
    <t>031 Kim Center</t>
  </si>
  <si>
    <t>c977n270</t>
  </si>
  <si>
    <t>Berne</t>
  </si>
  <si>
    <t>bratledget@example.com</t>
  </si>
  <si>
    <t>22 Carioca Point</t>
  </si>
  <si>
    <t>c996dw39</t>
  </si>
  <si>
    <t>Bea</t>
  </si>
  <si>
    <t>bfranceschinou@blog.com</t>
  </si>
  <si>
    <t>6 Thompson Parkway</t>
  </si>
  <si>
    <t>c055q874</t>
  </si>
  <si>
    <t>Silva</t>
  </si>
  <si>
    <t>scuppleditchv@soup.io</t>
  </si>
  <si>
    <t>39752 Algoma Center</t>
  </si>
  <si>
    <t>c228c473</t>
  </si>
  <si>
    <t>Teirtza</t>
  </si>
  <si>
    <t>tkinsetw@chicagotribune.com</t>
  </si>
  <si>
    <t>8135 Buena Vista Pass</t>
  </si>
  <si>
    <t>c490w599</t>
  </si>
  <si>
    <t>Martie</t>
  </si>
  <si>
    <t>mlewsonx@stanford.edu</t>
  </si>
  <si>
    <t>2 High Crossing Circle</t>
  </si>
  <si>
    <t>c572w366</t>
  </si>
  <si>
    <t>Mauricio</t>
  </si>
  <si>
    <t>mlloydsy@skyrock.com</t>
  </si>
  <si>
    <t>597 Stoughton Point</t>
  </si>
  <si>
    <t>c011gz48</t>
  </si>
  <si>
    <t>Ainslee</t>
  </si>
  <si>
    <t>aramosz@live.com</t>
  </si>
  <si>
    <t>70737 Jenifer Center</t>
  </si>
  <si>
    <t>c4576g03</t>
  </si>
  <si>
    <t>Vaughn</t>
  </si>
  <si>
    <t>vrattry10@jiathis.com</t>
  </si>
  <si>
    <t>16828 Straubel Court</t>
  </si>
  <si>
    <t>c1000477</t>
  </si>
  <si>
    <t>Vittorio</t>
  </si>
  <si>
    <t>vyakovich11@marketwatch.com</t>
  </si>
  <si>
    <t>7 Schiller Court</t>
  </si>
  <si>
    <t>c488rh35</t>
  </si>
  <si>
    <t>Greer</t>
  </si>
  <si>
    <t>gmickan12@xrea.com</t>
  </si>
  <si>
    <t>19 Brentwood Lane</t>
  </si>
  <si>
    <t>c409t397</t>
  </si>
  <si>
    <t>Marleah</t>
  </si>
  <si>
    <t>mtullot13@instagram.com</t>
  </si>
  <si>
    <t>42345 Novick Road</t>
  </si>
  <si>
    <t>c241a854</t>
  </si>
  <si>
    <t>Samaria</t>
  </si>
  <si>
    <t>sfiddyment14@china.com.cn</t>
  </si>
  <si>
    <t>4 Graedel Terrace</t>
  </si>
  <si>
    <t>c930rp80</t>
  </si>
  <si>
    <t>Fredelia</t>
  </si>
  <si>
    <t>fcuffley15@hexun.com</t>
  </si>
  <si>
    <t>6672 Muir Parkway</t>
  </si>
  <si>
    <t>c790lf75</t>
  </si>
  <si>
    <t>Web</t>
  </si>
  <si>
    <t>wgumery16@umn.edu</t>
  </si>
  <si>
    <t>2 Dakota Road</t>
  </si>
  <si>
    <t>c792ow37</t>
  </si>
  <si>
    <t>Petunia</t>
  </si>
  <si>
    <t>pbexon17@sbwire.com</t>
  </si>
  <si>
    <t>92 Carey Park</t>
  </si>
  <si>
    <t>c996qz93</t>
  </si>
  <si>
    <t>Baillie</t>
  </si>
  <si>
    <t>bfawlo18@princeton.edu</t>
  </si>
  <si>
    <t>34 Pierstorff Alley</t>
  </si>
  <si>
    <t>c560dj35</t>
  </si>
  <si>
    <t>Iorgos</t>
  </si>
  <si>
    <t>iescofier19@cdc.gov</t>
  </si>
  <si>
    <t>298 Alpine Road</t>
  </si>
  <si>
    <t>c6019h35</t>
  </si>
  <si>
    <t>Lamar</t>
  </si>
  <si>
    <t>llabba1a@blogtalkradio.com</t>
  </si>
  <si>
    <t>1 Portage Center</t>
  </si>
  <si>
    <t>c793ku44</t>
  </si>
  <si>
    <t>Milt</t>
  </si>
  <si>
    <t>mmaase1b@ow.ly</t>
  </si>
  <si>
    <t>26485 Fairview Point</t>
  </si>
  <si>
    <t>c004zx71</t>
  </si>
  <si>
    <t>Consuela</t>
  </si>
  <si>
    <t>cpenny1c@meetup.com</t>
  </si>
  <si>
    <t>768 Debs Terrace</t>
  </si>
  <si>
    <t>c829xu75</t>
  </si>
  <si>
    <t>Dave</t>
  </si>
  <si>
    <t>dgoodger1d@google.co.jp</t>
  </si>
  <si>
    <t>4872 Green Ridge Lane</t>
  </si>
  <si>
    <t>c4407o80</t>
  </si>
  <si>
    <t>Tyler</t>
  </si>
  <si>
    <t>tcalbert1e@tinyurl.com</t>
  </si>
  <si>
    <t>0510 Rusk Plaza</t>
  </si>
  <si>
    <t>c6936459</t>
  </si>
  <si>
    <t>Stanislaw</t>
  </si>
  <si>
    <t>smalyj1f@privacy.gov.au</t>
  </si>
  <si>
    <t>0249 Charing Cross Street</t>
  </si>
  <si>
    <t>c642g158</t>
  </si>
  <si>
    <t>Kerstin</t>
  </si>
  <si>
    <t>kcawston1g@blog.com</t>
  </si>
  <si>
    <t>058 Melby Road</t>
  </si>
  <si>
    <t>c459y436</t>
  </si>
  <si>
    <t>Vicki</t>
  </si>
  <si>
    <t>vedwardson1h@hexun.com</t>
  </si>
  <si>
    <t>0 Dunning Pass</t>
  </si>
  <si>
    <t>c4294z76</t>
  </si>
  <si>
    <t>Antonia</t>
  </si>
  <si>
    <t>adelle1i@simplemachines.org</t>
  </si>
  <si>
    <t>6 Esch Avenue</t>
  </si>
  <si>
    <t>c648et56</t>
  </si>
  <si>
    <t>Tedda</t>
  </si>
  <si>
    <t>tdurbin1j@weather.com</t>
  </si>
  <si>
    <t>0 Maywood Point</t>
  </si>
  <si>
    <t>c5578r76</t>
  </si>
  <si>
    <t>Madella</t>
  </si>
  <si>
    <t>mashe1k@addtoany.com</t>
  </si>
  <si>
    <t>50036 Southridge Lane</t>
  </si>
  <si>
    <t>c939ti98</t>
  </si>
  <si>
    <t>Karl</t>
  </si>
  <si>
    <t>kstickler1l@blogger.com</t>
  </si>
  <si>
    <t>6793 Linden Street</t>
  </si>
  <si>
    <t>c048r449</t>
  </si>
  <si>
    <t>Hayley</t>
  </si>
  <si>
    <t>helham1m@deliciousdays.com</t>
  </si>
  <si>
    <t>0662 Bashford Point</t>
  </si>
  <si>
    <t>c647jb27</t>
  </si>
  <si>
    <t>Rodie</t>
  </si>
  <si>
    <t>rbettles1n@ted.com</t>
  </si>
  <si>
    <t>85 Melvin Parkway</t>
  </si>
  <si>
    <t>c270xb16</t>
  </si>
  <si>
    <t>Ninnette</t>
  </si>
  <si>
    <t>ncostell1o@ustream.tv</t>
  </si>
  <si>
    <t>327 Darwin Street</t>
  </si>
  <si>
    <t>c999o269</t>
  </si>
  <si>
    <t>Lea</t>
  </si>
  <si>
    <t>lshervington1p@godaddy.com</t>
  </si>
  <si>
    <t>27625 Reindahl Road</t>
  </si>
  <si>
    <t>c745md87</t>
  </si>
  <si>
    <t>Martainn</t>
  </si>
  <si>
    <t>mofihillie1q@deliciousdays.com</t>
  </si>
  <si>
    <t>249 Larry Parkway</t>
  </si>
  <si>
    <t>c768z425</t>
  </si>
  <si>
    <t>Hillard</t>
  </si>
  <si>
    <t>hhackwell1r@51.la</t>
  </si>
  <si>
    <t>83353 Green Ridge Parkway</t>
  </si>
  <si>
    <t>c497gr98</t>
  </si>
  <si>
    <t>James</t>
  </si>
  <si>
    <t>jlivsey1s@zdnet.com</t>
  </si>
  <si>
    <t>0417 Sage Junction</t>
  </si>
  <si>
    <t>c2131l46</t>
  </si>
  <si>
    <t>Rosalyn</t>
  </si>
  <si>
    <t>rdradey1t@indiatimes.com</t>
  </si>
  <si>
    <t>9104 Meadow Valley Drive</t>
  </si>
  <si>
    <t>c013zm33</t>
  </si>
  <si>
    <t>Nancy</t>
  </si>
  <si>
    <t>nmouth1u@posterous.com</t>
  </si>
  <si>
    <t>47064 Bellgrove Avenue</t>
  </si>
  <si>
    <t>c489j687</t>
  </si>
  <si>
    <t>Edita</t>
  </si>
  <si>
    <t>ebreslane1v@salon.com</t>
  </si>
  <si>
    <t>75729 Loomis Way</t>
  </si>
  <si>
    <t>c988el18</t>
  </si>
  <si>
    <t>Arluene</t>
  </si>
  <si>
    <t>abetho1w@oracle.com</t>
  </si>
  <si>
    <t>9295 Sutherland Alley</t>
  </si>
  <si>
    <t>c0238456</t>
  </si>
  <si>
    <t>Randie</t>
  </si>
  <si>
    <t>rmapson1x@dion.ne.jp</t>
  </si>
  <si>
    <t>66854 Forster Hill</t>
  </si>
  <si>
    <t>c7907619</t>
  </si>
  <si>
    <t>Gerry</t>
  </si>
  <si>
    <t>gparsonage1y@tuttocitta.it</t>
  </si>
  <si>
    <t>4411 Butternut Hill</t>
  </si>
  <si>
    <t>c153kj34</t>
  </si>
  <si>
    <t>Evvie</t>
  </si>
  <si>
    <t>erippen1z@gnu.org</t>
  </si>
  <si>
    <t>482 Cherokee Parkway</t>
  </si>
  <si>
    <t>c174h049</t>
  </si>
  <si>
    <t>Kiley</t>
  </si>
  <si>
    <t>klisimore20@naver.com</t>
  </si>
  <si>
    <t>20 Lillian Point</t>
  </si>
  <si>
    <t>c810ag14</t>
  </si>
  <si>
    <t>Kilian</t>
  </si>
  <si>
    <t>ksnaddon21@imdb.com</t>
  </si>
  <si>
    <t>035 Warbler Road</t>
  </si>
  <si>
    <t>c8496q88</t>
  </si>
  <si>
    <t>Galven</t>
  </si>
  <si>
    <t>goflaherty22@state.tx.us</t>
  </si>
  <si>
    <t>54 Sunfield Court</t>
  </si>
  <si>
    <t>c226h591</t>
  </si>
  <si>
    <t>Evangelia</t>
  </si>
  <si>
    <t>ewhibley23@toplist.cz</t>
  </si>
  <si>
    <t>14314 Carioca Street</t>
  </si>
  <si>
    <t>c650ib86</t>
  </si>
  <si>
    <t>Saidee</t>
  </si>
  <si>
    <t>sleamy24@webmd.com</t>
  </si>
  <si>
    <t>000 Thompson Circle</t>
  </si>
  <si>
    <t>c999xa95</t>
  </si>
  <si>
    <t>Paddie</t>
  </si>
  <si>
    <t>pcahillane25@4shared.com</t>
  </si>
  <si>
    <t>94062 Steensland Crossing</t>
  </si>
  <si>
    <t>c286di37</t>
  </si>
  <si>
    <t>Lory</t>
  </si>
  <si>
    <t>lbritney26@google.com</t>
  </si>
  <si>
    <t>44364 Veith Way</t>
  </si>
  <si>
    <t>c2153y94</t>
  </si>
  <si>
    <t>Amalita</t>
  </si>
  <si>
    <t>alawther27@princeton.edu</t>
  </si>
  <si>
    <t>82846 Warner Avenue</t>
  </si>
  <si>
    <t>c846on86</t>
  </si>
  <si>
    <t>Clevey</t>
  </si>
  <si>
    <t>cbilovsky28@goo.ne.jp</t>
  </si>
  <si>
    <t>0434 Raven Plaza</t>
  </si>
  <si>
    <t>c747i052</t>
  </si>
  <si>
    <t>Audrye</t>
  </si>
  <si>
    <t>apischof29@foxnews.com</t>
  </si>
  <si>
    <t>901 Johnson Street</t>
  </si>
  <si>
    <t>c362py51</t>
  </si>
  <si>
    <t>Amandi</t>
  </si>
  <si>
    <t>arodolico2a@edublogs.org</t>
  </si>
  <si>
    <t>3 Oneill Drive</t>
  </si>
  <si>
    <t>c223dw15</t>
  </si>
  <si>
    <t>Florrie</t>
  </si>
  <si>
    <t>fpenbarthy2b@printfriendly.com</t>
  </si>
  <si>
    <t>95080 Blaine Circle</t>
  </si>
  <si>
    <t>c7006341</t>
  </si>
  <si>
    <t>Cori</t>
  </si>
  <si>
    <t>coldford2c@so-net.ne.jp</t>
  </si>
  <si>
    <t>2624 Ryan Crossing</t>
  </si>
  <si>
    <t>c9063895</t>
  </si>
  <si>
    <t>Matilda</t>
  </si>
  <si>
    <t>mmoncreiffe2d@drupal.org</t>
  </si>
  <si>
    <t>8 Rowland Plaza</t>
  </si>
  <si>
    <t>c272m911</t>
  </si>
  <si>
    <t>Peadar</t>
  </si>
  <si>
    <t>ppaschek2e@symantec.com</t>
  </si>
  <si>
    <t>22543 Rowland Lane</t>
  </si>
  <si>
    <t>c0651a46</t>
  </si>
  <si>
    <t>Vivyanne</t>
  </si>
  <si>
    <t>vbradder2f@java.com</t>
  </si>
  <si>
    <t>4 Drewry Street</t>
  </si>
  <si>
    <t>c055e999</t>
  </si>
  <si>
    <t>Rogerio</t>
  </si>
  <si>
    <t>rbolding2g@ask.com</t>
  </si>
  <si>
    <t>54 Tomscot Drive</t>
  </si>
  <si>
    <t>c515ke96</t>
  </si>
  <si>
    <t>Emlyn</t>
  </si>
  <si>
    <t>estarrs2h@hibu.com</t>
  </si>
  <si>
    <t>2582 Bultman Alley</t>
  </si>
  <si>
    <t>c070j418</t>
  </si>
  <si>
    <t>Wanda</t>
  </si>
  <si>
    <t>wtalbot2i@sun.com</t>
  </si>
  <si>
    <t>0809 Dryden Lane</t>
  </si>
  <si>
    <t>c5242n80</t>
  </si>
  <si>
    <t>Bing</t>
  </si>
  <si>
    <t>bhorbath2j@google.co.jp</t>
  </si>
  <si>
    <t>9 Johnson Park</t>
  </si>
  <si>
    <t>c374dp69</t>
  </si>
  <si>
    <t>Fayth</t>
  </si>
  <si>
    <t>fsteanyng2k@goo.gl</t>
  </si>
  <si>
    <t>87915 Elmside Way</t>
  </si>
  <si>
    <t>c525ux87</t>
  </si>
  <si>
    <t>Alysia</t>
  </si>
  <si>
    <t>aaubert2l@arstechnica.com</t>
  </si>
  <si>
    <t>036 Glendale Terrace</t>
  </si>
  <si>
    <t>c279hj39</t>
  </si>
  <si>
    <t>Joaquin</t>
  </si>
  <si>
    <t>jwayland2m@whitehouse.gov</t>
  </si>
  <si>
    <t>46647 Almo Way</t>
  </si>
  <si>
    <t>c2938q73</t>
  </si>
  <si>
    <t>Layne</t>
  </si>
  <si>
    <t>lbettenay2n@cam.ac.uk</t>
  </si>
  <si>
    <t>2857 Goodland Terrace</t>
  </si>
  <si>
    <t>c7170w64</t>
  </si>
  <si>
    <t>Vanny</t>
  </si>
  <si>
    <t>vheitz2o@yahoo.com</t>
  </si>
  <si>
    <t>218 Gulseth Way</t>
  </si>
  <si>
    <t>c798dr84</t>
  </si>
  <si>
    <t>Arielle</t>
  </si>
  <si>
    <t>apfeifer2p@gravatar.com</t>
  </si>
  <si>
    <t>9 Bunker Hill Crossing</t>
  </si>
  <si>
    <t>c475fm42</t>
  </si>
  <si>
    <t>Abdel</t>
  </si>
  <si>
    <t>aakeherst2q@ucla.edu</t>
  </si>
  <si>
    <t>9 Hallows Way</t>
  </si>
  <si>
    <t>c222ur86</t>
  </si>
  <si>
    <t>Ediva</t>
  </si>
  <si>
    <t>ewadham2r@acquirethisname.com</t>
  </si>
  <si>
    <t>44 Kennedy Parkway</t>
  </si>
  <si>
    <t>c009y954</t>
  </si>
  <si>
    <t>Waly</t>
  </si>
  <si>
    <t>wbale2s@sbwire.com</t>
  </si>
  <si>
    <t>82437 Rowland Plaza</t>
  </si>
  <si>
    <t>c8655x45</t>
  </si>
  <si>
    <t>Sigmund</t>
  </si>
  <si>
    <t>shanson2t@intel.com</t>
  </si>
  <si>
    <t>8249 Victoria Place</t>
  </si>
  <si>
    <t>c429jm36</t>
  </si>
  <si>
    <t>Cindee</t>
  </si>
  <si>
    <t>cjaggi2u@noaa.gov</t>
  </si>
  <si>
    <t>41073 Mallard Terrace</t>
  </si>
  <si>
    <t>c710e446</t>
  </si>
  <si>
    <t>Josias</t>
  </si>
  <si>
    <t>jbidgod2v@boston.com</t>
  </si>
  <si>
    <t>3402 Sutherland Point</t>
  </si>
  <si>
    <t>c708ha15</t>
  </si>
  <si>
    <t>Afton</t>
  </si>
  <si>
    <t>aeverleigh2w@purevolume.com</t>
  </si>
  <si>
    <t>59 Becker Avenue</t>
  </si>
  <si>
    <t>c9402u58</t>
  </si>
  <si>
    <t>Jorey</t>
  </si>
  <si>
    <t>jclougher2x@bbc.co.uk</t>
  </si>
  <si>
    <t>4 Holy Cross Junction</t>
  </si>
  <si>
    <t>c702tv68</t>
  </si>
  <si>
    <t>Tamqrah</t>
  </si>
  <si>
    <t>thearnshaw2y@mozilla.com</t>
  </si>
  <si>
    <t>3 Sugar Circle</t>
  </si>
  <si>
    <t>c653pv89</t>
  </si>
  <si>
    <t>Sacha</t>
  </si>
  <si>
    <t>sswanton2z@dell.com</t>
  </si>
  <si>
    <t>0 Larry Center</t>
  </si>
  <si>
    <t>c586la54</t>
  </si>
  <si>
    <t>Juliette</t>
  </si>
  <si>
    <t>jginnelly30@time.com</t>
  </si>
  <si>
    <t>3 Bluejay Trail</t>
  </si>
  <si>
    <t>c222bh94</t>
  </si>
  <si>
    <t>Tiphani</t>
  </si>
  <si>
    <t>tmarrett31@cmu.edu</t>
  </si>
  <si>
    <t>49 Myrtle Plaza</t>
  </si>
  <si>
    <t>c363g255</t>
  </si>
  <si>
    <t>Arda</t>
  </si>
  <si>
    <t>aboame32@pinterest.com</t>
  </si>
  <si>
    <t>4 Warrior Plaza</t>
  </si>
  <si>
    <t>c572re17</t>
  </si>
  <si>
    <t>Sarita</t>
  </si>
  <si>
    <t>sjinda33@moonfruit.com</t>
  </si>
  <si>
    <t>3 Sutherland Circle</t>
  </si>
  <si>
    <t>c067bb83</t>
  </si>
  <si>
    <t>Carina</t>
  </si>
  <si>
    <t>csimeonov34@technorati.com</t>
  </si>
  <si>
    <t>4 Dunning Trail</t>
  </si>
  <si>
    <t>c6127386</t>
  </si>
  <si>
    <t>Jeddy</t>
  </si>
  <si>
    <t>jjillins35@umich.edu</t>
  </si>
  <si>
    <t>23003 Hermina Circle</t>
  </si>
  <si>
    <t>c589ni10</t>
  </si>
  <si>
    <t>Nannie</t>
  </si>
  <si>
    <t>ngarrity36@elegantthemes.com</t>
  </si>
  <si>
    <t>00435 Declaration Drive</t>
  </si>
  <si>
    <t>c5657j70</t>
  </si>
  <si>
    <t>Rivkah</t>
  </si>
  <si>
    <t>rsemens37@fastcompany.com</t>
  </si>
  <si>
    <t>4881 Myrtle Pass</t>
  </si>
  <si>
    <t>c4155i76</t>
  </si>
  <si>
    <t>Torr</t>
  </si>
  <si>
    <t>tredgrave38@wix.com</t>
  </si>
  <si>
    <t>2368 Macpherson Drive</t>
  </si>
  <si>
    <t>c894jx19</t>
  </si>
  <si>
    <t>Nan</t>
  </si>
  <si>
    <t>njuanes39@51.la</t>
  </si>
  <si>
    <t>6080 American Point</t>
  </si>
  <si>
    <t>c726js60</t>
  </si>
  <si>
    <t>Malchy</t>
  </si>
  <si>
    <t>mtann3a@slate.com</t>
  </si>
  <si>
    <t>8678 Hanson Plaza</t>
  </si>
  <si>
    <t>c610nb83</t>
  </si>
  <si>
    <t>Alexander</t>
  </si>
  <si>
    <t>aparades3b@unicef.org</t>
  </si>
  <si>
    <t>1 Reinke Avenue</t>
  </si>
  <si>
    <t>c429ji11</t>
  </si>
  <si>
    <t>Keary</t>
  </si>
  <si>
    <t>kcorney3c@a8.net</t>
  </si>
  <si>
    <t>2 Crowley Plaza</t>
  </si>
  <si>
    <t>c140a100</t>
  </si>
  <si>
    <t>Kit</t>
  </si>
  <si>
    <t>kreace3d@homestead.com</t>
  </si>
  <si>
    <t>2353 Melby Park</t>
  </si>
  <si>
    <t>c9705570</t>
  </si>
  <si>
    <t>Shirl</t>
  </si>
  <si>
    <t>sworsom3e@ucsd.edu</t>
  </si>
  <si>
    <t>913 Mccormick Center</t>
  </si>
  <si>
    <t>c337mu29</t>
  </si>
  <si>
    <t>Hervey</t>
  </si>
  <si>
    <t>hlowy3f@dyndns.org</t>
  </si>
  <si>
    <t>30 Menomonie Terrace</t>
  </si>
  <si>
    <t>c930mv37</t>
  </si>
  <si>
    <t>Evelyn</t>
  </si>
  <si>
    <t>egerge3g@wisc.edu</t>
  </si>
  <si>
    <t>758 Larry Avenue</t>
  </si>
  <si>
    <t>c498b471</t>
  </si>
  <si>
    <t>Myrah</t>
  </si>
  <si>
    <t>mvella3h@dell.com</t>
  </si>
  <si>
    <t>00431 Crowley Center</t>
  </si>
  <si>
    <t>c664jl33</t>
  </si>
  <si>
    <t>Ringo</t>
  </si>
  <si>
    <t>rbayston3i@psu.edu</t>
  </si>
  <si>
    <t>463 Portage Trail</t>
  </si>
  <si>
    <t>c406ko66</t>
  </si>
  <si>
    <t>Yehudit</t>
  </si>
  <si>
    <t>yambrodi3j@blogspot.com</t>
  </si>
  <si>
    <t>92226 Stang Junction</t>
  </si>
  <si>
    <t>c5879774</t>
  </si>
  <si>
    <t>Carline</t>
  </si>
  <si>
    <t>cduffer3k@ow.ly</t>
  </si>
  <si>
    <t>944 Sheridan Junction</t>
  </si>
  <si>
    <t>c581rx71</t>
  </si>
  <si>
    <t>Agatha</t>
  </si>
  <si>
    <t>atorrisi3l@woothemes.com</t>
  </si>
  <si>
    <t>36123 Iowa Pass</t>
  </si>
  <si>
    <t>c399ij01</t>
  </si>
  <si>
    <t>mkleeman3m@mashable.com</t>
  </si>
  <si>
    <t>9 Ridgeview Junction</t>
  </si>
  <si>
    <t>c561sd77</t>
  </si>
  <si>
    <t>Packston</t>
  </si>
  <si>
    <t>peymer3n@acquirethisname.com</t>
  </si>
  <si>
    <t>7164 Delaware Court</t>
  </si>
  <si>
    <t>c244or25</t>
  </si>
  <si>
    <t>Cornie</t>
  </si>
  <si>
    <t>cmccrorie3o@dmoz.org</t>
  </si>
  <si>
    <t>93172 Pepper Wood Terrace</t>
  </si>
  <si>
    <t>c2762v68</t>
  </si>
  <si>
    <t>Burr</t>
  </si>
  <si>
    <t>blomond3p@bravesites.com</t>
  </si>
  <si>
    <t>9 Dexter Plaza</t>
  </si>
  <si>
    <t>c976ve34</t>
  </si>
  <si>
    <t>Katlin</t>
  </si>
  <si>
    <t>kdanovich3q@about.com</t>
  </si>
  <si>
    <t>5904 Atwood Terrace</t>
  </si>
  <si>
    <t>c752em93</t>
  </si>
  <si>
    <t>Sutton</t>
  </si>
  <si>
    <t>spride3r@plala.or.jp</t>
  </si>
  <si>
    <t>84 Green Ridge Lane</t>
  </si>
  <si>
    <t>c897gy76</t>
  </si>
  <si>
    <t>Mora</t>
  </si>
  <si>
    <t>mramalho3s@nasa.gov</t>
  </si>
  <si>
    <t>98 Glacier Hill Center</t>
  </si>
  <si>
    <t>c7153n57</t>
  </si>
  <si>
    <t>Curtis</t>
  </si>
  <si>
    <t>cchurn3t@reddit.com</t>
  </si>
  <si>
    <t>58 Rusk Court</t>
  </si>
  <si>
    <t>c7483u42</t>
  </si>
  <si>
    <t>Laughton</t>
  </si>
  <si>
    <t>lmincher3u@dedecms.com</t>
  </si>
  <si>
    <t>9370 Florence Terrace</t>
  </si>
  <si>
    <t>c190jn70</t>
  </si>
  <si>
    <t>Sula</t>
  </si>
  <si>
    <t>sorlton3v@patch.com</t>
  </si>
  <si>
    <t>105 Erie Park</t>
  </si>
  <si>
    <t>c860m629</t>
  </si>
  <si>
    <t>Austen</t>
  </si>
  <si>
    <t>acorradengo3w@chron.com</t>
  </si>
  <si>
    <t>9 Judy Lane</t>
  </si>
  <si>
    <t>c714fw80</t>
  </si>
  <si>
    <t>Scotti</t>
  </si>
  <si>
    <t>sbohling3x@oracle.com</t>
  </si>
  <si>
    <t>84 Parkside Parkway</t>
  </si>
  <si>
    <t>c938nl00</t>
  </si>
  <si>
    <t>Sharla</t>
  </si>
  <si>
    <t>sgrix3y@taobao.com</t>
  </si>
  <si>
    <t>56 Dottie Pass</t>
  </si>
  <si>
    <t>c8260h39</t>
  </si>
  <si>
    <t>Pier</t>
  </si>
  <si>
    <t>pboutcher3z@geocities.jp</t>
  </si>
  <si>
    <t>0243 Springs Place</t>
  </si>
  <si>
    <t>c770dp09</t>
  </si>
  <si>
    <t>Emmy</t>
  </si>
  <si>
    <t>emonini40@ask.com</t>
  </si>
  <si>
    <t>5 David Drive</t>
  </si>
  <si>
    <t>c730jr67</t>
  </si>
  <si>
    <t>Byrann</t>
  </si>
  <si>
    <t>bseres41@wsj.com</t>
  </si>
  <si>
    <t>4175 Sunfield Pass</t>
  </si>
  <si>
    <t>c986jm85</t>
  </si>
  <si>
    <t>Carolan</t>
  </si>
  <si>
    <t>cwoolstenholmes42@sogou.com</t>
  </si>
  <si>
    <t>838 Sheridan Lane</t>
  </si>
  <si>
    <t>c9012x49</t>
  </si>
  <si>
    <t>Mathe</t>
  </si>
  <si>
    <t>mshawel43@google.ru</t>
  </si>
  <si>
    <t>02382 Kinsman Park</t>
  </si>
  <si>
    <t>c0694t50</t>
  </si>
  <si>
    <t>Alvina</t>
  </si>
  <si>
    <t>astairmand44@dmoz.org</t>
  </si>
  <si>
    <t>75343 Schurz Alley</t>
  </si>
  <si>
    <t>c3767l14</t>
  </si>
  <si>
    <t>Oliviero</t>
  </si>
  <si>
    <t>osnell45@skyrock.com</t>
  </si>
  <si>
    <t>6068 Larry Court</t>
  </si>
  <si>
    <t>c6693733</t>
  </si>
  <si>
    <t>Chanda</t>
  </si>
  <si>
    <t>comond46@opensource.org</t>
  </si>
  <si>
    <t>8338 Mallard Park</t>
  </si>
  <si>
    <t>c526lj12</t>
  </si>
  <si>
    <t>Esther</t>
  </si>
  <si>
    <t>elyttle47@clickbank.net</t>
  </si>
  <si>
    <t>44 Reindahl Road</t>
  </si>
  <si>
    <t>c810w722</t>
  </si>
  <si>
    <t>Mariska</t>
  </si>
  <si>
    <t>mdelgado48@bluehost.com</t>
  </si>
  <si>
    <t>34910 Ronald Regan Avenue</t>
  </si>
  <si>
    <t>c982p640</t>
  </si>
  <si>
    <t>Yoko</t>
  </si>
  <si>
    <t>ybarfield49@chronoengine.com</t>
  </si>
  <si>
    <t>3 Talmadge Street</t>
  </si>
  <si>
    <t>c335eh33</t>
  </si>
  <si>
    <t>Shir</t>
  </si>
  <si>
    <t>ssherewood4a@histats.com</t>
  </si>
  <si>
    <t>98 Mcbride Junction</t>
  </si>
  <si>
    <t>c516an15</t>
  </si>
  <si>
    <t>rkwiek4b@wikispaces.com</t>
  </si>
  <si>
    <t>69665 South Terrace</t>
  </si>
  <si>
    <t>c456nr93</t>
  </si>
  <si>
    <t>Eileen</t>
  </si>
  <si>
    <t>ecorro4c@bloglines.com</t>
  </si>
  <si>
    <t>019 Sunfield Lane</t>
  </si>
  <si>
    <t>c462ov60</t>
  </si>
  <si>
    <t>Della</t>
  </si>
  <si>
    <t>djacquest4d@nbcnews.com</t>
  </si>
  <si>
    <t>30236 Reinke Park</t>
  </si>
  <si>
    <t>c0272g99</t>
  </si>
  <si>
    <t>Marika</t>
  </si>
  <si>
    <t>mrosewarne4e@businessweek.com</t>
  </si>
  <si>
    <t>42 Erie Court</t>
  </si>
  <si>
    <t>c564rf19</t>
  </si>
  <si>
    <t>Bradley</t>
  </si>
  <si>
    <t>bknox4f@cnet.com</t>
  </si>
  <si>
    <t>53 Village Junction</t>
  </si>
  <si>
    <t>c972c625</t>
  </si>
  <si>
    <t>Aurelia</t>
  </si>
  <si>
    <t>asudell4g@studiopress.com</t>
  </si>
  <si>
    <t>4 Warbler Pass</t>
  </si>
  <si>
    <t>c820nh65</t>
  </si>
  <si>
    <t>Palm</t>
  </si>
  <si>
    <t>ptraut4h@surveymonkey.com</t>
  </si>
  <si>
    <t>6 Logan Drive</t>
  </si>
  <si>
    <t>c547jz16</t>
  </si>
  <si>
    <t>Roxy</t>
  </si>
  <si>
    <t>rgallager4i@illinois.edu</t>
  </si>
  <si>
    <t>73 Maywood Plaza</t>
  </si>
  <si>
    <t>c200b034</t>
  </si>
  <si>
    <t>Donica</t>
  </si>
  <si>
    <t>ddeville4j@about.me</t>
  </si>
  <si>
    <t>20 Dakota Point</t>
  </si>
  <si>
    <t>c662lv97</t>
  </si>
  <si>
    <t>Carmita</t>
  </si>
  <si>
    <t>cengley4k@youku.com</t>
  </si>
  <si>
    <t>8 Anzinger Way</t>
  </si>
  <si>
    <t>c420py25</t>
  </si>
  <si>
    <t>Karel</t>
  </si>
  <si>
    <t>kfawkes4l@webs.com</t>
  </si>
  <si>
    <t>3156 Lerdahl Pass</t>
  </si>
  <si>
    <t>c046fr63</t>
  </si>
  <si>
    <t>Morna</t>
  </si>
  <si>
    <t>mcromett4m@foxnews.com</t>
  </si>
  <si>
    <t>44360 Valley Edge Crossing</t>
  </si>
  <si>
    <t>c816xa61</t>
  </si>
  <si>
    <t>Bryant</t>
  </si>
  <si>
    <t>bkynge4n@fc2.com</t>
  </si>
  <si>
    <t>803 Dryden Circle</t>
  </si>
  <si>
    <t>c2997g24</t>
  </si>
  <si>
    <t>Clarie</t>
  </si>
  <si>
    <t>cvouls4o@tmall.com</t>
  </si>
  <si>
    <t>787 Kropf Way</t>
  </si>
  <si>
    <t>c326ju61</t>
  </si>
  <si>
    <t>Gavan</t>
  </si>
  <si>
    <t>gdunnet4p@amazon.co.uk</t>
  </si>
  <si>
    <t>692 Valley Edge Pass</t>
  </si>
  <si>
    <t>c403vk91</t>
  </si>
  <si>
    <t>Maximo</t>
  </si>
  <si>
    <t>mnairns4q@icq.com</t>
  </si>
  <si>
    <t>95 Melrose Lane</t>
  </si>
  <si>
    <t>c691xw56</t>
  </si>
  <si>
    <t>Alika</t>
  </si>
  <si>
    <t>aleggitt4r@seesaa.net</t>
  </si>
  <si>
    <t>707 Nancy Alley</t>
  </si>
  <si>
    <t>c133xi62</t>
  </si>
  <si>
    <t>Arlen</t>
  </si>
  <si>
    <t>ataylot4s@hc360.com</t>
  </si>
  <si>
    <t>4065 Towne Pass</t>
  </si>
  <si>
    <t>c925c874</t>
  </si>
  <si>
    <t>Clem</t>
  </si>
  <si>
    <t>csimcoe4t@is.gd</t>
  </si>
  <si>
    <t>64097 Paget Center</t>
  </si>
  <si>
    <t>c0157v29</t>
  </si>
  <si>
    <t>Pearce</t>
  </si>
  <si>
    <t>pklimkowski4u@japanpost.jp</t>
  </si>
  <si>
    <t>1583 Raven Trail</t>
  </si>
  <si>
    <t>c843a859</t>
  </si>
  <si>
    <t>Kaia</t>
  </si>
  <si>
    <t>kpurchase4v@lycos.com</t>
  </si>
  <si>
    <t>53 Daystar Circle</t>
  </si>
  <si>
    <t>c460vu18</t>
  </si>
  <si>
    <t>Evanne</t>
  </si>
  <si>
    <t>ecuerdall4w@instagram.com</t>
  </si>
  <si>
    <t>3 Porter Street</t>
  </si>
  <si>
    <t>c325e415</t>
  </si>
  <si>
    <t>Billy</t>
  </si>
  <si>
    <t>bhullin4x@printfriendly.com</t>
  </si>
  <si>
    <t>89921 Reindahl Trail</t>
  </si>
  <si>
    <t>c634gy81</t>
  </si>
  <si>
    <t>Shannan</t>
  </si>
  <si>
    <t>swinterbottom4y@tamu.edu</t>
  </si>
  <si>
    <t>28 Eastwood Avenue</t>
  </si>
  <si>
    <t>c479sf58</t>
  </si>
  <si>
    <t>Virgilio</t>
  </si>
  <si>
    <t>vcoultas4z@wunderground.com</t>
  </si>
  <si>
    <t>30169 Armistice Parkway</t>
  </si>
  <si>
    <t>c534cs71</t>
  </si>
  <si>
    <t>pbrimblecombe50@chronoengine.com</t>
  </si>
  <si>
    <t>94770 3rd Hill</t>
  </si>
  <si>
    <t>c752rp95</t>
  </si>
  <si>
    <t>Nappy</t>
  </si>
  <si>
    <t>nfilimore51@ox.ac.uk</t>
  </si>
  <si>
    <t>5 Marquette Place</t>
  </si>
  <si>
    <t>c441q395</t>
  </si>
  <si>
    <t>Ingmar</t>
  </si>
  <si>
    <t>ihugle52@istockphoto.com</t>
  </si>
  <si>
    <t>9 Cambridge Court</t>
  </si>
  <si>
    <t>c071nt19</t>
  </si>
  <si>
    <t>Sheridan</t>
  </si>
  <si>
    <t>sknotton53@slashdot.org</t>
  </si>
  <si>
    <t>6835 1st Crossing</t>
  </si>
  <si>
    <t>c082tj71</t>
  </si>
  <si>
    <t>Rochester</t>
  </si>
  <si>
    <t>rgabbitus54@furl.net</t>
  </si>
  <si>
    <t>51 Prairie Rose Street</t>
  </si>
  <si>
    <t>c9468c96</t>
  </si>
  <si>
    <t>Alicea</t>
  </si>
  <si>
    <t>apotte55@nsw.gov.au</t>
  </si>
  <si>
    <t>80867 Myrtle Road</t>
  </si>
  <si>
    <t>c200id30</t>
  </si>
  <si>
    <t>Lulu</t>
  </si>
  <si>
    <t>lcrake56@elegantthemes.com</t>
  </si>
  <si>
    <t>96019 Jenifer Road</t>
  </si>
  <si>
    <t>c6476o26</t>
  </si>
  <si>
    <t>Retha</t>
  </si>
  <si>
    <t>rfenning57@typepad.com</t>
  </si>
  <si>
    <t>137 Memorial Junction</t>
  </si>
  <si>
    <t>c426qh06</t>
  </si>
  <si>
    <t>Wilow</t>
  </si>
  <si>
    <t>wmeynell58@ow.ly</t>
  </si>
  <si>
    <t>64 Oxford Way</t>
  </si>
  <si>
    <t>c097rp94</t>
  </si>
  <si>
    <t>Elva</t>
  </si>
  <si>
    <t>emila59@photobucket.com</t>
  </si>
  <si>
    <t>26 Blaine Street</t>
  </si>
  <si>
    <t>c6323h68</t>
  </si>
  <si>
    <t>Ronna</t>
  </si>
  <si>
    <t>rblaxland5a@usa.gov</t>
  </si>
  <si>
    <t>15 Wayridge Way</t>
  </si>
  <si>
    <t>c681fz23</t>
  </si>
  <si>
    <t>Cointon</t>
  </si>
  <si>
    <t>cjeffes5b@webnode.com</t>
  </si>
  <si>
    <t>713 Waubesa Pass</t>
  </si>
  <si>
    <t>c3575i17</t>
  </si>
  <si>
    <t>Ilsa</t>
  </si>
  <si>
    <t>ihilary5c@privacy.gov.au</t>
  </si>
  <si>
    <t>95 Rieder Way</t>
  </si>
  <si>
    <t>c0145076</t>
  </si>
  <si>
    <t>Kissie</t>
  </si>
  <si>
    <t>kallix5d@japanpost.jp</t>
  </si>
  <si>
    <t>5 Shasta Park</t>
  </si>
  <si>
    <t>c959h243</t>
  </si>
  <si>
    <t>Andras</t>
  </si>
  <si>
    <t>awimmer5e@lycos.com</t>
  </si>
  <si>
    <t>38233 Scott Circle</t>
  </si>
  <si>
    <t>c404iz18</t>
  </si>
  <si>
    <t>Zerk</t>
  </si>
  <si>
    <t>zdargavel5f@flickr.com</t>
  </si>
  <si>
    <t>267 Dwight Crossing</t>
  </si>
  <si>
    <t>c4809c14</t>
  </si>
  <si>
    <t>Torey</t>
  </si>
  <si>
    <t>tfitch5g@ibm.com</t>
  </si>
  <si>
    <t>5 Ronald Regan Terrace</t>
  </si>
  <si>
    <t>c1642q28</t>
  </si>
  <si>
    <t>Rebe</t>
  </si>
  <si>
    <t>rgalia5h@apple.com</t>
  </si>
  <si>
    <t>687 Marcy Pass</t>
  </si>
  <si>
    <t>c608ww37</t>
  </si>
  <si>
    <t>Brittani</t>
  </si>
  <si>
    <t>bmyrick5i@amazon.de</t>
  </si>
  <si>
    <t>089 Grover Plaza</t>
  </si>
  <si>
    <t>c762uv30</t>
  </si>
  <si>
    <t>Adelaide</t>
  </si>
  <si>
    <t>asphinxe5j@mayoclinic.com</t>
  </si>
  <si>
    <t>593 Thierer Place</t>
  </si>
  <si>
    <t>c0188386</t>
  </si>
  <si>
    <t>Jolynn</t>
  </si>
  <si>
    <t>jcantle5k@wikimedia.org</t>
  </si>
  <si>
    <t>7965 Northport Point</t>
  </si>
  <si>
    <t>c161v436</t>
  </si>
  <si>
    <t>Aprilette</t>
  </si>
  <si>
    <t>aivanchov5l@usnews.com</t>
  </si>
  <si>
    <t>8831 Ludington Park</t>
  </si>
  <si>
    <t>c5229b67</t>
  </si>
  <si>
    <t>Ellyn</t>
  </si>
  <si>
    <t>egrene5m@eventbrite.com</t>
  </si>
  <si>
    <t>950 Miller Lane</t>
  </si>
  <si>
    <t>c005rh78</t>
  </si>
  <si>
    <t>Riki</t>
  </si>
  <si>
    <t>rmityakov5n@cdbaby.com</t>
  </si>
  <si>
    <t>7 Cody Terrace</t>
  </si>
  <si>
    <t>c215sk17</t>
  </si>
  <si>
    <t>Josepha</t>
  </si>
  <si>
    <t>jpurdey5o@hostgator.com</t>
  </si>
  <si>
    <t>443 Northport Park</t>
  </si>
  <si>
    <t>c3550p99</t>
  </si>
  <si>
    <t>Sterling</t>
  </si>
  <si>
    <t>smckim5p@meetup.com</t>
  </si>
  <si>
    <t>387 Spenser Circle</t>
  </si>
  <si>
    <t>c6609v19</t>
  </si>
  <si>
    <t>kspadari5q@google.pl</t>
  </si>
  <si>
    <t>9783 Bartelt Point</t>
  </si>
  <si>
    <t>c361gs90</t>
  </si>
  <si>
    <t>Freddie</t>
  </si>
  <si>
    <t>fbreffitt5r@addtoany.com</t>
  </si>
  <si>
    <t>207 Shelley Terrace</t>
  </si>
  <si>
    <t>c691ho22</t>
  </si>
  <si>
    <t>Brennan</t>
  </si>
  <si>
    <t>bhlavecek5s@skype.com</t>
  </si>
  <si>
    <t>1402 Tony Terrace</t>
  </si>
  <si>
    <t>c451cy08</t>
  </si>
  <si>
    <t>Aimee</t>
  </si>
  <si>
    <t>ashadwick5t@noaa.gov</t>
  </si>
  <si>
    <t>10559 Iowa Pass</t>
  </si>
  <si>
    <t>c845xo84</t>
  </si>
  <si>
    <t>Ebony</t>
  </si>
  <si>
    <t>ecicutto5u@cbc.ca</t>
  </si>
  <si>
    <t>72 Redwing Hill</t>
  </si>
  <si>
    <t>c6564145</t>
  </si>
  <si>
    <t>Ki</t>
  </si>
  <si>
    <t>kchatel5v@google.nl</t>
  </si>
  <si>
    <t>92555 North Alley</t>
  </si>
  <si>
    <t>c764br68</t>
  </si>
  <si>
    <t>Taffy</t>
  </si>
  <si>
    <t>thanhard5w@businesswire.com</t>
  </si>
  <si>
    <t>7758 Brickson Park Court</t>
  </si>
  <si>
    <t>c566pg76</t>
  </si>
  <si>
    <t>Charo</t>
  </si>
  <si>
    <t>cmerioth5x@is.gd</t>
  </si>
  <si>
    <t>0 Brickson Park Lane</t>
  </si>
  <si>
    <t>c452ra52</t>
  </si>
  <si>
    <t>Adolphus</t>
  </si>
  <si>
    <t>aamoss5y@mashable.com</t>
  </si>
  <si>
    <t>48831 Raven Street</t>
  </si>
  <si>
    <t>c792vd29</t>
  </si>
  <si>
    <t>Farly</t>
  </si>
  <si>
    <t>fcardon5z@ehow.com</t>
  </si>
  <si>
    <t>361 Troy Way</t>
  </si>
  <si>
    <t>c583ng50</t>
  </si>
  <si>
    <t>Pauli</t>
  </si>
  <si>
    <t>pmcjerrow60@skyrock.com</t>
  </si>
  <si>
    <t>65 Westport Junction</t>
  </si>
  <si>
    <t>c965mn48</t>
  </si>
  <si>
    <t>Selma</t>
  </si>
  <si>
    <t>sroughey61@baidu.com</t>
  </si>
  <si>
    <t>6271 Londonderry Center</t>
  </si>
  <si>
    <t>c2901z42</t>
  </si>
  <si>
    <t>Linoel</t>
  </si>
  <si>
    <t>lkettel62@weibo.com</t>
  </si>
  <si>
    <t>35 La Follette Road</t>
  </si>
  <si>
    <t>c606ev96</t>
  </si>
  <si>
    <t>Jammie</t>
  </si>
  <si>
    <t>jyea63@cnbc.com</t>
  </si>
  <si>
    <t>5 Fisk Parkway</t>
  </si>
  <si>
    <t>c390dq53</t>
  </si>
  <si>
    <t>Mariele</t>
  </si>
  <si>
    <t>mvasiltsov64@state.gov</t>
  </si>
  <si>
    <t>69 Carberry Point</t>
  </si>
  <si>
    <t>c922jx83</t>
  </si>
  <si>
    <t>Sigrid</t>
  </si>
  <si>
    <t>shildred65@ebay.com</t>
  </si>
  <si>
    <t>0509 Carberry Junction</t>
  </si>
  <si>
    <t>c551mn90</t>
  </si>
  <si>
    <t>Phillie</t>
  </si>
  <si>
    <t>pvodden66@hao123.com</t>
  </si>
  <si>
    <t>5164 Arapahoe Court</t>
  </si>
  <si>
    <t>c0775e04</t>
  </si>
  <si>
    <t>Emerson</t>
  </si>
  <si>
    <t>estuddeard67@google.com.au</t>
  </si>
  <si>
    <t>32 Southridge Park</t>
  </si>
  <si>
    <t>c0797u56</t>
  </si>
  <si>
    <t>Marguerite</t>
  </si>
  <si>
    <t>mkees68@house.gov</t>
  </si>
  <si>
    <t>32 Kinsman Plaza</t>
  </si>
  <si>
    <t>c3894b24</t>
  </si>
  <si>
    <t>Kayne</t>
  </si>
  <si>
    <t>ksatterley69@storify.com</t>
  </si>
  <si>
    <t>95186 Quincy Park</t>
  </si>
  <si>
    <t>c176qk83</t>
  </si>
  <si>
    <t>Zared</t>
  </si>
  <si>
    <t>zgayle6a@weebly.com</t>
  </si>
  <si>
    <t>3 Summer Ridge Street</t>
  </si>
  <si>
    <t>c4499022</t>
  </si>
  <si>
    <t>Kaine</t>
  </si>
  <si>
    <t>keltun6b@is.gd</t>
  </si>
  <si>
    <t>682 Goodland Terrace</t>
  </si>
  <si>
    <t>c900gu09</t>
  </si>
  <si>
    <t>Ema</t>
  </si>
  <si>
    <t>eocriane6c@google.com.br</t>
  </si>
  <si>
    <t>59 Redwing Junction</t>
  </si>
  <si>
    <t>c647ph60</t>
  </si>
  <si>
    <t>Karrah</t>
  </si>
  <si>
    <t>kjuan6d@ucla.edu</t>
  </si>
  <si>
    <t>99 Valley Edge Avenue</t>
  </si>
  <si>
    <t>c730sm64</t>
  </si>
  <si>
    <t>Palmer</t>
  </si>
  <si>
    <t>pdavy6e@ebay.com</t>
  </si>
  <si>
    <t>12138 Mesta Junction</t>
  </si>
  <si>
    <t>c615om33</t>
  </si>
  <si>
    <t>Nina</t>
  </si>
  <si>
    <t>nsidon6f@ucoz.com</t>
  </si>
  <si>
    <t>83582 Duke Pass</t>
  </si>
  <si>
    <t>c267yt25</t>
  </si>
  <si>
    <t>Taite</t>
  </si>
  <si>
    <t>tissett6g@dropbox.com</t>
  </si>
  <si>
    <t>29637 Carioca Lane</t>
  </si>
  <si>
    <t>c276ze65</t>
  </si>
  <si>
    <t>Pammi</t>
  </si>
  <si>
    <t>pakeherst6h@icq.com</t>
  </si>
  <si>
    <t>723 Bayside Terrace</t>
  </si>
  <si>
    <t>c2743o54</t>
  </si>
  <si>
    <t>Aland</t>
  </si>
  <si>
    <t>alippiello6i@tamu.edu</t>
  </si>
  <si>
    <t>16418 Merchant Alley</t>
  </si>
  <si>
    <t>c249pv67</t>
  </si>
  <si>
    <t>Charleen</t>
  </si>
  <si>
    <t>cgissing6j@dion.ne.jp</t>
  </si>
  <si>
    <t>6283 Spohn Way</t>
  </si>
  <si>
    <t>c217xe56</t>
  </si>
  <si>
    <t>Darleen</t>
  </si>
  <si>
    <t>dantham6k@mozilla.org</t>
  </si>
  <si>
    <t>3915 La Follette Lane</t>
  </si>
  <si>
    <t>c027x518</t>
  </si>
  <si>
    <t>Shane</t>
  </si>
  <si>
    <t>sscotland6l@java.com</t>
  </si>
  <si>
    <t>3705 Mccormick Court</t>
  </si>
  <si>
    <t>c298fc42</t>
  </si>
  <si>
    <t>Denney</t>
  </si>
  <si>
    <t>dfairhead6m@imageshack.us</t>
  </si>
  <si>
    <t>13335 Linden Road</t>
  </si>
  <si>
    <t>c502ka32</t>
  </si>
  <si>
    <t>bcalvey6n@google.pl</t>
  </si>
  <si>
    <t>41863 Hagan Street</t>
  </si>
  <si>
    <t>c825jr48</t>
  </si>
  <si>
    <t>Kleon</t>
  </si>
  <si>
    <t>kborkin6o@issuu.com</t>
  </si>
  <si>
    <t>5 Continental Park</t>
  </si>
  <si>
    <t>c226w879</t>
  </si>
  <si>
    <t>Lucio</t>
  </si>
  <si>
    <t>lreburn6p@pagesperso-orange.fr</t>
  </si>
  <si>
    <t>09 Steensland Road</t>
  </si>
  <si>
    <t>c799n237</t>
  </si>
  <si>
    <t>Trish</t>
  </si>
  <si>
    <t>tocurneen6q@macromedia.com</t>
  </si>
  <si>
    <t>11 East Hill</t>
  </si>
  <si>
    <t>c857lb24</t>
  </si>
  <si>
    <t>Melonie</t>
  </si>
  <si>
    <t>mbeards6r@nationalgeographic.com</t>
  </si>
  <si>
    <t>1414 Monument Park</t>
  </si>
  <si>
    <t>c377y328</t>
  </si>
  <si>
    <t>Jonis</t>
  </si>
  <si>
    <t>jostler6s@bloglovin.com</t>
  </si>
  <si>
    <t>2 Debra Point</t>
  </si>
  <si>
    <t>c9858044</t>
  </si>
  <si>
    <t>Ricki</t>
  </si>
  <si>
    <t>rraoul6t@ucsd.edu</t>
  </si>
  <si>
    <t>7 Brentwood Pass</t>
  </si>
  <si>
    <t>c848uk49</t>
  </si>
  <si>
    <t>Wally</t>
  </si>
  <si>
    <t>wmears6u@cpanel.net</t>
  </si>
  <si>
    <t>144 Almo Avenue</t>
  </si>
  <si>
    <t>c5365i41</t>
  </si>
  <si>
    <t>Alon</t>
  </si>
  <si>
    <t>atumpane6v@mayoclinic.com</t>
  </si>
  <si>
    <t>19102 Talisman Plaza</t>
  </si>
  <si>
    <t>c479ly75</t>
  </si>
  <si>
    <t>Natalee</t>
  </si>
  <si>
    <t>nbrasseur6w@google.com</t>
  </si>
  <si>
    <t>35 Cody Avenue</t>
  </si>
  <si>
    <t>c4843a36</t>
  </si>
  <si>
    <t>Ignatius</t>
  </si>
  <si>
    <t>iburnsyde6x@bandcamp.com</t>
  </si>
  <si>
    <t>75677 Dahle Crossing</t>
  </si>
  <si>
    <t>c2130q64</t>
  </si>
  <si>
    <t>Gray</t>
  </si>
  <si>
    <t>gguest6y@oaic.gov.au</t>
  </si>
  <si>
    <t>2703 Nevada Lane</t>
  </si>
  <si>
    <t>c1861r32</t>
  </si>
  <si>
    <t>Vanya</t>
  </si>
  <si>
    <t>vditch6z@icq.com</t>
  </si>
  <si>
    <t>38 Fremont Court</t>
  </si>
  <si>
    <t>c623w914</t>
  </si>
  <si>
    <t>Audrey</t>
  </si>
  <si>
    <t>agrivori70@merriam-webster.com</t>
  </si>
  <si>
    <t>2338 Forest Alley</t>
  </si>
  <si>
    <t>c193rq19</t>
  </si>
  <si>
    <t>Frasier</t>
  </si>
  <si>
    <t>fmarke71@surveymonkey.com</t>
  </si>
  <si>
    <t>4 Lindbergh Circle</t>
  </si>
  <si>
    <t>c965dv86</t>
  </si>
  <si>
    <t>Mychal</t>
  </si>
  <si>
    <t>mdematteis72@webeden.co.uk</t>
  </si>
  <si>
    <t>49 Schurz Circle</t>
  </si>
  <si>
    <t>c646kr38</t>
  </si>
  <si>
    <t>Corri</t>
  </si>
  <si>
    <t>chegg73@about.com</t>
  </si>
  <si>
    <t>85219 Hollow Ridge Way</t>
  </si>
  <si>
    <t>c316vb61</t>
  </si>
  <si>
    <t>Ursa</t>
  </si>
  <si>
    <t>umildenhall74@globo.com</t>
  </si>
  <si>
    <t>41172 Lakewood Lane</t>
  </si>
  <si>
    <t>c6139n24</t>
  </si>
  <si>
    <t>Klara</t>
  </si>
  <si>
    <t>kraggles75@lulu.com</t>
  </si>
  <si>
    <t>740 Scoville Alley</t>
  </si>
  <si>
    <t>c389ma48</t>
  </si>
  <si>
    <t>Libby</t>
  </si>
  <si>
    <t>lfarfoot76@wikimedia.org</t>
  </si>
  <si>
    <t>47773 Waywood Trail</t>
  </si>
  <si>
    <t>c183jc93</t>
  </si>
  <si>
    <t>Ayn</t>
  </si>
  <si>
    <t>ahuddleston77@sfgate.com</t>
  </si>
  <si>
    <t>16 Manitowish Court</t>
  </si>
  <si>
    <t>c983z832</t>
  </si>
  <si>
    <t>Estella</t>
  </si>
  <si>
    <t>efancott78@wordpress.org</t>
  </si>
  <si>
    <t>54 Pine View Parkway</t>
  </si>
  <si>
    <t>c680ow22</t>
  </si>
  <si>
    <t>Bevin</t>
  </si>
  <si>
    <t>beastup79@constantcontact.com</t>
  </si>
  <si>
    <t>663 Arrowood Crossing</t>
  </si>
  <si>
    <t>c109ca81</t>
  </si>
  <si>
    <t>Roxanna</t>
  </si>
  <si>
    <t>rstudman7a@fc2.com</t>
  </si>
  <si>
    <t>229 Oak Drive</t>
  </si>
  <si>
    <t>c883ng54</t>
  </si>
  <si>
    <t>Thom</t>
  </si>
  <si>
    <t>tmowbury7b@stanford.edu</t>
  </si>
  <si>
    <t>42 Bartillon Crossing</t>
  </si>
  <si>
    <t>c958s510</t>
  </si>
  <si>
    <t>Elita</t>
  </si>
  <si>
    <t>enarrie7c@google.co.jp</t>
  </si>
  <si>
    <t>75548 Monument Center</t>
  </si>
  <si>
    <t>c657f940</t>
  </si>
  <si>
    <t>Babara</t>
  </si>
  <si>
    <t>bborrill7d@unicef.org</t>
  </si>
  <si>
    <t>9 Harper Place</t>
  </si>
  <si>
    <t>c8096f67</t>
  </si>
  <si>
    <t>Trumaine</t>
  </si>
  <si>
    <t>tszepe7e@answers.com</t>
  </si>
  <si>
    <t>800 Superior Avenue</t>
  </si>
  <si>
    <t>c364pe68</t>
  </si>
  <si>
    <t>Abdul</t>
  </si>
  <si>
    <t>agrealey7f@behance.net</t>
  </si>
  <si>
    <t>13 Fairfield Lane</t>
  </si>
  <si>
    <t>c469hh63</t>
  </si>
  <si>
    <t>Doris</t>
  </si>
  <si>
    <t>dgabbotts7g@tamu.edu</t>
  </si>
  <si>
    <t>29049 Hovde Way</t>
  </si>
  <si>
    <t>c845hl51</t>
  </si>
  <si>
    <t>Amie</t>
  </si>
  <si>
    <t>awallworke7h@slideshare.net</t>
  </si>
  <si>
    <t>1595 Duke Way</t>
  </si>
  <si>
    <t>c828fb12</t>
  </si>
  <si>
    <t>Mellisa</t>
  </si>
  <si>
    <t>mplackstone7i@moonfruit.com</t>
  </si>
  <si>
    <t>6285 Hermina Junction</t>
  </si>
  <si>
    <t>c217kl34</t>
  </si>
  <si>
    <t>Nev</t>
  </si>
  <si>
    <t>ndegrey7j@ocn.ne.jp</t>
  </si>
  <si>
    <t>1810 Springview Drive</t>
  </si>
  <si>
    <t>c377f611</t>
  </si>
  <si>
    <t>Abagael</t>
  </si>
  <si>
    <t>ashand7k@marriott.com</t>
  </si>
  <si>
    <t>14181 Merrick Terrace</t>
  </si>
  <si>
    <t>c059t758</t>
  </si>
  <si>
    <t>Brena</t>
  </si>
  <si>
    <t>bbartozzi7l@github.com</t>
  </si>
  <si>
    <t>82 Shopko Park</t>
  </si>
  <si>
    <t>c682yy29</t>
  </si>
  <si>
    <t>Marcie</t>
  </si>
  <si>
    <t>mbrouard7m@cafepress.com</t>
  </si>
  <si>
    <t>6772 Jackson Drive</t>
  </si>
  <si>
    <t>c2174g55</t>
  </si>
  <si>
    <t>Peggi</t>
  </si>
  <si>
    <t>pspadoni7n@jugem.jp</t>
  </si>
  <si>
    <t>0 Fisk Plaza</t>
  </si>
  <si>
    <t>c655rl87</t>
  </si>
  <si>
    <t>Corrie</t>
  </si>
  <si>
    <t>cpain7o@gnu.org</t>
  </si>
  <si>
    <t>58949 Armistice Alley</t>
  </si>
  <si>
    <t>c423j256</t>
  </si>
  <si>
    <t>Jerrine</t>
  </si>
  <si>
    <t>jwellman7p@home.pl</t>
  </si>
  <si>
    <t>52986 Stone Corner Lane</t>
  </si>
  <si>
    <t>c264zq64</t>
  </si>
  <si>
    <t>Theodore</t>
  </si>
  <si>
    <t>tdunley7q@issuu.com</t>
  </si>
  <si>
    <t>80 Spenser Hill</t>
  </si>
  <si>
    <t>c217f944</t>
  </si>
  <si>
    <t>Sarah</t>
  </si>
  <si>
    <t>ssumption7r@youtube.com</t>
  </si>
  <si>
    <t>04 Mayfield Court</t>
  </si>
  <si>
    <t>c937cj03</t>
  </si>
  <si>
    <t>Humfrid</t>
  </si>
  <si>
    <t>hstott7s@nationalgeographic.com</t>
  </si>
  <si>
    <t>437 Bayside Lane</t>
  </si>
  <si>
    <t>c436s972</t>
  </si>
  <si>
    <t>Delia</t>
  </si>
  <si>
    <t>degleton7t@feedburner.com</t>
  </si>
  <si>
    <t>73190 La Follette Place</t>
  </si>
  <si>
    <t>c8098h64</t>
  </si>
  <si>
    <t>Caspar</t>
  </si>
  <si>
    <t>cfeaveryear7u@histats.com</t>
  </si>
  <si>
    <t>7208 Farmco Avenue</t>
  </si>
  <si>
    <t>c1708y80</t>
  </si>
  <si>
    <t>Kalvin</t>
  </si>
  <si>
    <t>kpierse7v@ehow.com</t>
  </si>
  <si>
    <t>4 Carberry Alley</t>
  </si>
  <si>
    <t>c941wa00</t>
  </si>
  <si>
    <t>Marcile</t>
  </si>
  <si>
    <t>mfegan7w@sina.com.cn</t>
  </si>
  <si>
    <t>233 Continental Parkway</t>
  </si>
  <si>
    <t>c100g204</t>
  </si>
  <si>
    <t>Ainsley</t>
  </si>
  <si>
    <t>aleaney7x@deliciousdays.com</t>
  </si>
  <si>
    <t>6201 Colorado Point</t>
  </si>
  <si>
    <t>c069sv80</t>
  </si>
  <si>
    <t>Dyana</t>
  </si>
  <si>
    <t>dheninghem7y@tinypic.com</t>
  </si>
  <si>
    <t>379 Sundown Court</t>
  </si>
  <si>
    <t>c6023792</t>
  </si>
  <si>
    <t>Kare</t>
  </si>
  <si>
    <t>kmillsom7z@uiuc.edu</t>
  </si>
  <si>
    <t>34891 Novick Lane</t>
  </si>
  <si>
    <t>c152dl14</t>
  </si>
  <si>
    <t>Madelaine</t>
  </si>
  <si>
    <t>mianinotti80@w3.org</t>
  </si>
  <si>
    <t>80 Spenser Trail</t>
  </si>
  <si>
    <t>c9156c84</t>
  </si>
  <si>
    <t>Mable</t>
  </si>
  <si>
    <t>msiaspinski81@cbc.ca</t>
  </si>
  <si>
    <t>00 Bayside Way</t>
  </si>
  <si>
    <t>c379ns16</t>
  </si>
  <si>
    <t>Gabbie</t>
  </si>
  <si>
    <t>ggeggie82@hhs.gov</t>
  </si>
  <si>
    <t>260 Banding Place</t>
  </si>
  <si>
    <t>c9969611</t>
  </si>
  <si>
    <t>Kalie</t>
  </si>
  <si>
    <t>kmccluin83@ted.com</t>
  </si>
  <si>
    <t>28 Manufacturers Junction</t>
  </si>
  <si>
    <t>c730fr30</t>
  </si>
  <si>
    <t>sayrton84@rakuten.co.jp</t>
  </si>
  <si>
    <t>6 Thompson Circle</t>
  </si>
  <si>
    <t>c264dl23</t>
  </si>
  <si>
    <t>Ellerey</t>
  </si>
  <si>
    <t>elearoid85@unesco.org</t>
  </si>
  <si>
    <t>9 Red Cloud Parkway</t>
  </si>
  <si>
    <t>c412r546</t>
  </si>
  <si>
    <t>Romain</t>
  </si>
  <si>
    <t>rdarco86@over-blog.com</t>
  </si>
  <si>
    <t>12 Shasta Lane</t>
  </si>
  <si>
    <t>c952u667</t>
  </si>
  <si>
    <t>Berkly</t>
  </si>
  <si>
    <t>bspearett87@squidoo.com</t>
  </si>
  <si>
    <t>220 Columbus Lane</t>
  </si>
  <si>
    <t>c931ka23</t>
  </si>
  <si>
    <t>Hubert</t>
  </si>
  <si>
    <t>hlinay88@github.com</t>
  </si>
  <si>
    <t>4256 Johnson Junction</t>
  </si>
  <si>
    <t>c164rx74</t>
  </si>
  <si>
    <t>Mead</t>
  </si>
  <si>
    <t>msnedker89@nsw.gov.au</t>
  </si>
  <si>
    <t>845 Anthes Park</t>
  </si>
  <si>
    <t>c5477r88</t>
  </si>
  <si>
    <t>Melvin</t>
  </si>
  <si>
    <t>mbelward8a@fema.gov</t>
  </si>
  <si>
    <t>0631 Northland Alley</t>
  </si>
  <si>
    <t>c4863f94</t>
  </si>
  <si>
    <t>Valina</t>
  </si>
  <si>
    <t>vjaouen8b@admin.ch</t>
  </si>
  <si>
    <t>265 Surrey Circle</t>
  </si>
  <si>
    <t>c6501972</t>
  </si>
  <si>
    <t>Tatiania</t>
  </si>
  <si>
    <t>tvidyapin8c@intel.com</t>
  </si>
  <si>
    <t>68214 Westerfield Crossing</t>
  </si>
  <si>
    <t>c772hb03</t>
  </si>
  <si>
    <t>Sylas</t>
  </si>
  <si>
    <t>sbenyan8d@icio.us</t>
  </si>
  <si>
    <t>1 Susan Place</t>
  </si>
  <si>
    <t>c151ox49</t>
  </si>
  <si>
    <t>Rand</t>
  </si>
  <si>
    <t>rstrothers8e@admin.ch</t>
  </si>
  <si>
    <t>19 Barby Road</t>
  </si>
  <si>
    <t>c051cj96</t>
  </si>
  <si>
    <t>Temp</t>
  </si>
  <si>
    <t>tdarrach8f@joomla.org</t>
  </si>
  <si>
    <t>99 Stang Parkway</t>
  </si>
  <si>
    <t>c469lo81</t>
  </si>
  <si>
    <t>Gill</t>
  </si>
  <si>
    <t>gsievewright8g@eventbrite.com</t>
  </si>
  <si>
    <t>71 Sheridan Road</t>
  </si>
  <si>
    <t>c020ky50</t>
  </si>
  <si>
    <t>Aeriel</t>
  </si>
  <si>
    <t>apepperrall8h@huffingtonpost.com</t>
  </si>
  <si>
    <t>7615 Scofield Pass</t>
  </si>
  <si>
    <t>c7958i96</t>
  </si>
  <si>
    <t>Bryna</t>
  </si>
  <si>
    <t>brubinowicz8i@nhs.uk</t>
  </si>
  <si>
    <t>97604 Harbort Place</t>
  </si>
  <si>
    <t>c1831d01</t>
  </si>
  <si>
    <t>Lura</t>
  </si>
  <si>
    <t>lrouse8j@alexa.com</t>
  </si>
  <si>
    <t>3 Kinsman Street</t>
  </si>
  <si>
    <t>c8622a57</t>
  </si>
  <si>
    <t>Merridie</t>
  </si>
  <si>
    <t>mlinnemann8k@google.ca</t>
  </si>
  <si>
    <t>32810 Orin Pass</t>
  </si>
  <si>
    <t>c6618045</t>
  </si>
  <si>
    <t>Natividad</t>
  </si>
  <si>
    <t>nfendlow8l@google.ca</t>
  </si>
  <si>
    <t>638 Hoard Center</t>
  </si>
  <si>
    <t>c8076c16</t>
  </si>
  <si>
    <t>Laverne</t>
  </si>
  <si>
    <t>lditt8m@tripadvisor.com</t>
  </si>
  <si>
    <t>84 Cherokee Lane</t>
  </si>
  <si>
    <t>c806xq35</t>
  </si>
  <si>
    <t>Angela</t>
  </si>
  <si>
    <t>asessuns8n@nytimes.com</t>
  </si>
  <si>
    <t>525 Oakridge Court</t>
  </si>
  <si>
    <t>c191dv41</t>
  </si>
  <si>
    <t>Hettie</t>
  </si>
  <si>
    <t>hfairman8o@sbwire.com</t>
  </si>
  <si>
    <t>59 Trailsway Road</t>
  </si>
  <si>
    <t>c5504038</t>
  </si>
  <si>
    <t>Drake</t>
  </si>
  <si>
    <t>dcosins8p@omniture.com</t>
  </si>
  <si>
    <t>6 Florence Plaza</t>
  </si>
  <si>
    <t>c021rz42</t>
  </si>
  <si>
    <t>Marnie</t>
  </si>
  <si>
    <t>mheskey8q@msn.com</t>
  </si>
  <si>
    <t>65613 Blue Bill Park Terrace</t>
  </si>
  <si>
    <t>c288xv98</t>
  </si>
  <si>
    <t>Elbertine</t>
  </si>
  <si>
    <t>eshyres8r@hhs.gov</t>
  </si>
  <si>
    <t>5 Emmet Point</t>
  </si>
  <si>
    <t>c930ql47</t>
  </si>
  <si>
    <t>Stevena</t>
  </si>
  <si>
    <t>sconfort8s@shop-pro.jp</t>
  </si>
  <si>
    <t>4 Ludington Alley</t>
  </si>
  <si>
    <t>c0028r76</t>
  </si>
  <si>
    <t>Codee</t>
  </si>
  <si>
    <t>cdraper8t@comsenz.com</t>
  </si>
  <si>
    <t>18244 Lakewood Gardens Drive</t>
  </si>
  <si>
    <t>c630qw83</t>
  </si>
  <si>
    <t>Justine</t>
  </si>
  <si>
    <t>jferryn8u@google.pl</t>
  </si>
  <si>
    <t>830 Lukken Road</t>
  </si>
  <si>
    <t>c345gk21</t>
  </si>
  <si>
    <t>Marthe</t>
  </si>
  <si>
    <t>mmaccumiskey8v@storify.com</t>
  </si>
  <si>
    <t>70441 Melody Road</t>
  </si>
  <si>
    <t>c3373x64</t>
  </si>
  <si>
    <t>Huey</t>
  </si>
  <si>
    <t>hhindmore8w@imdb.com</t>
  </si>
  <si>
    <t>55 Grim Place</t>
  </si>
  <si>
    <t>c817cc21</t>
  </si>
  <si>
    <t>Simon</t>
  </si>
  <si>
    <t>syezafovich8x@prnewswire.com</t>
  </si>
  <si>
    <t>82 Montana Way</t>
  </si>
  <si>
    <t>c844do22</t>
  </si>
  <si>
    <t>Marty</t>
  </si>
  <si>
    <t>mdolohunty8y@phpbb.com</t>
  </si>
  <si>
    <t>52473 Northfield Place</t>
  </si>
  <si>
    <t>c855fa89</t>
  </si>
  <si>
    <t>Leena</t>
  </si>
  <si>
    <t>lcranshaw8z@forbes.com</t>
  </si>
  <si>
    <t>57 Glacier Hill Terrace</t>
  </si>
  <si>
    <t>c5423k03</t>
  </si>
  <si>
    <t>Gaston</t>
  </si>
  <si>
    <t>gfeldmann90@chronoengine.com</t>
  </si>
  <si>
    <t>588 Springview Road</t>
  </si>
  <si>
    <t>c583lx08</t>
  </si>
  <si>
    <t>Saree</t>
  </si>
  <si>
    <t>scaulkett91@quantcast.com</t>
  </si>
  <si>
    <t>2 Golf View Pass</t>
  </si>
  <si>
    <t>c397o346</t>
  </si>
  <si>
    <t>Luke</t>
  </si>
  <si>
    <t>lpattlel92@exblog.jp</t>
  </si>
  <si>
    <t>53068 Derek Park</t>
  </si>
  <si>
    <t>c346ba59</t>
  </si>
  <si>
    <t>Vivianna</t>
  </si>
  <si>
    <t>vpallasch93@wordpress.com</t>
  </si>
  <si>
    <t>2 Chive Pass</t>
  </si>
  <si>
    <t>c766ny61</t>
  </si>
  <si>
    <t>Jodie</t>
  </si>
  <si>
    <t>jpodd94@tiny.cc</t>
  </si>
  <si>
    <t>041 Lunder Lane</t>
  </si>
  <si>
    <t>c033tm28</t>
  </si>
  <si>
    <t>Vonny</t>
  </si>
  <si>
    <t>vkalkofen95@examiner.com</t>
  </si>
  <si>
    <t>62301 Garrison Junction</t>
  </si>
  <si>
    <t>c225z048</t>
  </si>
  <si>
    <t>Tarah</t>
  </si>
  <si>
    <t>tbartholomaus96@pen.io</t>
  </si>
  <si>
    <t>399 Comanche Way</t>
  </si>
  <si>
    <t>c5239v26</t>
  </si>
  <si>
    <t>Orelee</t>
  </si>
  <si>
    <t>okeepin97@sphinn.com</t>
  </si>
  <si>
    <t>8059 Grover Road</t>
  </si>
  <si>
    <t>c388dk17</t>
  </si>
  <si>
    <t>Aarika</t>
  </si>
  <si>
    <t>acalton98@canalblog.com</t>
  </si>
  <si>
    <t>7612 Lyons Crossing</t>
  </si>
  <si>
    <t>c732ux79</t>
  </si>
  <si>
    <t>Kitty</t>
  </si>
  <si>
    <t>kputtergill99@elpais.com</t>
  </si>
  <si>
    <t>6 Dorton Point</t>
  </si>
  <si>
    <t>c2175719</t>
  </si>
  <si>
    <t>Mariejeanne</t>
  </si>
  <si>
    <t>mclaire9a@fotki.com</t>
  </si>
  <si>
    <t>0 Milwaukee Crossing</t>
  </si>
  <si>
    <t>c290aq07</t>
  </si>
  <si>
    <t>Tabby</t>
  </si>
  <si>
    <t>tbeynon9b@google.ru</t>
  </si>
  <si>
    <t>98 Waxwing Trail</t>
  </si>
  <si>
    <t>c718pn16</t>
  </si>
  <si>
    <t>Candi</t>
  </si>
  <si>
    <t>cbreslau9c@liveinternet.ru</t>
  </si>
  <si>
    <t>37053 Lien Center</t>
  </si>
  <si>
    <t>c521qf51</t>
  </si>
  <si>
    <t>rdemarchi9d@ask.com</t>
  </si>
  <si>
    <t>8 Novick Drive</t>
  </si>
  <si>
    <t>c624ci61</t>
  </si>
  <si>
    <t>Diahann</t>
  </si>
  <si>
    <t>ddantesia9e@t.co</t>
  </si>
  <si>
    <t>74 2nd Pass</t>
  </si>
  <si>
    <t>c803j427</t>
  </si>
  <si>
    <t>Boothe</t>
  </si>
  <si>
    <t>bwithrop9f@wufoo.com</t>
  </si>
  <si>
    <t>4 Commercial Crossing</t>
  </si>
  <si>
    <t>c623yu63</t>
  </si>
  <si>
    <t>Joeann</t>
  </si>
  <si>
    <t>jmorter9g@umich.edu</t>
  </si>
  <si>
    <t>45 Bultman Road</t>
  </si>
  <si>
    <t>c045fx05</t>
  </si>
  <si>
    <t>vcreasy9h@sakura.ne.jp</t>
  </si>
  <si>
    <t>393 Myrtle Drive</t>
  </si>
  <si>
    <t>c332f574</t>
  </si>
  <si>
    <t>Hollyanne</t>
  </si>
  <si>
    <t>hsherwyn9i@hexun.com</t>
  </si>
  <si>
    <t>1590 Nobel Drive</t>
  </si>
  <si>
    <t>c238ht74</t>
  </si>
  <si>
    <t>Nikaniki</t>
  </si>
  <si>
    <t>nriccardi9j@amazon.de</t>
  </si>
  <si>
    <t>03733 Jenna Terrace</t>
  </si>
  <si>
    <t>c6714747</t>
  </si>
  <si>
    <t>Roslyn</t>
  </si>
  <si>
    <t>rmartinelli9k@hud.gov</t>
  </si>
  <si>
    <t>29723 Norway Maple Junction</t>
  </si>
  <si>
    <t>c823ox53</t>
  </si>
  <si>
    <t>Madelin</t>
  </si>
  <si>
    <t>mhandaside9l@ucoz.com</t>
  </si>
  <si>
    <t>2 Hoepker Hill</t>
  </si>
  <si>
    <t>c663m966</t>
  </si>
  <si>
    <t>Niven</t>
  </si>
  <si>
    <t>nhoggetts9m@earthlink.net</t>
  </si>
  <si>
    <t>07353 Transport Place</t>
  </si>
  <si>
    <t>c6911994</t>
  </si>
  <si>
    <t>Alfreda</t>
  </si>
  <si>
    <t>apickersail9n@nationalgeographic.com</t>
  </si>
  <si>
    <t>73 Laurel Center</t>
  </si>
  <si>
    <t>c721nw79</t>
  </si>
  <si>
    <t>Arlinda</t>
  </si>
  <si>
    <t>aivanishin9o@amazon.co.uk</t>
  </si>
  <si>
    <t>3975 Ludington Circle</t>
  </si>
  <si>
    <t>c598et83</t>
  </si>
  <si>
    <t>Con</t>
  </si>
  <si>
    <t>ctandy9p@qq.com</t>
  </si>
  <si>
    <t>24 Oneill Place</t>
  </si>
  <si>
    <t>c5070063</t>
  </si>
  <si>
    <t>Tatum</t>
  </si>
  <si>
    <t>tthaine9q@multiply.com</t>
  </si>
  <si>
    <t>6 Homewood Park</t>
  </si>
  <si>
    <t>c7159f06</t>
  </si>
  <si>
    <t>Jobyna</t>
  </si>
  <si>
    <t>jblakes9r@jalbum.net</t>
  </si>
  <si>
    <t>5 East Road</t>
  </si>
  <si>
    <t>c856h104</t>
  </si>
  <si>
    <t>Latisha</t>
  </si>
  <si>
    <t>lplues9s@oaic.gov.au</t>
  </si>
  <si>
    <t>1659 Browning Court</t>
  </si>
  <si>
    <t>c210c049</t>
  </si>
  <si>
    <t>Shelba</t>
  </si>
  <si>
    <t>sgateman9t@pbs.org</t>
  </si>
  <si>
    <t>5 Gina Road</t>
  </si>
  <si>
    <t>c7678752</t>
  </si>
  <si>
    <t>Barbee</t>
  </si>
  <si>
    <t>bwitson9u@columbia.edu</t>
  </si>
  <si>
    <t>554 Lindbergh Center</t>
  </si>
  <si>
    <t>c504wy88</t>
  </si>
  <si>
    <t>Janaye</t>
  </si>
  <si>
    <t>jranyelld9v@fastcompany.com</t>
  </si>
  <si>
    <t>34 Golf View Crossing</t>
  </si>
  <si>
    <t>c804b596</t>
  </si>
  <si>
    <t>rhasard9w@webmd.com</t>
  </si>
  <si>
    <t>936 Cascade Trail</t>
  </si>
  <si>
    <t>c263ww37</t>
  </si>
  <si>
    <t>Tybie</t>
  </si>
  <si>
    <t>tlarmour9x@accuweather.com</t>
  </si>
  <si>
    <t>71 Thackeray Park</t>
  </si>
  <si>
    <t>c232iu56</t>
  </si>
  <si>
    <t>Rollie</t>
  </si>
  <si>
    <t>rgiacoboni9y@geocities.com</t>
  </si>
  <si>
    <t>5 Fairview Way</t>
  </si>
  <si>
    <t>c551c982</t>
  </si>
  <si>
    <t>Edgard</t>
  </si>
  <si>
    <t>enorthill9z@gizmodo.com</t>
  </si>
  <si>
    <t>504 Merchant Point</t>
  </si>
  <si>
    <t>c8422b78</t>
  </si>
  <si>
    <t>Veradis</t>
  </si>
  <si>
    <t>vjenessa0@altervista.org</t>
  </si>
  <si>
    <t>51243 Fairview Plaza</t>
  </si>
  <si>
    <t>c293c615</t>
  </si>
  <si>
    <t>Dorrie</t>
  </si>
  <si>
    <t>dbrethertona1@hc360.com</t>
  </si>
  <si>
    <t>2559 Elmside Plaza</t>
  </si>
  <si>
    <t>c646yp01</t>
  </si>
  <si>
    <t>Emmott</t>
  </si>
  <si>
    <t>estilliarda2@edublogs.org</t>
  </si>
  <si>
    <t>6758 6th Place</t>
  </si>
  <si>
    <t>c6547478</t>
  </si>
  <si>
    <t>Anny</t>
  </si>
  <si>
    <t>asnapea3@apple.com</t>
  </si>
  <si>
    <t>993 American Avenue</t>
  </si>
  <si>
    <t>c672j056</t>
  </si>
  <si>
    <t>Rori</t>
  </si>
  <si>
    <t>rmalthousea4@oakley.com</t>
  </si>
  <si>
    <t>52 Bluejay Lane</t>
  </si>
  <si>
    <t>c917rq13</t>
  </si>
  <si>
    <t>Korney</t>
  </si>
  <si>
    <t>kshaula5@yale.edu</t>
  </si>
  <si>
    <t>75 Hovde Way</t>
  </si>
  <si>
    <t>c428gi10</t>
  </si>
  <si>
    <t>Dominica</t>
  </si>
  <si>
    <t>darchbella6@vk.com</t>
  </si>
  <si>
    <t>9 Spenser Court</t>
  </si>
  <si>
    <t>c6403n22</t>
  </si>
  <si>
    <t>Estell</t>
  </si>
  <si>
    <t>etzarkova7@mysql.com</t>
  </si>
  <si>
    <t>5 Di Loreto Terrace</t>
  </si>
  <si>
    <t>c532gj64</t>
  </si>
  <si>
    <t>Lara</t>
  </si>
  <si>
    <t>ltroya8@pen.io</t>
  </si>
  <si>
    <t>8761 Sutteridge Center</t>
  </si>
  <si>
    <t>c9025b91</t>
  </si>
  <si>
    <t>Sher</t>
  </si>
  <si>
    <t>ssmittena9@ameblo.jp</t>
  </si>
  <si>
    <t>9 Fisk Circle</t>
  </si>
  <si>
    <t>c273d888</t>
  </si>
  <si>
    <t>Billie</t>
  </si>
  <si>
    <t>bmccoyaa@wordpress.com</t>
  </si>
  <si>
    <t>1791 Lindbergh Place</t>
  </si>
  <si>
    <t>c566tj66</t>
  </si>
  <si>
    <t>Casandra</t>
  </si>
  <si>
    <t>crosenstielab@etsy.com</t>
  </si>
  <si>
    <t>58 Clemons Hill</t>
  </si>
  <si>
    <t>c8283r42</t>
  </si>
  <si>
    <t>Calley</t>
  </si>
  <si>
    <t>clewryac@google.de</t>
  </si>
  <si>
    <t>4075 Fair Oaks Drive</t>
  </si>
  <si>
    <t>c3659348</t>
  </si>
  <si>
    <t>Tracee</t>
  </si>
  <si>
    <t>tagettad@nsw.gov.au</t>
  </si>
  <si>
    <t>0 North Street</t>
  </si>
  <si>
    <t>c4439i11</t>
  </si>
  <si>
    <t>Renie</t>
  </si>
  <si>
    <t>rmaddisonae@engadget.com</t>
  </si>
  <si>
    <t>0 West Terrace</t>
  </si>
  <si>
    <t>c6746p44</t>
  </si>
  <si>
    <t>Ambrosio</t>
  </si>
  <si>
    <t>ayuleaf@google.co.uk</t>
  </si>
  <si>
    <t>7101 Basil Alley</t>
  </si>
  <si>
    <t>c988uw84</t>
  </si>
  <si>
    <t>Nariko</t>
  </si>
  <si>
    <t>nelcoateag@fema.gov</t>
  </si>
  <si>
    <t>70415 Bashford Drive</t>
  </si>
  <si>
    <t>c449b069</t>
  </si>
  <si>
    <t>Lavena</t>
  </si>
  <si>
    <t>lmastersonah@patch.com</t>
  </si>
  <si>
    <t>2 Sauthoff Avenue</t>
  </si>
  <si>
    <t>c4428t09</t>
  </si>
  <si>
    <t>Frans</t>
  </si>
  <si>
    <t>fbirdsallai@purevolume.com</t>
  </si>
  <si>
    <t>73 Boyd Pass</t>
  </si>
  <si>
    <t>c2137729</t>
  </si>
  <si>
    <t>Eddi</t>
  </si>
  <si>
    <t>ebladenaj@people.com.cn</t>
  </si>
  <si>
    <t>2887 Morningstar Place</t>
  </si>
  <si>
    <t>c2784t65</t>
  </si>
  <si>
    <t>Inglis</t>
  </si>
  <si>
    <t>ivedstraak@kickstarter.com</t>
  </si>
  <si>
    <t>4090 Boyd Park</t>
  </si>
  <si>
    <t>c659gc03</t>
  </si>
  <si>
    <t>Neddie</t>
  </si>
  <si>
    <t>ndybellal@bandcamp.com</t>
  </si>
  <si>
    <t>83 Loftsgordon Street</t>
  </si>
  <si>
    <t>c732m703</t>
  </si>
  <si>
    <t>Giffie</t>
  </si>
  <si>
    <t>gginieam@barnesandnoble.com</t>
  </si>
  <si>
    <t>657 Hoffman Terrace</t>
  </si>
  <si>
    <t>c347mv76</t>
  </si>
  <si>
    <t>Drud</t>
  </si>
  <si>
    <t>ddickan@arstechnica.com</t>
  </si>
  <si>
    <t>78013 Moland Crossing</t>
  </si>
  <si>
    <t>c306pr05</t>
  </si>
  <si>
    <t>Isa</t>
  </si>
  <si>
    <t>igibbesonao@facebook.com</t>
  </si>
  <si>
    <t>24 Arkansas Trail</t>
  </si>
  <si>
    <t>c609k836</t>
  </si>
  <si>
    <t>Beverley</t>
  </si>
  <si>
    <t>bstokeap@alexa.com</t>
  </si>
  <si>
    <t>686 Sunfield Street</t>
  </si>
  <si>
    <t>c2446r83</t>
  </si>
  <si>
    <t>Gusta</t>
  </si>
  <si>
    <t>grookesbyaq@woothemes.com</t>
  </si>
  <si>
    <t>59 Cardinal Park</t>
  </si>
  <si>
    <t>c958f492</t>
  </si>
  <si>
    <t>Erminie</t>
  </si>
  <si>
    <t>efontinar@usnews.com</t>
  </si>
  <si>
    <t>54 Brown Hill</t>
  </si>
  <si>
    <t>c008zd08</t>
  </si>
  <si>
    <t>Nerissa</t>
  </si>
  <si>
    <t>ngilleras@behance.net</t>
  </si>
  <si>
    <t>68435 Dapin Alley</t>
  </si>
  <si>
    <t>c238bn79</t>
  </si>
  <si>
    <t>Kinsley</t>
  </si>
  <si>
    <t>kcomelliat@narod.ru</t>
  </si>
  <si>
    <t>814 Havey Alley</t>
  </si>
  <si>
    <t>c5335x12</t>
  </si>
  <si>
    <t>uliebrechtau@canalblog.com</t>
  </si>
  <si>
    <t>72997 Di Loreto Court</t>
  </si>
  <si>
    <t>c554ho71</t>
  </si>
  <si>
    <t>Blakelee</t>
  </si>
  <si>
    <t>btalbotav@tumblr.com</t>
  </si>
  <si>
    <t>8 Delaware Junction</t>
  </si>
  <si>
    <t>c0617x98</t>
  </si>
  <si>
    <t>Wenda</t>
  </si>
  <si>
    <t>wbachaw@diigo.com</t>
  </si>
  <si>
    <t>935 Ridge Oak Lane</t>
  </si>
  <si>
    <t>c8066x51</t>
  </si>
  <si>
    <t>Kathryne</t>
  </si>
  <si>
    <t>ksaxtonax@tripadvisor.com</t>
  </si>
  <si>
    <t>0 Merry Court</t>
  </si>
  <si>
    <t>c4014035</t>
  </si>
  <si>
    <t>Shalne</t>
  </si>
  <si>
    <t>spfefferay@google.co.jp</t>
  </si>
  <si>
    <t>9490 Homewood Parkway</t>
  </si>
  <si>
    <t>c408sa41</t>
  </si>
  <si>
    <t>Nelson</t>
  </si>
  <si>
    <t>nschachteraz@amazon.de</t>
  </si>
  <si>
    <t>97774 Florence Terrace</t>
  </si>
  <si>
    <t>c246rr16</t>
  </si>
  <si>
    <t>Pieter</t>
  </si>
  <si>
    <t>pgresonb0@harvard.edu</t>
  </si>
  <si>
    <t>5076 Forest Center</t>
  </si>
  <si>
    <t>c796k673</t>
  </si>
  <si>
    <t>Blancha</t>
  </si>
  <si>
    <t>bphilipsohnb1@stumbleupon.com</t>
  </si>
  <si>
    <t>047 Holy Cross Parkway</t>
  </si>
  <si>
    <t>c781fr87</t>
  </si>
  <si>
    <t>Kenton</t>
  </si>
  <si>
    <t>kjugginsb2@ed.gov</t>
  </si>
  <si>
    <t>3402 Monica Terrace</t>
  </si>
  <si>
    <t>c511yd56</t>
  </si>
  <si>
    <t>Deloris</t>
  </si>
  <si>
    <t>dsilverwoodb3@de.vu</t>
  </si>
  <si>
    <t>4616 Sunnyside Drive</t>
  </si>
  <si>
    <t>c060zg48</t>
  </si>
  <si>
    <t>jbendellb4@army.mil</t>
  </si>
  <si>
    <t>9619 Kennedy Road</t>
  </si>
  <si>
    <t>c829f843</t>
  </si>
  <si>
    <t>Diandra</t>
  </si>
  <si>
    <t>ddymidowiczb5@xing.com</t>
  </si>
  <si>
    <t>1 Carpenter Trail</t>
  </si>
  <si>
    <t>c803f445</t>
  </si>
  <si>
    <t>Yuma</t>
  </si>
  <si>
    <t>yrogisterb6@abc.net.au</t>
  </si>
  <si>
    <t>6 Old Gate Alley</t>
  </si>
  <si>
    <t>c824w912</t>
  </si>
  <si>
    <t>Mattie</t>
  </si>
  <si>
    <t>mmccormackb7@hexun.com</t>
  </si>
  <si>
    <t>12 Stang Street</t>
  </si>
  <si>
    <t>c137yi56</t>
  </si>
  <si>
    <t>Katharyn</t>
  </si>
  <si>
    <t>kblabieb8@businessinsider.com</t>
  </si>
  <si>
    <t>7021 Onsgard Alley</t>
  </si>
  <si>
    <t>c0041g27</t>
  </si>
  <si>
    <t>Corbie</t>
  </si>
  <si>
    <t>cbunstonb9@fastcompany.com</t>
  </si>
  <si>
    <t>1 Village Green Court</t>
  </si>
  <si>
    <t>c078w905</t>
  </si>
  <si>
    <t>Jeramey</t>
  </si>
  <si>
    <t>jleverentzba@aboutads.info</t>
  </si>
  <si>
    <t>60219 Pearson Hill</t>
  </si>
  <si>
    <t>c590c347</t>
  </si>
  <si>
    <t>Franz</t>
  </si>
  <si>
    <t>fschimkebb@about.me</t>
  </si>
  <si>
    <t>59620 Iowa Plaza</t>
  </si>
  <si>
    <t>c248q112</t>
  </si>
  <si>
    <t>Adelina</t>
  </si>
  <si>
    <t>aannesleybc@epa.gov</t>
  </si>
  <si>
    <t>556 Merchant Road</t>
  </si>
  <si>
    <t>c138pj44</t>
  </si>
  <si>
    <t>bmyersbd@unc.edu</t>
  </si>
  <si>
    <t>28619 American Ash Road</t>
  </si>
  <si>
    <t>c043sm30</t>
  </si>
  <si>
    <t>Jessee</t>
  </si>
  <si>
    <t>jbumfordbe@sakura.ne.jp</t>
  </si>
  <si>
    <t>2039 Mcbride Center</t>
  </si>
  <si>
    <t>c9456m93</t>
  </si>
  <si>
    <t>Odell</t>
  </si>
  <si>
    <t>oclatworthybf@economist.com</t>
  </si>
  <si>
    <t>341 Prairieview Crossing</t>
  </si>
  <si>
    <t>c625h470</t>
  </si>
  <si>
    <t>Darb</t>
  </si>
  <si>
    <t>drandellbg@furl.net</t>
  </si>
  <si>
    <t>00 7th Point</t>
  </si>
  <si>
    <t>c954vn27</t>
  </si>
  <si>
    <t>wpoundesfordbh@spiegel.de</t>
  </si>
  <si>
    <t>27113 Roxbury Lane</t>
  </si>
  <si>
    <t>c548gy01</t>
  </si>
  <si>
    <t>Wilhelmina</t>
  </si>
  <si>
    <t>wtutebi@elpais.com</t>
  </si>
  <si>
    <t>82585 Longview Road</t>
  </si>
  <si>
    <t>c5040k14</t>
  </si>
  <si>
    <t>Rodd</t>
  </si>
  <si>
    <t>rbowcockbj@instagram.com</t>
  </si>
  <si>
    <t>7 Russell Place</t>
  </si>
  <si>
    <t>c662qk71</t>
  </si>
  <si>
    <t>Tresa</t>
  </si>
  <si>
    <t>ttrillowbk@de.vu</t>
  </si>
  <si>
    <t>558 Saint Paul Hill</t>
  </si>
  <si>
    <t>c611bb05</t>
  </si>
  <si>
    <t>Nehemiah</t>
  </si>
  <si>
    <t>ndulinbl@businessinsider.com</t>
  </si>
  <si>
    <t>73280 Meadow Ridge Trail</t>
  </si>
  <si>
    <t>c7522e25</t>
  </si>
  <si>
    <t>Herminia</t>
  </si>
  <si>
    <t>hrucklidgebm@google.ru</t>
  </si>
  <si>
    <t>68192 Algoma Trail</t>
  </si>
  <si>
    <t>c0629734</t>
  </si>
  <si>
    <t>Janice</t>
  </si>
  <si>
    <t>jcheesemanbn@army.mil</t>
  </si>
  <si>
    <t>53 Columbus Drive</t>
  </si>
  <si>
    <t>c283kk12</t>
  </si>
  <si>
    <t>Bryn</t>
  </si>
  <si>
    <t>bchadbandbo@ocn.ne.jp</t>
  </si>
  <si>
    <t>8998 Sutherland Pass</t>
  </si>
  <si>
    <t>c284fw52</t>
  </si>
  <si>
    <t>Izaak</t>
  </si>
  <si>
    <t>idonsonbp@cmu.edu</t>
  </si>
  <si>
    <t>2274 Dorton Circle</t>
  </si>
  <si>
    <t>c254rp58</t>
  </si>
  <si>
    <t>Alden</t>
  </si>
  <si>
    <t>ashakesbyebq@geocities.jp</t>
  </si>
  <si>
    <t>49 Stoughton Lane</t>
  </si>
  <si>
    <t>c6102k67</t>
  </si>
  <si>
    <t>Murial</t>
  </si>
  <si>
    <t>mgoshawkebr@army.mil</t>
  </si>
  <si>
    <t>7117 Sunfield Pass</t>
  </si>
  <si>
    <t>c284fh24</t>
  </si>
  <si>
    <t>Hyacintha</t>
  </si>
  <si>
    <t>hleyesbs@nationalgeographic.com</t>
  </si>
  <si>
    <t>959 Porter Hill</t>
  </si>
  <si>
    <t>c315yd76</t>
  </si>
  <si>
    <t>Nathan</t>
  </si>
  <si>
    <t>nsearstonbt@imgur.com</t>
  </si>
  <si>
    <t>26293 Maryland Point</t>
  </si>
  <si>
    <t>c173g638</t>
  </si>
  <si>
    <t>Even</t>
  </si>
  <si>
    <t>ejothambu@e-recht24.de</t>
  </si>
  <si>
    <t>01399 Ronald Regan Trail</t>
  </si>
  <si>
    <t>c857me65</t>
  </si>
  <si>
    <t>Marta</t>
  </si>
  <si>
    <t>msalazarbv@blogger.com</t>
  </si>
  <si>
    <t>39 Bultman Hill</t>
  </si>
  <si>
    <t>c949zv96</t>
  </si>
  <si>
    <t>Jerrylee</t>
  </si>
  <si>
    <t>jhazeldeanbw@economist.com</t>
  </si>
  <si>
    <t>89 Talmadge Avenue</t>
  </si>
  <si>
    <t>c044e342</t>
  </si>
  <si>
    <t>Grier</t>
  </si>
  <si>
    <t>galbanybx@cbc.ca</t>
  </si>
  <si>
    <t>6 Kensington Trail</t>
  </si>
  <si>
    <t>c974br42</t>
  </si>
  <si>
    <t>Aile</t>
  </si>
  <si>
    <t>akonerdingby@foxnews.com</t>
  </si>
  <si>
    <t>70 Jenna Terrace</t>
  </si>
  <si>
    <t>c996s760</t>
  </si>
  <si>
    <t>Tawnya</t>
  </si>
  <si>
    <t>tgidleybz@ibm.com</t>
  </si>
  <si>
    <t>1 Sachs Trail</t>
  </si>
  <si>
    <t>c0459430</t>
  </si>
  <si>
    <t>Cleo</t>
  </si>
  <si>
    <t>cbusc0@angelfire.com</t>
  </si>
  <si>
    <t>0 Erie Point</t>
  </si>
  <si>
    <t>c316n829</t>
  </si>
  <si>
    <t>rclotworthyc1@netvibes.com</t>
  </si>
  <si>
    <t>179 Chinook Parkway</t>
  </si>
  <si>
    <t>c3335i50</t>
  </si>
  <si>
    <t>Linzy</t>
  </si>
  <si>
    <t>lchittleburghc2@ehow.com</t>
  </si>
  <si>
    <t>5 Riverside Pass</t>
  </si>
  <si>
    <t>c631xt87</t>
  </si>
  <si>
    <t>Care</t>
  </si>
  <si>
    <t>calsinac3@economist.com</t>
  </si>
  <si>
    <t>4905 6th Point</t>
  </si>
  <si>
    <t>c5561596</t>
  </si>
  <si>
    <t>Alida</t>
  </si>
  <si>
    <t>adevallc4@sourceforge.net</t>
  </si>
  <si>
    <t>0032 Northland Crossing</t>
  </si>
  <si>
    <t>c105nj80</t>
  </si>
  <si>
    <t>Kizzee</t>
  </si>
  <si>
    <t>ktweenc5@google.it</t>
  </si>
  <si>
    <t>49178 Westend Avenue</t>
  </si>
  <si>
    <t>c919ol07</t>
  </si>
  <si>
    <t>Gael</t>
  </si>
  <si>
    <t>gcaesmanc6@w3.org</t>
  </si>
  <si>
    <t>67 Gerald Parkway</t>
  </si>
  <si>
    <t>c1449623</t>
  </si>
  <si>
    <t>Rosemary</t>
  </si>
  <si>
    <t>reatc7@ox.ac.uk</t>
  </si>
  <si>
    <t>3307 Novick Terrace</t>
  </si>
  <si>
    <t>c480za02</t>
  </si>
  <si>
    <t>Guthry</t>
  </si>
  <si>
    <t>gputtergillc8@google.co.jp</t>
  </si>
  <si>
    <t>00877 Karstens Trail</t>
  </si>
  <si>
    <t>c7765219</t>
  </si>
  <si>
    <t>Nancey</t>
  </si>
  <si>
    <t>nsimonnotc9@alibaba.com</t>
  </si>
  <si>
    <t>82 Bartelt Way</t>
  </si>
  <si>
    <t>c183g827</t>
  </si>
  <si>
    <t>Rockie</t>
  </si>
  <si>
    <t>rcrippillca@people.com.cn</t>
  </si>
  <si>
    <t>1008 Victoria Street</t>
  </si>
  <si>
    <t>c238nt90</t>
  </si>
  <si>
    <t>Ulrika</t>
  </si>
  <si>
    <t>uvasnetsovcb@fastcompany.com</t>
  </si>
  <si>
    <t>34984 Glacier Hill Circle</t>
  </si>
  <si>
    <t>c863ac08</t>
  </si>
  <si>
    <t>Ulrikaumeko</t>
  </si>
  <si>
    <t>umaypescc@meetup.com</t>
  </si>
  <si>
    <t>64282 Hovde Road</t>
  </si>
  <si>
    <t>c719d493</t>
  </si>
  <si>
    <t>Gilles</t>
  </si>
  <si>
    <t>gkliemchencd@usnews.com</t>
  </si>
  <si>
    <t>24 American Trail</t>
  </si>
  <si>
    <t>c4359e86</t>
  </si>
  <si>
    <t>Tobin</t>
  </si>
  <si>
    <t>tbroshce@paginegialle.it</t>
  </si>
  <si>
    <t>712 Lotheville Trail</t>
  </si>
  <si>
    <t>c444nh80</t>
  </si>
  <si>
    <t>Tracy</t>
  </si>
  <si>
    <t>tmaccaguecf@ebay.co.uk</t>
  </si>
  <si>
    <t>22302 Mallory Plaza</t>
  </si>
  <si>
    <t>c103x829</t>
  </si>
  <si>
    <t>Robb</t>
  </si>
  <si>
    <t>ralkincg@studiopress.com</t>
  </si>
  <si>
    <t>14353 Daystar Terrace</t>
  </si>
  <si>
    <t>c494xq64</t>
  </si>
  <si>
    <t>Emilia</t>
  </si>
  <si>
    <t>ewasteneych@webs.com</t>
  </si>
  <si>
    <t>68227 East Point</t>
  </si>
  <si>
    <t>c147ob91</t>
  </si>
  <si>
    <t>Francklin</t>
  </si>
  <si>
    <t>fmcvanamyci@purevolume.com</t>
  </si>
  <si>
    <t>9505 Steensland Way</t>
  </si>
  <si>
    <t>c865b774</t>
  </si>
  <si>
    <t>Codi</t>
  </si>
  <si>
    <t>cmcgenncj@tinypic.com</t>
  </si>
  <si>
    <t>75131 Farmco Avenue</t>
  </si>
  <si>
    <t>c760ox25</t>
  </si>
  <si>
    <t>Steffen</t>
  </si>
  <si>
    <t>sallnerck@fastcompany.com</t>
  </si>
  <si>
    <t>5 Upham Court</t>
  </si>
  <si>
    <t>c584f785</t>
  </si>
  <si>
    <t>Carrissa</t>
  </si>
  <si>
    <t>cclaytoncl@go.com</t>
  </si>
  <si>
    <t>555 Heffernan Crossing</t>
  </si>
  <si>
    <t>c401qi58</t>
  </si>
  <si>
    <t>probuchoncm@aboutads.info</t>
  </si>
  <si>
    <t>8 Hazelcrest Park</t>
  </si>
  <si>
    <t>c593wu49</t>
  </si>
  <si>
    <t>Dulciana</t>
  </si>
  <si>
    <t>dcovertcn@howstuffworks.com</t>
  </si>
  <si>
    <t>75 Gerald Street</t>
  </si>
  <si>
    <t>c3692850</t>
  </si>
  <si>
    <t>Arlina</t>
  </si>
  <si>
    <t>akettoeco@jimdo.com</t>
  </si>
  <si>
    <t>022 Fordem Alley</t>
  </si>
  <si>
    <t>c217i794</t>
  </si>
  <si>
    <t>tpennaccicp@nsw.gov.au</t>
  </si>
  <si>
    <t>8140 Stoughton Court</t>
  </si>
  <si>
    <t>c587an03</t>
  </si>
  <si>
    <t>Averell</t>
  </si>
  <si>
    <t>areingercq@google.co.uk</t>
  </si>
  <si>
    <t>9 Nancy Center</t>
  </si>
  <si>
    <t>c3324w41</t>
  </si>
  <si>
    <t>Arri</t>
  </si>
  <si>
    <t>achallicumcr@accuweather.com</t>
  </si>
  <si>
    <t>3 Katie Plaza</t>
  </si>
  <si>
    <t>c604fb40</t>
  </si>
  <si>
    <t>Grayce</t>
  </si>
  <si>
    <t>gchasiercs@sogou.com</t>
  </si>
  <si>
    <t>86339 Di Loreto Road</t>
  </si>
  <si>
    <t>c548pv41</t>
  </si>
  <si>
    <t>Cilka</t>
  </si>
  <si>
    <t>ckissockct@storify.com</t>
  </si>
  <si>
    <t>46980 Walton Terrace</t>
  </si>
  <si>
    <t>c5837717</t>
  </si>
  <si>
    <t>Laureen</t>
  </si>
  <si>
    <t>ldaymentcu@webs.com</t>
  </si>
  <si>
    <t>3 Browning Park</t>
  </si>
  <si>
    <t>c607zl45</t>
  </si>
  <si>
    <t>Ilka</t>
  </si>
  <si>
    <t>itreebycv@wufoo.com</t>
  </si>
  <si>
    <t>52 Carpenter Center</t>
  </si>
  <si>
    <t>c1492d76</t>
  </si>
  <si>
    <t>Stacia</t>
  </si>
  <si>
    <t>spuckercw@forbes.com</t>
  </si>
  <si>
    <t>8231 Nevada Place</t>
  </si>
  <si>
    <t>c8460876</t>
  </si>
  <si>
    <t>Inesita</t>
  </si>
  <si>
    <t>ikirmancx@huffingtonpost.com</t>
  </si>
  <si>
    <t>9226 Namekagon Lane</t>
  </si>
  <si>
    <t>c2106v17</t>
  </si>
  <si>
    <t>Freemon</t>
  </si>
  <si>
    <t>fmartinotcy@icio.us</t>
  </si>
  <si>
    <t>643 Beilfuss Circle</t>
  </si>
  <si>
    <t>c5900618</t>
  </si>
  <si>
    <t>Towny</t>
  </si>
  <si>
    <t>tdooneycz@google.ru</t>
  </si>
  <si>
    <t>29777 Nelson Circle</t>
  </si>
  <si>
    <t>c9740114</t>
  </si>
  <si>
    <t>Genia</t>
  </si>
  <si>
    <t>gmacanespied0@mediafire.com</t>
  </si>
  <si>
    <t>7 Clarendon Place</t>
  </si>
  <si>
    <t>c7326a96</t>
  </si>
  <si>
    <t>Gibby</t>
  </si>
  <si>
    <t>greidied1@trellian.com</t>
  </si>
  <si>
    <t>9 Acker Drive</t>
  </si>
  <si>
    <t>c698tl24</t>
  </si>
  <si>
    <t>Ansell</t>
  </si>
  <si>
    <t>astlouisd2@seesaa.net</t>
  </si>
  <si>
    <t>65127 Carioca Center</t>
  </si>
  <si>
    <t>c182yr43</t>
  </si>
  <si>
    <t>Quinta</t>
  </si>
  <si>
    <t>qdanihelkad3@un.org</t>
  </si>
  <si>
    <t>9563 Derek Pass</t>
  </si>
  <si>
    <t>c1777480</t>
  </si>
  <si>
    <t>Jacobo</t>
  </si>
  <si>
    <t>jbormand4@prnewswire.com</t>
  </si>
  <si>
    <t>2 Russell Point</t>
  </si>
  <si>
    <t>c940ax66</t>
  </si>
  <si>
    <t>Harley</t>
  </si>
  <si>
    <t>hvanyakind5@nasa.gov</t>
  </si>
  <si>
    <t>75 Debra Pass</t>
  </si>
  <si>
    <t>c968u208</t>
  </si>
  <si>
    <t>Nikki</t>
  </si>
  <si>
    <t>nbernocchid6@samsung.com</t>
  </si>
  <si>
    <t>28347 5th Pass</t>
  </si>
  <si>
    <t>c141wq46</t>
  </si>
  <si>
    <t>Catha</t>
  </si>
  <si>
    <t>cugod7@house.gov</t>
  </si>
  <si>
    <t>7851 Russell Plaza</t>
  </si>
  <si>
    <t>c277a226</t>
  </si>
  <si>
    <t>Clo</t>
  </si>
  <si>
    <t>cpickfordd8@mlb.com</t>
  </si>
  <si>
    <t>37 Haas Lane</t>
  </si>
  <si>
    <t>c002gj74</t>
  </si>
  <si>
    <t>Muriel</t>
  </si>
  <si>
    <t>mbranfordd9@sciencedaily.com</t>
  </si>
  <si>
    <t>261 Scoville Junction</t>
  </si>
  <si>
    <t>c686ov62</t>
  </si>
  <si>
    <t>Arabella</t>
  </si>
  <si>
    <t>ameanwellda@uiuc.edu</t>
  </si>
  <si>
    <t>1 South Parkway</t>
  </si>
  <si>
    <t>c9207868</t>
  </si>
  <si>
    <t>Baily</t>
  </si>
  <si>
    <t>brambledb@gmpg.org</t>
  </si>
  <si>
    <t>539 Clyde Gallagher Pass</t>
  </si>
  <si>
    <t>c707wa93</t>
  </si>
  <si>
    <t>Lyon</t>
  </si>
  <si>
    <t>lbalazotdc@free.fr</t>
  </si>
  <si>
    <t>34010 Lakeland Place</t>
  </si>
  <si>
    <t>c891is23</t>
  </si>
  <si>
    <t>Nico</t>
  </si>
  <si>
    <t>ndiscombedd@barnesandnoble.com</t>
  </si>
  <si>
    <t>7 Mcbride Drive</t>
  </si>
  <si>
    <t>c2605r24</t>
  </si>
  <si>
    <t>Lucita</t>
  </si>
  <si>
    <t>lisaksende@github.com</t>
  </si>
  <si>
    <t>559 Westerfield Point</t>
  </si>
  <si>
    <t>c256sr84</t>
  </si>
  <si>
    <t>Rochelle</t>
  </si>
  <si>
    <t>rjoskowitzdf@princeton.edu</t>
  </si>
  <si>
    <t>4 Meadow Vale Hill</t>
  </si>
  <si>
    <t>c826wf12</t>
  </si>
  <si>
    <t>cforemandg@aboutads.info</t>
  </si>
  <si>
    <t>7 Graceland Court</t>
  </si>
  <si>
    <t>c299zr58</t>
  </si>
  <si>
    <t>Brandise</t>
  </si>
  <si>
    <t>bbunkledh@berkeley.edu</t>
  </si>
  <si>
    <t>1 Rigney Avenue</t>
  </si>
  <si>
    <t>c187ko03</t>
  </si>
  <si>
    <t>Andromache</t>
  </si>
  <si>
    <t>ahalsodi@flickr.com</t>
  </si>
  <si>
    <t>569 Independence Place</t>
  </si>
  <si>
    <t>c316ou99</t>
  </si>
  <si>
    <t>Bethany</t>
  </si>
  <si>
    <t>bdyballdj@hubpages.com</t>
  </si>
  <si>
    <t>972 Algoma Terrace</t>
  </si>
  <si>
    <t>c323v439</t>
  </si>
  <si>
    <t>Christoper</t>
  </si>
  <si>
    <t>cjollimandk@wordpress.com</t>
  </si>
  <si>
    <t>67 Killdeer Court</t>
  </si>
  <si>
    <t>c0225808</t>
  </si>
  <si>
    <t>Dulsea</t>
  </si>
  <si>
    <t>dlauritsendl@pcworld.com</t>
  </si>
  <si>
    <t>8727 Barby Center</t>
  </si>
  <si>
    <t>c063ju26</t>
  </si>
  <si>
    <t>Des</t>
  </si>
  <si>
    <t>dspearsdm@seesaa.net</t>
  </si>
  <si>
    <t>47 Sachs Terrace</t>
  </si>
  <si>
    <t>c0535i50</t>
  </si>
  <si>
    <t>Elysia</t>
  </si>
  <si>
    <t>emartinedn@yandex.ru</t>
  </si>
  <si>
    <t>99 Holmberg Circle</t>
  </si>
  <si>
    <t>c361vi55</t>
  </si>
  <si>
    <t>Marion</t>
  </si>
  <si>
    <t>msansdo@hibu.com</t>
  </si>
  <si>
    <t>1239 Continental Lane</t>
  </si>
  <si>
    <t>c3578l86</t>
  </si>
  <si>
    <t>Fredi</t>
  </si>
  <si>
    <t>fhinschedp@businesswire.com</t>
  </si>
  <si>
    <t>36 Arapahoe Parkway</t>
  </si>
  <si>
    <t>c258c960</t>
  </si>
  <si>
    <t>Joshua</t>
  </si>
  <si>
    <t>jbornedq@prlog.org</t>
  </si>
  <si>
    <t>8 Sherman Drive</t>
  </si>
  <si>
    <t>c194ct05</t>
  </si>
  <si>
    <t>Jewel</t>
  </si>
  <si>
    <t>jvalentinuzzidr@over-blog.com</t>
  </si>
  <si>
    <t>3420 Grasskamp Street</t>
  </si>
  <si>
    <t>c745cx57</t>
  </si>
  <si>
    <t>Percival</t>
  </si>
  <si>
    <t>paslinds@yale.edu</t>
  </si>
  <si>
    <t>76045 Tennyson Plaza</t>
  </si>
  <si>
    <t>c722x460</t>
  </si>
  <si>
    <t>Law</t>
  </si>
  <si>
    <t>lbundeydt@sogou.com</t>
  </si>
  <si>
    <t>0 Warner Drive</t>
  </si>
  <si>
    <t>c214p763</t>
  </si>
  <si>
    <t>Merrily</t>
  </si>
  <si>
    <t>mfallsdu@aol.com</t>
  </si>
  <si>
    <t>905 Center Hill</t>
  </si>
  <si>
    <t>c584lz16</t>
  </si>
  <si>
    <t>Elizabet</t>
  </si>
  <si>
    <t>ecadydv@latimes.com</t>
  </si>
  <si>
    <t>76 Forest Point</t>
  </si>
  <si>
    <t>c057r335</t>
  </si>
  <si>
    <t>Giustina</t>
  </si>
  <si>
    <t>grichensdw@businesswire.com</t>
  </si>
  <si>
    <t>7504 Almo Crossing</t>
  </si>
  <si>
    <t>c557lk93</t>
  </si>
  <si>
    <t>Georg</t>
  </si>
  <si>
    <t>glecontedx@taobao.com</t>
  </si>
  <si>
    <t>2800 5th Hill</t>
  </si>
  <si>
    <t>c350z496</t>
  </si>
  <si>
    <t>Anna</t>
  </si>
  <si>
    <t>afulkdy@wix.com</t>
  </si>
  <si>
    <t>42635 Dahle Crossing</t>
  </si>
  <si>
    <t>c176vp94</t>
  </si>
  <si>
    <t>Damita</t>
  </si>
  <si>
    <t>dpittemdz@gnu.org</t>
  </si>
  <si>
    <t>9125 Stephen Parkway</t>
  </si>
  <si>
    <t>c110nw21</t>
  </si>
  <si>
    <t>Bendite</t>
  </si>
  <si>
    <t>bortelle0@icio.us</t>
  </si>
  <si>
    <t>32 Lillian Center</t>
  </si>
  <si>
    <t>c1433655</t>
  </si>
  <si>
    <t>Jewelle</t>
  </si>
  <si>
    <t>jsybrye1@wordpress.org</t>
  </si>
  <si>
    <t>2717 Kropf Point</t>
  </si>
  <si>
    <t>c4853f88</t>
  </si>
  <si>
    <t>Pennie</t>
  </si>
  <si>
    <t>pmatfine2@1und1.de</t>
  </si>
  <si>
    <t>86560 Namekagon Center</t>
  </si>
  <si>
    <t>c318dh35</t>
  </si>
  <si>
    <t>Annette</t>
  </si>
  <si>
    <t>agauvaine3@addthis.com</t>
  </si>
  <si>
    <t>910 Graedel Drive</t>
  </si>
  <si>
    <t>c027t775</t>
  </si>
  <si>
    <t>Darci</t>
  </si>
  <si>
    <t>denione4@businessweek.com</t>
  </si>
  <si>
    <t>40 John Wall Trail</t>
  </si>
  <si>
    <t>c276rj59</t>
  </si>
  <si>
    <t>Patrizius</t>
  </si>
  <si>
    <t>philliame5@nba.com</t>
  </si>
  <si>
    <t>8217 Butterfield Parkway</t>
  </si>
  <si>
    <t>c123x429</t>
  </si>
  <si>
    <t>Preston</t>
  </si>
  <si>
    <t>pjoree6@dailymotion.com</t>
  </si>
  <si>
    <t>7 Butterfield Hill</t>
  </si>
  <si>
    <t>c9712x40</t>
  </si>
  <si>
    <t>Randal</t>
  </si>
  <si>
    <t>rhesse7@xinhuanet.com</t>
  </si>
  <si>
    <t>69973 Kennedy Junction</t>
  </si>
  <si>
    <t>c9522x76</t>
  </si>
  <si>
    <t>Giusto</t>
  </si>
  <si>
    <t>gdormane8@miibeian.gov.cn</t>
  </si>
  <si>
    <t>57 Anderson Circle</t>
  </si>
  <si>
    <t>c759cz59</t>
  </si>
  <si>
    <t>Lindie</t>
  </si>
  <si>
    <t>ldentye9@soundcloud.com</t>
  </si>
  <si>
    <t>95 Maple Way</t>
  </si>
  <si>
    <t>c929of90</t>
  </si>
  <si>
    <t>Othilia</t>
  </si>
  <si>
    <t>ohargraveea@oaic.gov.au</t>
  </si>
  <si>
    <t>2774 New Castle Road</t>
  </si>
  <si>
    <t>c447lp81</t>
  </si>
  <si>
    <t>Andeee</t>
  </si>
  <si>
    <t>aturpieeb@usgs.gov</t>
  </si>
  <si>
    <t>26600 Shelley Junction</t>
  </si>
  <si>
    <t>c508ne51</t>
  </si>
  <si>
    <t>Simonne</t>
  </si>
  <si>
    <t>sbulterec@arstechnica.com</t>
  </si>
  <si>
    <t>0068 Loftsgordon Place</t>
  </si>
  <si>
    <t>c678bb54</t>
  </si>
  <si>
    <t>erubanenkoed@webs.com</t>
  </si>
  <si>
    <t>25 Sutteridge Park</t>
  </si>
  <si>
    <t>c283x455</t>
  </si>
  <si>
    <t>Clemmie</t>
  </si>
  <si>
    <t>ctarbinee@economist.com</t>
  </si>
  <si>
    <t>6 Steensland Hill</t>
  </si>
  <si>
    <t>c5943x77</t>
  </si>
  <si>
    <t>Chickie</t>
  </si>
  <si>
    <t>calflatef@free.fr</t>
  </si>
  <si>
    <t>9 Morningstar Drive</t>
  </si>
  <si>
    <t>c846zq08</t>
  </si>
  <si>
    <t>Ephraim</t>
  </si>
  <si>
    <t>ebergeneg@deliciousdays.com</t>
  </si>
  <si>
    <t>0639 Pearson Way</t>
  </si>
  <si>
    <t>c399n118</t>
  </si>
  <si>
    <t>Brittaney</t>
  </si>
  <si>
    <t>bmcgeoucheh@vk.com</t>
  </si>
  <si>
    <t>25325 Redwing Alley</t>
  </si>
  <si>
    <t>c475z555</t>
  </si>
  <si>
    <t>Winslow</t>
  </si>
  <si>
    <t>wnuttonei@meetup.com</t>
  </si>
  <si>
    <t>46 Warner Parkway</t>
  </si>
  <si>
    <t>c437wq29</t>
  </si>
  <si>
    <t>Christiano</t>
  </si>
  <si>
    <t>ckellogej@tripod.com</t>
  </si>
  <si>
    <t>9 Melody Center</t>
  </si>
  <si>
    <t>c103xn37</t>
  </si>
  <si>
    <t>Rhea</t>
  </si>
  <si>
    <t>rbellingerek@mapquest.com</t>
  </si>
  <si>
    <t>4 Farmco Plaza</t>
  </si>
  <si>
    <t>c8762h62</t>
  </si>
  <si>
    <t>Cross</t>
  </si>
  <si>
    <t>ctresvinael@last.fm</t>
  </si>
  <si>
    <t>587 Coolidge Pass</t>
  </si>
  <si>
    <t>c361b934</t>
  </si>
  <si>
    <t>Phaidra</t>
  </si>
  <si>
    <t>pbulloughem@intel.com</t>
  </si>
  <si>
    <t>79884 Veith Parkway</t>
  </si>
  <si>
    <t>c307i126</t>
  </si>
  <si>
    <t>Genevieve</t>
  </si>
  <si>
    <t>gmanuelloen@nifty.com</t>
  </si>
  <si>
    <t>4 Moose Street</t>
  </si>
  <si>
    <t>c079zl60</t>
  </si>
  <si>
    <t>Wallis</t>
  </si>
  <si>
    <t>wmoorrudeo@msu.edu</t>
  </si>
  <si>
    <t>1 Iowa Crossing</t>
  </si>
  <si>
    <t>c273mw96</t>
  </si>
  <si>
    <t>Wheeler</t>
  </si>
  <si>
    <t>wmarchingtonep@senate.gov</t>
  </si>
  <si>
    <t>62 Annamark Park</t>
  </si>
  <si>
    <t>c725x432</t>
  </si>
  <si>
    <t>Gale</t>
  </si>
  <si>
    <t>gmoxoneq@toplist.cz</t>
  </si>
  <si>
    <t>0449 Thompson Terrace</t>
  </si>
  <si>
    <t>c226cz76</t>
  </si>
  <si>
    <t>Julita</t>
  </si>
  <si>
    <t>jmugglestoner@feedburner.com</t>
  </si>
  <si>
    <t>75 Anthes Place</t>
  </si>
  <si>
    <t>c914p758</t>
  </si>
  <si>
    <t>Carey</t>
  </si>
  <si>
    <t>cbearnes@purevolume.com</t>
  </si>
  <si>
    <t>873 Valley Edge Parkway</t>
  </si>
  <si>
    <t>c797st67</t>
  </si>
  <si>
    <t>Zelig</t>
  </si>
  <si>
    <t>ztaltonet@360.cn</t>
  </si>
  <si>
    <t>37454 Barnett Point</t>
  </si>
  <si>
    <t>c463o059</t>
  </si>
  <si>
    <t>Jamaal</t>
  </si>
  <si>
    <t>jhalluteu@ft.com</t>
  </si>
  <si>
    <t>9 Debs Plaza</t>
  </si>
  <si>
    <t>c916no43</t>
  </si>
  <si>
    <t>Uri</t>
  </si>
  <si>
    <t>udeneev@twitpic.com</t>
  </si>
  <si>
    <t>21 Hermina Point</t>
  </si>
  <si>
    <t>c4546w70</t>
  </si>
  <si>
    <t>Budd</t>
  </si>
  <si>
    <t>btrusdaleew@nyu.edu</t>
  </si>
  <si>
    <t>5 Gerald Place</t>
  </si>
  <si>
    <t>c084sj48</t>
  </si>
  <si>
    <t>Lyn</t>
  </si>
  <si>
    <t>lwanellex@com.com</t>
  </si>
  <si>
    <t>73635 Waxwing Point</t>
  </si>
  <si>
    <t>c877i819</t>
  </si>
  <si>
    <t>Bamby</t>
  </si>
  <si>
    <t>bbannerey@census.gov</t>
  </si>
  <si>
    <t>38 Melrose Road</t>
  </si>
  <si>
    <t>c508wh98</t>
  </si>
  <si>
    <t>Maisey</t>
  </si>
  <si>
    <t>mtumielliez@omniture.com</t>
  </si>
  <si>
    <t>06029 Pond Circle</t>
  </si>
  <si>
    <t>c198iw07</t>
  </si>
  <si>
    <t>Jameson</t>
  </si>
  <si>
    <t>jfelgatef0@boston.com</t>
  </si>
  <si>
    <t>1050 Kropf Junction</t>
  </si>
  <si>
    <t>c809az25</t>
  </si>
  <si>
    <t>Charlton</t>
  </si>
  <si>
    <t>cbrolechanf1@admin.ch</t>
  </si>
  <si>
    <t>368 Eagle Crest Avenue</t>
  </si>
  <si>
    <t>c840gl78</t>
  </si>
  <si>
    <t>Jobi</t>
  </si>
  <si>
    <t>jbosnellf2@independent.co.uk</t>
  </si>
  <si>
    <t>625 Killdeer Parkway</t>
  </si>
  <si>
    <t>c374na96</t>
  </si>
  <si>
    <t>Terrence</t>
  </si>
  <si>
    <t>tmannixf3@shareasale.com</t>
  </si>
  <si>
    <t>270 School Place</t>
  </si>
  <si>
    <t>c217e935</t>
  </si>
  <si>
    <t>Idaline</t>
  </si>
  <si>
    <t>ibrendekef4@apache.org</t>
  </si>
  <si>
    <t>083 Kenwood Circle</t>
  </si>
  <si>
    <t>c709pw84</t>
  </si>
  <si>
    <t>Marco</t>
  </si>
  <si>
    <t>mwillougheyf5@indiatimes.com</t>
  </si>
  <si>
    <t>46773 Jay Avenue</t>
  </si>
  <si>
    <t>c631jm68</t>
  </si>
  <si>
    <t>Suzy</t>
  </si>
  <si>
    <t>sboshardf6@icio.us</t>
  </si>
  <si>
    <t>01716 Katie Court</t>
  </si>
  <si>
    <t>c240wv72</t>
  </si>
  <si>
    <t>Daphene</t>
  </si>
  <si>
    <t>dwillettsf7@hp.com</t>
  </si>
  <si>
    <t>5959 Michigan Court</t>
  </si>
  <si>
    <t>c276d106</t>
  </si>
  <si>
    <t>Caresa</t>
  </si>
  <si>
    <t>cburlessf8@yahoo.com</t>
  </si>
  <si>
    <t>45557 Di Loreto Trail</t>
  </si>
  <si>
    <t>c0242z36</t>
  </si>
  <si>
    <t>Rubi</t>
  </si>
  <si>
    <t>rhoweyf9@hatena.ne.jp</t>
  </si>
  <si>
    <t>9503 Loeprich Trail</t>
  </si>
  <si>
    <t>c8864e80</t>
  </si>
  <si>
    <t>Theodosia</t>
  </si>
  <si>
    <t>tvelezfa@51.la</t>
  </si>
  <si>
    <t>5999 Starling Point</t>
  </si>
  <si>
    <t>c525pu63</t>
  </si>
  <si>
    <t>Cyrille</t>
  </si>
  <si>
    <t>cchesworthfb@google.fr</t>
  </si>
  <si>
    <t>55280 Maple Wood Trail</t>
  </si>
  <si>
    <t>c885mq36</t>
  </si>
  <si>
    <t>Alwyn</t>
  </si>
  <si>
    <t>amcilreavyfc@ning.com</t>
  </si>
  <si>
    <t>0329 Coleman Way</t>
  </si>
  <si>
    <t>c0375j60</t>
  </si>
  <si>
    <t>Katalin</t>
  </si>
  <si>
    <t>kzylbermannfd@hao123.com</t>
  </si>
  <si>
    <t>9704 Oak Parkway</t>
  </si>
  <si>
    <t>c805w804</t>
  </si>
  <si>
    <t>Putnem</t>
  </si>
  <si>
    <t>pgreenshieldsfe@webeden.co.uk</t>
  </si>
  <si>
    <t>0 Village Green Junction</t>
  </si>
  <si>
    <t>c982mi43</t>
  </si>
  <si>
    <t>Carmencita</t>
  </si>
  <si>
    <t>ckinkaidff@cdbaby.com</t>
  </si>
  <si>
    <t>6 Coolidge Center</t>
  </si>
  <si>
    <t>c266q114</t>
  </si>
  <si>
    <t>Bertha</t>
  </si>
  <si>
    <t>bloakesfg@usgs.gov</t>
  </si>
  <si>
    <t>85225 Rusk Drive</t>
  </si>
  <si>
    <t>c783vw70</t>
  </si>
  <si>
    <t>Yank</t>
  </si>
  <si>
    <t>ykynseyfh@livejournal.com</t>
  </si>
  <si>
    <t>69 Everett Lane</t>
  </si>
  <si>
    <t>c787q680</t>
  </si>
  <si>
    <t>Amelita</t>
  </si>
  <si>
    <t>aelgiefi@adobe.com</t>
  </si>
  <si>
    <t>17486 Nobel Center</t>
  </si>
  <si>
    <t>c295qs63</t>
  </si>
  <si>
    <t>Cecil</t>
  </si>
  <si>
    <t>ccolterfj@godaddy.com</t>
  </si>
  <si>
    <t>8159 Anniversary Point</t>
  </si>
  <si>
    <t>c302nz31</t>
  </si>
  <si>
    <t>Crawford</t>
  </si>
  <si>
    <t>caustfk@phpbb.com</t>
  </si>
  <si>
    <t>5 Armistice Road</t>
  </si>
  <si>
    <t>c5961728</t>
  </si>
  <si>
    <t>Tymon</t>
  </si>
  <si>
    <t>tsmithemanfl@lycos.com</t>
  </si>
  <si>
    <t>2 Fair Oaks Parkway</t>
  </si>
  <si>
    <t>c810ky76</t>
  </si>
  <si>
    <t>Carmella</t>
  </si>
  <si>
    <t>cdonaghiefm@vk.com</t>
  </si>
  <si>
    <t>71 Monica Junction</t>
  </si>
  <si>
    <t>c441dk36</t>
  </si>
  <si>
    <t>Dodi</t>
  </si>
  <si>
    <t>dhanwayfn@bbb.org</t>
  </si>
  <si>
    <t>3 Monica Terrace</t>
  </si>
  <si>
    <t>c872no72</t>
  </si>
  <si>
    <t>Silvain</t>
  </si>
  <si>
    <t>spynerfo@rambler.ru</t>
  </si>
  <si>
    <t>3119 Monterey Lane</t>
  </si>
  <si>
    <t>c8994y53</t>
  </si>
  <si>
    <t>iduboisfp@moonfruit.com</t>
  </si>
  <si>
    <t>5 Holy Cross Plaza</t>
  </si>
  <si>
    <t>c443rk69</t>
  </si>
  <si>
    <t>Amara</t>
  </si>
  <si>
    <t>akleehuhlerfq@wunderground.com</t>
  </si>
  <si>
    <t>9513 Pawling Trail</t>
  </si>
  <si>
    <t>c605fh36</t>
  </si>
  <si>
    <t>Carolann</t>
  </si>
  <si>
    <t>ccawkwellfr@dagondesign.com</t>
  </si>
  <si>
    <t>8 Miller Parkway</t>
  </si>
  <si>
    <t>c975kk84</t>
  </si>
  <si>
    <t>Bartlet</t>
  </si>
  <si>
    <t>btourryfs@berkeley.edu</t>
  </si>
  <si>
    <t>39340 Blue Bill Park Way</t>
  </si>
  <si>
    <t>c8101s74</t>
  </si>
  <si>
    <t>Laetitia</t>
  </si>
  <si>
    <t>lbraithwaitft@businessinsider.com</t>
  </si>
  <si>
    <t>610 Merry Terrace</t>
  </si>
  <si>
    <t>c932ge67</t>
  </si>
  <si>
    <t>Haley</t>
  </si>
  <si>
    <t>hmilillofu@cam.ac.uk</t>
  </si>
  <si>
    <t>55851 Carioca Way</t>
  </si>
  <si>
    <t>c015sr12</t>
  </si>
  <si>
    <t>Quintina</t>
  </si>
  <si>
    <t>qdraudefv@ca.gov</t>
  </si>
  <si>
    <t>96 Northview Place</t>
  </si>
  <si>
    <t>c653qo98</t>
  </si>
  <si>
    <t>Thoma</t>
  </si>
  <si>
    <t>tlennoxfw@smugmug.com</t>
  </si>
  <si>
    <t>048 Ramsey Park</t>
  </si>
  <si>
    <t>c2847301</t>
  </si>
  <si>
    <t>Layton</t>
  </si>
  <si>
    <t>lcastanefx@uol.com.br</t>
  </si>
  <si>
    <t>929 Clove Center</t>
  </si>
  <si>
    <t>c6841782</t>
  </si>
  <si>
    <t>Terrell</t>
  </si>
  <si>
    <t>tlynnittfy@elegantthemes.com</t>
  </si>
  <si>
    <t>2455 Sundown Parkway</t>
  </si>
  <si>
    <t>c6565p66</t>
  </si>
  <si>
    <t>ochateaufz@bandcamp.com</t>
  </si>
  <si>
    <t>45 Hagan Avenue</t>
  </si>
  <si>
    <t>c436vw14</t>
  </si>
  <si>
    <t>Akim</t>
  </si>
  <si>
    <t>asmartg0@blog.com</t>
  </si>
  <si>
    <t>805 Union Junction</t>
  </si>
  <si>
    <t>c234dq96</t>
  </si>
  <si>
    <t>Rab</t>
  </si>
  <si>
    <t>randrockg1@jugem.jp</t>
  </si>
  <si>
    <t>83672 Roth Avenue</t>
  </si>
  <si>
    <t>c581kf16</t>
  </si>
  <si>
    <t>Shoshana</t>
  </si>
  <si>
    <t>smcentegartg2@oracle.com</t>
  </si>
  <si>
    <t>10 Marcy Junction</t>
  </si>
  <si>
    <t>c448hn11</t>
  </si>
  <si>
    <t>Raffaello</t>
  </si>
  <si>
    <t>rglanvilleg3@etsy.com</t>
  </si>
  <si>
    <t>22 Dryden Alley</t>
  </si>
  <si>
    <t>c659wq21</t>
  </si>
  <si>
    <t>Simone</t>
  </si>
  <si>
    <t>szinkg4@cnet.com</t>
  </si>
  <si>
    <t>8 Longview Terrace</t>
  </si>
  <si>
    <t>c301yn84</t>
  </si>
  <si>
    <t>Seamus</t>
  </si>
  <si>
    <t>swanjekg5@reuters.com</t>
  </si>
  <si>
    <t>91475 Thierer Trail</t>
  </si>
  <si>
    <t>c950k547</t>
  </si>
  <si>
    <t>Inge</t>
  </si>
  <si>
    <t>ieakleg6@google.ru</t>
  </si>
  <si>
    <t>6 Becker Trail</t>
  </si>
  <si>
    <t>c119p950</t>
  </si>
  <si>
    <t>Christabella</t>
  </si>
  <si>
    <t>carnallg7@seattletimes.com</t>
  </si>
  <si>
    <t>45 Service Center</t>
  </si>
  <si>
    <t>c788gk49</t>
  </si>
  <si>
    <t>Kristoffer</t>
  </si>
  <si>
    <t>kbaggotg8@census.gov</t>
  </si>
  <si>
    <t>5651 Loftsgordon Plaza</t>
  </si>
  <si>
    <t>c547kp04</t>
  </si>
  <si>
    <t>Ike</t>
  </si>
  <si>
    <t>iscroggieg9@purevolume.com</t>
  </si>
  <si>
    <t>360 Morning Center</t>
  </si>
  <si>
    <t>c633gl73</t>
  </si>
  <si>
    <t>Coletta</t>
  </si>
  <si>
    <t>cburboroughga@engadget.com</t>
  </si>
  <si>
    <t>66601 Dottie Crossing</t>
  </si>
  <si>
    <t>c195rf75</t>
  </si>
  <si>
    <t>Valeria</t>
  </si>
  <si>
    <t>vquadegb@addtoany.com</t>
  </si>
  <si>
    <t>10808 Superior Park</t>
  </si>
  <si>
    <t>c142nn69</t>
  </si>
  <si>
    <t>Maddie</t>
  </si>
  <si>
    <t>mmortgc@zimbio.com</t>
  </si>
  <si>
    <t>57894 Darwin Hill</t>
  </si>
  <si>
    <t>c387yc61</t>
  </si>
  <si>
    <t>Ginevra</t>
  </si>
  <si>
    <t>gfranzottogd@sfgate.com</t>
  </si>
  <si>
    <t>4 Brentwood Terrace</t>
  </si>
  <si>
    <t>c631ay25</t>
  </si>
  <si>
    <t>Viki</t>
  </si>
  <si>
    <t>vtruemange@home.pl</t>
  </si>
  <si>
    <t>5 Mockingbird Crossing</t>
  </si>
  <si>
    <t>c571ls56</t>
  </si>
  <si>
    <t>Levon</t>
  </si>
  <si>
    <t>ldoughtygf@hp.com</t>
  </si>
  <si>
    <t>35 Hudson Plaza</t>
  </si>
  <si>
    <t>c675pj10</t>
  </si>
  <si>
    <t>Vincents</t>
  </si>
  <si>
    <t>vgiffgg@php.net</t>
  </si>
  <si>
    <t>507 Summit Center</t>
  </si>
  <si>
    <t>c4833892</t>
  </si>
  <si>
    <t>Lawry</t>
  </si>
  <si>
    <t>lbrutongh@go.com</t>
  </si>
  <si>
    <t>4063 Hagan Circle</t>
  </si>
  <si>
    <t>c5191u60</t>
  </si>
  <si>
    <t>Aurora</t>
  </si>
  <si>
    <t>ashilladaygi@mayoclinic.com</t>
  </si>
  <si>
    <t>36 Hermina Parkway</t>
  </si>
  <si>
    <t>c893wz86</t>
  </si>
  <si>
    <t>bbruntjegj@cnbc.com</t>
  </si>
  <si>
    <t>3 Eagan Parkway</t>
  </si>
  <si>
    <t>c592vl14</t>
  </si>
  <si>
    <t>Sheelah</t>
  </si>
  <si>
    <t>seastmangk@senate.gov</t>
  </si>
  <si>
    <t>917 Nevada Parkway</t>
  </si>
  <si>
    <t>c758lr90</t>
  </si>
  <si>
    <t>Barbi</t>
  </si>
  <si>
    <t>bwolfendellgl@barnesandnoble.com</t>
  </si>
  <si>
    <t>98432 Trailsway Court</t>
  </si>
  <si>
    <t>c341ur74</t>
  </si>
  <si>
    <t>Mona</t>
  </si>
  <si>
    <t>maucockgm@pcworld.com</t>
  </si>
  <si>
    <t>150 Schmedeman Hill</t>
  </si>
  <si>
    <t>c1687u61</t>
  </si>
  <si>
    <t>Egor</t>
  </si>
  <si>
    <t>ehalwellgn@oracle.com</t>
  </si>
  <si>
    <t>69048 Stone Corner Drive</t>
  </si>
  <si>
    <t>c469eg21</t>
  </si>
  <si>
    <t>Avie</t>
  </si>
  <si>
    <t>aflackgo@hugedomains.com</t>
  </si>
  <si>
    <t>9 Del Sol Alley</t>
  </si>
  <si>
    <t>c351wa21</t>
  </si>
  <si>
    <t>Gunar</t>
  </si>
  <si>
    <t>gtrevaskissgp@nationalgeographic.com</t>
  </si>
  <si>
    <t>4 Hoard Way</t>
  </si>
  <si>
    <t>c7919v31</t>
  </si>
  <si>
    <t>Ferdinande</t>
  </si>
  <si>
    <t>fpalombagq@aboutads.info</t>
  </si>
  <si>
    <t>13 Talisman Avenue</t>
  </si>
  <si>
    <t>c834al44</t>
  </si>
  <si>
    <t>Eyde</t>
  </si>
  <si>
    <t>eedgsongr@imdb.com</t>
  </si>
  <si>
    <t>50 Shopko Street</t>
  </si>
  <si>
    <t>c030ik01</t>
  </si>
  <si>
    <t>Ranice</t>
  </si>
  <si>
    <t>rdrewittgs@fc2.com</t>
  </si>
  <si>
    <t>6 Novick Alley</t>
  </si>
  <si>
    <t>c3757w33</t>
  </si>
  <si>
    <t>Abner</t>
  </si>
  <si>
    <t>abattamsgt@engadget.com</t>
  </si>
  <si>
    <t>56062 Kropf Hill</t>
  </si>
  <si>
    <t>c4143171</t>
  </si>
  <si>
    <t>Hayes</t>
  </si>
  <si>
    <t>hlindwallgu@who.int</t>
  </si>
  <si>
    <t>0131 Maple Place</t>
  </si>
  <si>
    <t>c091z676</t>
  </si>
  <si>
    <t>Willy</t>
  </si>
  <si>
    <t>wmetzinggv@jugem.jp</t>
  </si>
  <si>
    <t>5 Tomscot Way</t>
  </si>
  <si>
    <t>c492jg80</t>
  </si>
  <si>
    <t>Jesus</t>
  </si>
  <si>
    <t>jimisongw@free.fr</t>
  </si>
  <si>
    <t>2 Westport Point</t>
  </si>
  <si>
    <t>c2602a87</t>
  </si>
  <si>
    <t>Philippe</t>
  </si>
  <si>
    <t>pwaldrengx@jimdo.com</t>
  </si>
  <si>
    <t>7 Crescent Oaks Circle</t>
  </si>
  <si>
    <t>c948js35</t>
  </si>
  <si>
    <t>Kelsy</t>
  </si>
  <si>
    <t>kmatthiusgy@exblog.jp</t>
  </si>
  <si>
    <t>237 Pawling Plaza</t>
  </si>
  <si>
    <t>c595sr53</t>
  </si>
  <si>
    <t>Lilas</t>
  </si>
  <si>
    <t>lramsdellgz@sciencedirect.com</t>
  </si>
  <si>
    <t>6424 Village Street</t>
  </si>
  <si>
    <t>c245sy96</t>
  </si>
  <si>
    <t>Udall</t>
  </si>
  <si>
    <t>ukitchinghamh0@nature.com</t>
  </si>
  <si>
    <t>6359 Lukken Road</t>
  </si>
  <si>
    <t>c188s510</t>
  </si>
  <si>
    <t>Bob</t>
  </si>
  <si>
    <t>bscandriteh1@cisco.com</t>
  </si>
  <si>
    <t>67845 Forster Junction</t>
  </si>
  <si>
    <t>c4040q36</t>
  </si>
  <si>
    <t>Cooper</t>
  </si>
  <si>
    <t>cfiellerh2@cam.ac.uk</t>
  </si>
  <si>
    <t>9 Talisman Trail</t>
  </si>
  <si>
    <t>c385op87</t>
  </si>
  <si>
    <t>Karie</t>
  </si>
  <si>
    <t>kallsepph3@pen.io</t>
  </si>
  <si>
    <t>4820 Fairview Terrace</t>
  </si>
  <si>
    <t>c687ul63</t>
  </si>
  <si>
    <t>Analiese</t>
  </si>
  <si>
    <t>aboundsh4@dagondesign.com</t>
  </si>
  <si>
    <t>13197 Springs Lane</t>
  </si>
  <si>
    <t>c6531k15</t>
  </si>
  <si>
    <t>Bernie</t>
  </si>
  <si>
    <t>bbrandsh5@mediafire.com</t>
  </si>
  <si>
    <t>3 Hallows Drive</t>
  </si>
  <si>
    <t>c4487k60</t>
  </si>
  <si>
    <t>Brig</t>
  </si>
  <si>
    <t>bgallanth6@omniture.com</t>
  </si>
  <si>
    <t>348 Coleman Way</t>
  </si>
  <si>
    <t>c768hm32</t>
  </si>
  <si>
    <t>Chet</t>
  </si>
  <si>
    <t>cgoldesh7@purevolume.com</t>
  </si>
  <si>
    <t>26 Lillian Hill</t>
  </si>
  <si>
    <t>c2764k77</t>
  </si>
  <si>
    <t>Teodoor</t>
  </si>
  <si>
    <t>tglauberh8@techcrunch.com</t>
  </si>
  <si>
    <t>69 Union Trail</t>
  </si>
  <si>
    <t>c8231700</t>
  </si>
  <si>
    <t>Giff</t>
  </si>
  <si>
    <t>gbulstrodeh9@ucoz.ru</t>
  </si>
  <si>
    <t>51054 Sunnyside Point</t>
  </si>
  <si>
    <t>c403uk04</t>
  </si>
  <si>
    <t>Kala</t>
  </si>
  <si>
    <t>khackfordha@sohu.com</t>
  </si>
  <si>
    <t>2628 Donald Court</t>
  </si>
  <si>
    <t>driver_id</t>
  </si>
  <si>
    <t>driver_name</t>
  </si>
  <si>
    <t>driver_email</t>
  </si>
  <si>
    <t>driver_contact</t>
  </si>
  <si>
    <t>driver_license</t>
  </si>
  <si>
    <t>vehice_type</t>
  </si>
  <si>
    <t>vehice_license</t>
  </si>
  <si>
    <t>d833of33</t>
  </si>
  <si>
    <t>Dubble</t>
  </si>
  <si>
    <t>mdubble0@netscape.com</t>
  </si>
  <si>
    <t>7155-5610-14179</t>
  </si>
  <si>
    <t>Van</t>
  </si>
  <si>
    <t>D-6115-KP</t>
  </si>
  <si>
    <t>d637ww68</t>
  </si>
  <si>
    <t>Munnion</t>
  </si>
  <si>
    <t>emunnion1@dedecms.com</t>
  </si>
  <si>
    <t>5031-1243-91832</t>
  </si>
  <si>
    <t>Bike</t>
  </si>
  <si>
    <t>D-6162-BH</t>
  </si>
  <si>
    <t>d796l251</t>
  </si>
  <si>
    <t>Parkhouse</t>
  </si>
  <si>
    <t>eparkhouse2@patch.com</t>
  </si>
  <si>
    <t>2034-3280-47351</t>
  </si>
  <si>
    <t>D-7884-OP</t>
  </si>
  <si>
    <t>d234da52</t>
  </si>
  <si>
    <t>O'Rowane</t>
  </si>
  <si>
    <t>dorowane3@latimes.com</t>
  </si>
  <si>
    <t>8501-9937-32375</t>
  </si>
  <si>
    <t>D-7861-TD</t>
  </si>
  <si>
    <t>d963f392</t>
  </si>
  <si>
    <t>Adney</t>
  </si>
  <si>
    <t>wadney4@bandcamp.com</t>
  </si>
  <si>
    <t>1163-9774-01630</t>
  </si>
  <si>
    <t>D-1304-HA</t>
  </si>
  <si>
    <t>d119yw24</t>
  </si>
  <si>
    <t>O'Towey</t>
  </si>
  <si>
    <t>cotowey5@spotify.com</t>
  </si>
  <si>
    <t>6940-5538-93949</t>
  </si>
  <si>
    <t>D-8291-UJ</t>
  </si>
  <si>
    <t>d630cs24</t>
  </si>
  <si>
    <t>Adan</t>
  </si>
  <si>
    <t>aadan6@hp.com</t>
  </si>
  <si>
    <t>1974-9044-09832</t>
  </si>
  <si>
    <t>D-0673-IZ</t>
  </si>
  <si>
    <t>d669p400</t>
  </si>
  <si>
    <t>Guillou</t>
  </si>
  <si>
    <t>sguillou7@mit.edu</t>
  </si>
  <si>
    <t>0842-0456-64816</t>
  </si>
  <si>
    <t>Truck</t>
  </si>
  <si>
    <t>D-1510-WU</t>
  </si>
  <si>
    <t>d685rx07</t>
  </si>
  <si>
    <t>Reams</t>
  </si>
  <si>
    <t>treams8@pbs.org</t>
  </si>
  <si>
    <t>8921-8803-74533</t>
  </si>
  <si>
    <t>D-9545-ZT</t>
  </si>
  <si>
    <t>d7558x82</t>
  </si>
  <si>
    <t>Cornelleau</t>
  </si>
  <si>
    <t>scornelleau9@un.org</t>
  </si>
  <si>
    <t>5018-1733-26381</t>
  </si>
  <si>
    <t>D-8499-FP</t>
  </si>
  <si>
    <t>d689vb78</t>
  </si>
  <si>
    <t>Ezzell</t>
  </si>
  <si>
    <t>rezzella@ocn.ne.jp</t>
  </si>
  <si>
    <t>2345-7632-81407</t>
  </si>
  <si>
    <t>D-4177-SW</t>
  </si>
  <si>
    <t>d298zv28</t>
  </si>
  <si>
    <t>Youell</t>
  </si>
  <si>
    <t>iyouellb@cnn.com</t>
  </si>
  <si>
    <t>7335-6482-49687</t>
  </si>
  <si>
    <t>D-6585-FH</t>
  </si>
  <si>
    <t>d696vl45</t>
  </si>
  <si>
    <t>Dinzey</t>
  </si>
  <si>
    <t>adinzeyc@blogtalkradio.com</t>
  </si>
  <si>
    <t>4253-0271-31110</t>
  </si>
  <si>
    <t>D-3581-VK</t>
  </si>
  <si>
    <t>d064jh48</t>
  </si>
  <si>
    <t>Engley</t>
  </si>
  <si>
    <t>vengleyd@squidoo.com</t>
  </si>
  <si>
    <t>4815-8649-63981</t>
  </si>
  <si>
    <t>D-4501-FX</t>
  </si>
  <si>
    <t>d232di22</t>
  </si>
  <si>
    <t>Stonhewer</t>
  </si>
  <si>
    <t>rstonhewere@wunderground.com</t>
  </si>
  <si>
    <t>4118-5449-90257</t>
  </si>
  <si>
    <t>D-5940-MV</t>
  </si>
  <si>
    <t>d3582w57</t>
  </si>
  <si>
    <t>Giacoboni</t>
  </si>
  <si>
    <t>bgiacobonif@gmpg.org</t>
  </si>
  <si>
    <t>0948-4366-75046</t>
  </si>
  <si>
    <t>D-4322-GG</t>
  </si>
  <si>
    <t>d4323027</t>
  </si>
  <si>
    <t>Manssuer</t>
  </si>
  <si>
    <t>cmanssuerg@gov.uk</t>
  </si>
  <si>
    <t>9135-0201-05602</t>
  </si>
  <si>
    <t>D-3047-TM</t>
  </si>
  <si>
    <t>d0095x63</t>
  </si>
  <si>
    <t>Pounder</t>
  </si>
  <si>
    <t>mpounderh@uiuc.edu</t>
  </si>
  <si>
    <t>2221-2962-80482</t>
  </si>
  <si>
    <t>D-9780-SK</t>
  </si>
  <si>
    <t>d381in69</t>
  </si>
  <si>
    <t>Slemming</t>
  </si>
  <si>
    <t>bslemmingi@narod.ru</t>
  </si>
  <si>
    <t>2225-1587-62070</t>
  </si>
  <si>
    <t>D-5450-HV</t>
  </si>
  <si>
    <t>d662l393</t>
  </si>
  <si>
    <t>Minnock</t>
  </si>
  <si>
    <t>cminnockj@indiatimes.com</t>
  </si>
  <si>
    <t>2302-0660-60338</t>
  </si>
  <si>
    <t>D-9509-GC</t>
  </si>
  <si>
    <t>d095ns79</t>
  </si>
  <si>
    <t>Sinnott</t>
  </si>
  <si>
    <t>tsinnottk@odnoklassniki.ru</t>
  </si>
  <si>
    <t>1628-2765-90987</t>
  </si>
  <si>
    <t>D-9236-MB</t>
  </si>
  <si>
    <t>d156xg46</t>
  </si>
  <si>
    <t>Slegg</t>
  </si>
  <si>
    <t>lsleggl@statcounter.com</t>
  </si>
  <si>
    <t>0523-6777-92291</t>
  </si>
  <si>
    <t>D-7978-DI</t>
  </si>
  <si>
    <t>d000dc28</t>
  </si>
  <si>
    <t>Wooffinden</t>
  </si>
  <si>
    <t>lwooffindenm@army.mil</t>
  </si>
  <si>
    <t>6447-3097-06418</t>
  </si>
  <si>
    <t>D-3584-AI</t>
  </si>
  <si>
    <t>d874jz12</t>
  </si>
  <si>
    <t>Orrom</t>
  </si>
  <si>
    <t>eorromn@sfgate.com</t>
  </si>
  <si>
    <t>3035-7642-37867</t>
  </si>
  <si>
    <t>D-6164-YC</t>
  </si>
  <si>
    <t>d9977s49</t>
  </si>
  <si>
    <t>Alishoner</t>
  </si>
  <si>
    <t>falishonero@hp.com</t>
  </si>
  <si>
    <t>5992-4817-53378</t>
  </si>
  <si>
    <t>D-9017-SQ</t>
  </si>
  <si>
    <t>d9198x07</t>
  </si>
  <si>
    <t>Germain</t>
  </si>
  <si>
    <t>egermainp@smugmug.com</t>
  </si>
  <si>
    <t>7577-4060-59146</t>
  </si>
  <si>
    <t>D-1815-NE</t>
  </si>
  <si>
    <t>d8601561</t>
  </si>
  <si>
    <t>Tregidgo</t>
  </si>
  <si>
    <t>ltregidgoq@phpbb.com</t>
  </si>
  <si>
    <t>5563-6897-56080</t>
  </si>
  <si>
    <t>D-4671-HH</t>
  </si>
  <si>
    <t>d961zz31</t>
  </si>
  <si>
    <t>Christaeas</t>
  </si>
  <si>
    <t>bchristaeasr@admin.ch</t>
  </si>
  <si>
    <t>6557-1901-11608</t>
  </si>
  <si>
    <t>D-2310-IH</t>
  </si>
  <si>
    <t>d682x946</t>
  </si>
  <si>
    <t>Windmill</t>
  </si>
  <si>
    <t>bwindmills@sun.com</t>
  </si>
  <si>
    <t>2157-6147-64794</t>
  </si>
  <si>
    <t>D-7496-EK</t>
  </si>
  <si>
    <t>d371yu31</t>
  </si>
  <si>
    <t>Fairbard</t>
  </si>
  <si>
    <t>wfairbardt@prweb.com</t>
  </si>
  <si>
    <t>8819-5618-24523</t>
  </si>
  <si>
    <t>D-6331-TG</t>
  </si>
  <si>
    <t>d293in45</t>
  </si>
  <si>
    <t>Blackhall</t>
  </si>
  <si>
    <t>mblackhallu@weather.com</t>
  </si>
  <si>
    <t>7571-7421-10787</t>
  </si>
  <si>
    <t>D-1663-PU</t>
  </si>
  <si>
    <t>d790ei04</t>
  </si>
  <si>
    <t>McGilbon</t>
  </si>
  <si>
    <t>gmcgilbonv@statcounter.com</t>
  </si>
  <si>
    <t>0976-8971-55905</t>
  </si>
  <si>
    <t>D-2266-VG</t>
  </si>
  <si>
    <t>d418sm33</t>
  </si>
  <si>
    <t>Onyon</t>
  </si>
  <si>
    <t>monyonw@prnewswire.com</t>
  </si>
  <si>
    <t>1497-2392-36478</t>
  </si>
  <si>
    <t>D-9991-HQ</t>
  </si>
  <si>
    <t>d173jf22</t>
  </si>
  <si>
    <t>Le Sieur</t>
  </si>
  <si>
    <t>rlesieurx@hubpages.com</t>
  </si>
  <si>
    <t>4480-8676-02659</t>
  </si>
  <si>
    <t>D-2736-QD</t>
  </si>
  <si>
    <t>d332xt54</t>
  </si>
  <si>
    <t>Baysting</t>
  </si>
  <si>
    <t>abaystingy@drupal.org</t>
  </si>
  <si>
    <t>2679-9244-47632</t>
  </si>
  <si>
    <t>D-3204-OO</t>
  </si>
  <si>
    <t>d263cc82</t>
  </si>
  <si>
    <t>Ferriday</t>
  </si>
  <si>
    <t>bferridayz@cornell.edu</t>
  </si>
  <si>
    <t>3353-3286-40782</t>
  </si>
  <si>
    <t>D-0955-XR</t>
  </si>
  <si>
    <t>d532pn52</t>
  </si>
  <si>
    <t>Lotterington</t>
  </si>
  <si>
    <t>slotterington10@biglobe.ne.jp</t>
  </si>
  <si>
    <t>9639-4550-65581</t>
  </si>
  <si>
    <t>D-8022-AH</t>
  </si>
  <si>
    <t>d244zx70</t>
  </si>
  <si>
    <t>Bartosiak</t>
  </si>
  <si>
    <t>jbartosiak11@webeden.co.uk</t>
  </si>
  <si>
    <t>6078-8471-00108</t>
  </si>
  <si>
    <t>D-5494-KA</t>
  </si>
  <si>
    <t>d5863k83</t>
  </si>
  <si>
    <t>Ramsbottom</t>
  </si>
  <si>
    <t>kramsbottom12@cisco.com</t>
  </si>
  <si>
    <t>0301-0488-22519</t>
  </si>
  <si>
    <t>D-3424-OO</t>
  </si>
  <si>
    <t>d636kh58</t>
  </si>
  <si>
    <t>Morrowe</t>
  </si>
  <si>
    <t>rmorrowe13@histats.com</t>
  </si>
  <si>
    <t>8450-7040-86236</t>
  </si>
  <si>
    <t>D-5776-UC</t>
  </si>
  <si>
    <t>d9728z69</t>
  </si>
  <si>
    <t>Drew</t>
  </si>
  <si>
    <t>ddrew14@odnoklassniki.ru</t>
  </si>
  <si>
    <t>4944-1645-51224</t>
  </si>
  <si>
    <t>D-1437-XP</t>
  </si>
  <si>
    <t>d506ki34</t>
  </si>
  <si>
    <t>Demann</t>
  </si>
  <si>
    <t>fdemann15@jimdo.com</t>
  </si>
  <si>
    <t>3947-0143-41792</t>
  </si>
  <si>
    <t>D-1162-VV</t>
  </si>
  <si>
    <t>d058da71</t>
  </si>
  <si>
    <t>Lainton</t>
  </si>
  <si>
    <t>klainton16@csmonitor.com</t>
  </si>
  <si>
    <t>8811-0472-06334</t>
  </si>
  <si>
    <t>D-6914-RL</t>
  </si>
  <si>
    <t>delivery_id</t>
  </si>
  <si>
    <t>delivery_start</t>
  </si>
  <si>
    <t>delivery_end</t>
  </si>
  <si>
    <t>delivery_distance(KM)</t>
  </si>
  <si>
    <t>delivery_weight</t>
  </si>
  <si>
    <t>delivery_cost</t>
  </si>
  <si>
    <t>delivery_status</t>
  </si>
  <si>
    <t>delivery_rating</t>
  </si>
  <si>
    <t>d351sj64</t>
  </si>
  <si>
    <t>Delivered</t>
  </si>
  <si>
    <t>d8386m83</t>
  </si>
  <si>
    <t>d7740w54</t>
  </si>
  <si>
    <t>d542bt15</t>
  </si>
  <si>
    <t>d327dk59</t>
  </si>
  <si>
    <t>d776lv44</t>
  </si>
  <si>
    <t>d464as84</t>
  </si>
  <si>
    <t>d715qm20</t>
  </si>
  <si>
    <t>d444s321</t>
  </si>
  <si>
    <t>d406qh87</t>
  </si>
  <si>
    <t>d2271n35</t>
  </si>
  <si>
    <t>d403wr57</t>
  </si>
  <si>
    <t>d864a523</t>
  </si>
  <si>
    <t>d440bj67</t>
  </si>
  <si>
    <t>d381sw10</t>
  </si>
  <si>
    <t>d958o483</t>
  </si>
  <si>
    <t>d643vx65</t>
  </si>
  <si>
    <t>d1369u62</t>
  </si>
  <si>
    <t>d553me25</t>
  </si>
  <si>
    <t>d0100i73</t>
  </si>
  <si>
    <t>d970am30</t>
  </si>
  <si>
    <t>d364nc61</t>
  </si>
  <si>
    <t>d972tr93</t>
  </si>
  <si>
    <t>d973lw24</t>
  </si>
  <si>
    <t>d458ku87</t>
  </si>
  <si>
    <t>d114fb08</t>
  </si>
  <si>
    <t>d575a644</t>
  </si>
  <si>
    <t>d521da19</t>
  </si>
  <si>
    <t>d5944i27</t>
  </si>
  <si>
    <t>d7581k20</t>
  </si>
  <si>
    <t>d319qh12</t>
  </si>
  <si>
    <t>d112w236</t>
  </si>
  <si>
    <t>d269cv41</t>
  </si>
  <si>
    <t>d222bu90</t>
  </si>
  <si>
    <t>d2619555</t>
  </si>
  <si>
    <t>d8011y21</t>
  </si>
  <si>
    <t>Failed</t>
  </si>
  <si>
    <t>d257ij65</t>
  </si>
  <si>
    <t>d366k990</t>
  </si>
  <si>
    <t>d8177950</t>
  </si>
  <si>
    <t>d8000722</t>
  </si>
  <si>
    <t>d311xp76</t>
  </si>
  <si>
    <t>d630y262</t>
  </si>
  <si>
    <t>d694tk29</t>
  </si>
  <si>
    <t>d1427p51</t>
  </si>
  <si>
    <t>d189b819</t>
  </si>
  <si>
    <t>d1127t89</t>
  </si>
  <si>
    <t>d259vr60</t>
  </si>
  <si>
    <t>d751ws77</t>
  </si>
  <si>
    <t>d765wu53</t>
  </si>
  <si>
    <t>d572mw24</t>
  </si>
  <si>
    <t>d269r157</t>
  </si>
  <si>
    <t>d640or87</t>
  </si>
  <si>
    <t>d117zr90</t>
  </si>
  <si>
    <t>d498ym37</t>
  </si>
  <si>
    <t>d0500795</t>
  </si>
  <si>
    <t>d2793y09</t>
  </si>
  <si>
    <t>d1692v11</t>
  </si>
  <si>
    <t>d3544y15</t>
  </si>
  <si>
    <t>d428rq28</t>
  </si>
  <si>
    <t>d706xh23</t>
  </si>
  <si>
    <t>d023kn10</t>
  </si>
  <si>
    <t>d3299x21</t>
  </si>
  <si>
    <t>d054lc39</t>
  </si>
  <si>
    <t>d684r048</t>
  </si>
  <si>
    <t>d5526v21</t>
  </si>
  <si>
    <t>d2595q99</t>
  </si>
  <si>
    <t>d4126y09</t>
  </si>
  <si>
    <t>d637g605</t>
  </si>
  <si>
    <t>d1585w80</t>
  </si>
  <si>
    <t>d641ey71</t>
  </si>
  <si>
    <t>d252zd35</t>
  </si>
  <si>
    <t>d534qr73</t>
  </si>
  <si>
    <t>d333dr06</t>
  </si>
  <si>
    <t>d872ob52</t>
  </si>
  <si>
    <t>d581cs29</t>
  </si>
  <si>
    <t>d7343o59</t>
  </si>
  <si>
    <t>d111in55</t>
  </si>
  <si>
    <t>d3194r71</t>
  </si>
  <si>
    <t>d8498175</t>
  </si>
  <si>
    <t>d676r478</t>
  </si>
  <si>
    <t>d6221d30</t>
  </si>
  <si>
    <t>d668il17</t>
  </si>
  <si>
    <t>d190xw40</t>
  </si>
  <si>
    <t>d435k482</t>
  </si>
  <si>
    <t>d674ke37</t>
  </si>
  <si>
    <t>d8131d37</t>
  </si>
  <si>
    <t>d666a168</t>
  </si>
  <si>
    <t>d6131m70</t>
  </si>
  <si>
    <t>d310id80</t>
  </si>
  <si>
    <t>d033rv03</t>
  </si>
  <si>
    <t>d7444b29</t>
  </si>
  <si>
    <t>d943p807</t>
  </si>
  <si>
    <t>d564i295</t>
  </si>
  <si>
    <t>d649lu54</t>
  </si>
  <si>
    <t>d5445y22</t>
  </si>
  <si>
    <t>d7021k65</t>
  </si>
  <si>
    <t>d151mh71</t>
  </si>
  <si>
    <t>d219vp92</t>
  </si>
  <si>
    <t>d491j050</t>
  </si>
  <si>
    <t>d294w222</t>
  </si>
  <si>
    <t>d275o074</t>
  </si>
  <si>
    <t>d107hz52</t>
  </si>
  <si>
    <t>d679ev16</t>
  </si>
  <si>
    <t>d1607r54</t>
  </si>
  <si>
    <t>d233ax06</t>
  </si>
  <si>
    <t>d890fm94</t>
  </si>
  <si>
    <t>d5403d96</t>
  </si>
  <si>
    <t>d903af67</t>
  </si>
  <si>
    <t>d778r615</t>
  </si>
  <si>
    <t>d423yu27</t>
  </si>
  <si>
    <t>d157fi72</t>
  </si>
  <si>
    <t>d3501672</t>
  </si>
  <si>
    <t>d515y192</t>
  </si>
  <si>
    <t>d9928d17</t>
  </si>
  <si>
    <t>d584lz61</t>
  </si>
  <si>
    <t>d158up98</t>
  </si>
  <si>
    <t>d564i419</t>
  </si>
  <si>
    <t>d014rh96</t>
  </si>
  <si>
    <t>d987p549</t>
  </si>
  <si>
    <t>d175w493</t>
  </si>
  <si>
    <t>d6694o36</t>
  </si>
  <si>
    <t>d172xl65</t>
  </si>
  <si>
    <t>d072er26</t>
  </si>
  <si>
    <t>d210vf54</t>
  </si>
  <si>
    <t>d054rc31</t>
  </si>
  <si>
    <t>d299x451</t>
  </si>
  <si>
    <t>d022qq33</t>
  </si>
  <si>
    <t>d066a394</t>
  </si>
  <si>
    <t>d356s256</t>
  </si>
  <si>
    <t>d822oz95</t>
  </si>
  <si>
    <t>d9767u72</t>
  </si>
  <si>
    <t>d607bi27</t>
  </si>
  <si>
    <t>d154nd35</t>
  </si>
  <si>
    <t>d813js54</t>
  </si>
  <si>
    <t>d221td17</t>
  </si>
  <si>
    <t>d0347379</t>
  </si>
  <si>
    <t>d2043a66</t>
  </si>
  <si>
    <t>d6709a64</t>
  </si>
  <si>
    <t>d535gv68</t>
  </si>
  <si>
    <t>d319so27</t>
  </si>
  <si>
    <t>d808t072</t>
  </si>
  <si>
    <t>d714to22</t>
  </si>
  <si>
    <t>d179l922</t>
  </si>
  <si>
    <t>d473kv58</t>
  </si>
  <si>
    <t>d260s282</t>
  </si>
  <si>
    <t>d692ce16</t>
  </si>
  <si>
    <t>d079h895</t>
  </si>
  <si>
    <t>d608pa56</t>
  </si>
  <si>
    <t>d206qt55</t>
  </si>
  <si>
    <t>d925bm58</t>
  </si>
  <si>
    <t>d671rk89</t>
  </si>
  <si>
    <t>d0731437</t>
  </si>
  <si>
    <t>d6769j32</t>
  </si>
  <si>
    <t>d084cn69</t>
  </si>
  <si>
    <t>d2236887</t>
  </si>
  <si>
    <t>d153bp29</t>
  </si>
  <si>
    <t>d9902233</t>
  </si>
  <si>
    <t>d7822t81</t>
  </si>
  <si>
    <t>d866ww77</t>
  </si>
  <si>
    <t>d587ri96</t>
  </si>
  <si>
    <t>d898i980</t>
  </si>
  <si>
    <t>d645i658</t>
  </si>
  <si>
    <t>d893tt74</t>
  </si>
  <si>
    <t>d4215327</t>
  </si>
  <si>
    <t>d349rd67</t>
  </si>
  <si>
    <t>d827z233</t>
  </si>
  <si>
    <t>d842kn11</t>
  </si>
  <si>
    <t>d518ta57</t>
  </si>
  <si>
    <t>d3423990</t>
  </si>
  <si>
    <t>d149qu01</t>
  </si>
  <si>
    <t>d969j659</t>
  </si>
  <si>
    <t>d526n265</t>
  </si>
  <si>
    <t>d510kv01</t>
  </si>
  <si>
    <t>d354li33</t>
  </si>
  <si>
    <t>d860sq91</t>
  </si>
  <si>
    <t>d993wd31</t>
  </si>
  <si>
    <t>d069v306</t>
  </si>
  <si>
    <t>d3082v86</t>
  </si>
  <si>
    <t>d919w224</t>
  </si>
  <si>
    <t>d724u312</t>
  </si>
  <si>
    <t>d3914e70</t>
  </si>
  <si>
    <t>d2675v44</t>
  </si>
  <si>
    <t>d6702x45</t>
  </si>
  <si>
    <t>d880ku98</t>
  </si>
  <si>
    <t>d991vw51</t>
  </si>
  <si>
    <t>d573pe87</t>
  </si>
  <si>
    <t>d354vc87</t>
  </si>
  <si>
    <t>d739sp76</t>
  </si>
  <si>
    <t>d445f415</t>
  </si>
  <si>
    <t>d5687k01</t>
  </si>
  <si>
    <t>d226fy20</t>
  </si>
  <si>
    <t>d833lq90</t>
  </si>
  <si>
    <t>d117u677</t>
  </si>
  <si>
    <t>d787mz18</t>
  </si>
  <si>
    <t>d2411q33</t>
  </si>
  <si>
    <t>d5865r57</t>
  </si>
  <si>
    <t>d666uc25</t>
  </si>
  <si>
    <t>d660cc55</t>
  </si>
  <si>
    <t>d158a229</t>
  </si>
  <si>
    <t>d857tv33</t>
  </si>
  <si>
    <t>d844pa71</t>
  </si>
  <si>
    <t>d394ky44</t>
  </si>
  <si>
    <t>d0117314</t>
  </si>
  <si>
    <t>d4588561</t>
  </si>
  <si>
    <t>d0010t69</t>
  </si>
  <si>
    <t>d0275w24</t>
  </si>
  <si>
    <t>d586ds39</t>
  </si>
  <si>
    <t>d7347k36</t>
  </si>
  <si>
    <t>d0356428</t>
  </si>
  <si>
    <t>d937ie33</t>
  </si>
  <si>
    <t>d650bf04</t>
  </si>
  <si>
    <t>d305fy12</t>
  </si>
  <si>
    <t>d337lh25</t>
  </si>
  <si>
    <t>d511ss07</t>
  </si>
  <si>
    <t>d076u065</t>
  </si>
  <si>
    <t>d253c303</t>
  </si>
  <si>
    <t>d3975696</t>
  </si>
  <si>
    <t>d533p676</t>
  </si>
  <si>
    <t>d485yg71</t>
  </si>
  <si>
    <t>d742us85</t>
  </si>
  <si>
    <t>d611yp63</t>
  </si>
  <si>
    <t>d315ku74</t>
  </si>
  <si>
    <t>d629p289</t>
  </si>
  <si>
    <t>d4328848</t>
  </si>
  <si>
    <t>d887fv52</t>
  </si>
  <si>
    <t>d598gl34</t>
  </si>
  <si>
    <t>d912c898</t>
  </si>
  <si>
    <t>d4159i58</t>
  </si>
  <si>
    <t>d050tk76</t>
  </si>
  <si>
    <t>d251dp64</t>
  </si>
  <si>
    <t>d201m269</t>
  </si>
  <si>
    <t>d566pw96</t>
  </si>
  <si>
    <t>d681g554</t>
  </si>
  <si>
    <t>d543wm48</t>
  </si>
  <si>
    <t>d105bm42</t>
  </si>
  <si>
    <t>d599cc91</t>
  </si>
  <si>
    <t>d625kb31</t>
  </si>
  <si>
    <t>d659j927</t>
  </si>
  <si>
    <t>d1591u44</t>
  </si>
  <si>
    <t>d9200o01</t>
  </si>
  <si>
    <t>d580yc07</t>
  </si>
  <si>
    <t>d1879595</t>
  </si>
  <si>
    <t>d356l280</t>
  </si>
  <si>
    <t>d6650387</t>
  </si>
  <si>
    <t>d403n205</t>
  </si>
  <si>
    <t>d2215n86</t>
  </si>
  <si>
    <t>d2933747</t>
  </si>
  <si>
    <t>d948m761</t>
  </si>
  <si>
    <t>d682tm90</t>
  </si>
  <si>
    <t>d3700130</t>
  </si>
  <si>
    <t>d691ut25</t>
  </si>
  <si>
    <t>d3224a46</t>
  </si>
  <si>
    <t>d013k260</t>
  </si>
  <si>
    <t>d687br81</t>
  </si>
  <si>
    <t>d6852w93</t>
  </si>
  <si>
    <t>d700gd18</t>
  </si>
  <si>
    <t>d508q175</t>
  </si>
  <si>
    <t>d534s510</t>
  </si>
  <si>
    <t>d8952e62</t>
  </si>
  <si>
    <t>d512vy53</t>
  </si>
  <si>
    <t>d170o214</t>
  </si>
  <si>
    <t>d345ob53</t>
  </si>
  <si>
    <t>d546g842</t>
  </si>
  <si>
    <t>d281zv61</t>
  </si>
  <si>
    <t>d328ju79</t>
  </si>
  <si>
    <t>d120vo48</t>
  </si>
  <si>
    <t>d910qq19</t>
  </si>
  <si>
    <t>d151ak81</t>
  </si>
  <si>
    <t>d795xp80</t>
  </si>
  <si>
    <t>d622mp03</t>
  </si>
  <si>
    <t>d468pw59</t>
  </si>
  <si>
    <t>d267qx46</t>
  </si>
  <si>
    <t>d5505g16</t>
  </si>
  <si>
    <t>d400l761</t>
  </si>
  <si>
    <t>d418t350</t>
  </si>
  <si>
    <t>d659q645</t>
  </si>
  <si>
    <t>d418x101</t>
  </si>
  <si>
    <t>d393rl49</t>
  </si>
  <si>
    <t>d988bx14</t>
  </si>
  <si>
    <t>d9605s75</t>
  </si>
  <si>
    <t>d6481l60</t>
  </si>
  <si>
    <t>d766fy46</t>
  </si>
  <si>
    <t>d355er74</t>
  </si>
  <si>
    <t>d200mz36</t>
  </si>
  <si>
    <t>d096lr77</t>
  </si>
  <si>
    <t>d392lh84</t>
  </si>
  <si>
    <t>d543d408</t>
  </si>
  <si>
    <t>d102kg64</t>
  </si>
  <si>
    <t>d809r804</t>
  </si>
  <si>
    <t>d583lb60</t>
  </si>
  <si>
    <t>d7680d03</t>
  </si>
  <si>
    <t>d8805d97</t>
  </si>
  <si>
    <t>d4311e62</t>
  </si>
  <si>
    <t>d3047654</t>
  </si>
  <si>
    <t>d7140g19</t>
  </si>
  <si>
    <t>d578aq66</t>
  </si>
  <si>
    <t>d549ja76</t>
  </si>
  <si>
    <t>d261wc96</t>
  </si>
  <si>
    <t>d433ey12</t>
  </si>
  <si>
    <t>d0741d55</t>
  </si>
  <si>
    <t>d548qh09</t>
  </si>
  <si>
    <t>d450tm18</t>
  </si>
  <si>
    <t>d4192s69</t>
  </si>
  <si>
    <t>d611xq07</t>
  </si>
  <si>
    <t>d211bp33</t>
  </si>
  <si>
    <t>d213l258</t>
  </si>
  <si>
    <t>d824w027</t>
  </si>
  <si>
    <t>d109o390</t>
  </si>
  <si>
    <t>d483tr92</t>
  </si>
  <si>
    <t>d889ue72</t>
  </si>
  <si>
    <t>d829e872</t>
  </si>
  <si>
    <t>d4068o85</t>
  </si>
  <si>
    <t>d010u317</t>
  </si>
  <si>
    <t>d010y704</t>
  </si>
  <si>
    <t>d0033x26</t>
  </si>
  <si>
    <t>d346ye16</t>
  </si>
  <si>
    <t>d871fs17</t>
  </si>
  <si>
    <t>d2969k58</t>
  </si>
  <si>
    <t>d2294p12</t>
  </si>
  <si>
    <t>d0268895</t>
  </si>
  <si>
    <t>d610h017</t>
  </si>
  <si>
    <t>d299jo83</t>
  </si>
  <si>
    <t>d421uy64</t>
  </si>
  <si>
    <t>d7994i83</t>
  </si>
  <si>
    <t>d8736z92</t>
  </si>
  <si>
    <t>d048sn17</t>
  </si>
  <si>
    <t>d6850r02</t>
  </si>
  <si>
    <t>d163zi49</t>
  </si>
  <si>
    <t>d4717831</t>
  </si>
  <si>
    <t>d627o372</t>
  </si>
  <si>
    <t>d295w251</t>
  </si>
  <si>
    <t>d422b944</t>
  </si>
  <si>
    <t>d427v958</t>
  </si>
  <si>
    <t>d791cc84</t>
  </si>
  <si>
    <t>d8191i60</t>
  </si>
  <si>
    <t>d9608s89</t>
  </si>
  <si>
    <t>d601gq89</t>
  </si>
  <si>
    <t>d6547p30</t>
  </si>
  <si>
    <t>d188vz63</t>
  </si>
  <si>
    <t>d993uj58</t>
  </si>
  <si>
    <t>d3391w38</t>
  </si>
  <si>
    <t>d9253y31</t>
  </si>
  <si>
    <t>d420ap07</t>
  </si>
  <si>
    <t>d500ex96</t>
  </si>
  <si>
    <t>d879xp25</t>
  </si>
  <si>
    <t>d5464s36</t>
  </si>
  <si>
    <t>d827rn78</t>
  </si>
  <si>
    <t>d2445645</t>
  </si>
  <si>
    <t>d759cz90</t>
  </si>
  <si>
    <t>d6997g71</t>
  </si>
  <si>
    <t>d296oh36</t>
  </si>
  <si>
    <t>d890xp32</t>
  </si>
  <si>
    <t>d087ri20</t>
  </si>
  <si>
    <t>d685v091</t>
  </si>
  <si>
    <t>d214ta20</t>
  </si>
  <si>
    <t>d6864c05</t>
  </si>
  <si>
    <t>d412j412</t>
  </si>
  <si>
    <t>d480he69</t>
  </si>
  <si>
    <t>d828tk13</t>
  </si>
  <si>
    <t>d1708s54</t>
  </si>
  <si>
    <t>d337gd04</t>
  </si>
  <si>
    <t>d5713s76</t>
  </si>
  <si>
    <t>d431gg05</t>
  </si>
  <si>
    <t>d676g308</t>
  </si>
  <si>
    <t>d085km74</t>
  </si>
  <si>
    <t>d743el93</t>
  </si>
  <si>
    <t>d009c505</t>
  </si>
  <si>
    <t>d3902j35</t>
  </si>
  <si>
    <t>d322yp36</t>
  </si>
  <si>
    <t>d312at02</t>
  </si>
  <si>
    <t>d9869q80</t>
  </si>
  <si>
    <t>d2519354</t>
  </si>
  <si>
    <t>d9559688</t>
  </si>
  <si>
    <t>d859zx83</t>
  </si>
  <si>
    <t>d215ho44</t>
  </si>
  <si>
    <t>d4428v35</t>
  </si>
  <si>
    <t>d495zw97</t>
  </si>
  <si>
    <t>d409ue80</t>
  </si>
  <si>
    <t>d4517564</t>
  </si>
  <si>
    <t>d0106u70</t>
  </si>
  <si>
    <t>d955og80</t>
  </si>
  <si>
    <t>d8142j14</t>
  </si>
  <si>
    <t>d507lv12</t>
  </si>
  <si>
    <t>d660lb58</t>
  </si>
  <si>
    <t>d500ow78</t>
  </si>
  <si>
    <t>d100ro41</t>
  </si>
  <si>
    <t>d884bu13</t>
  </si>
  <si>
    <t>d496d256</t>
  </si>
  <si>
    <t>d2749661</t>
  </si>
  <si>
    <t>d2122v49</t>
  </si>
  <si>
    <t>d431vc28</t>
  </si>
  <si>
    <t>d7566v62</t>
  </si>
  <si>
    <t>d923kn26</t>
  </si>
  <si>
    <t>d170xf80</t>
  </si>
  <si>
    <t>d559nz11</t>
  </si>
  <si>
    <t>d739xk67</t>
  </si>
  <si>
    <t>d555pp52</t>
  </si>
  <si>
    <t>d6638z54</t>
  </si>
  <si>
    <t>d929gg88</t>
  </si>
  <si>
    <t>d1151577</t>
  </si>
  <si>
    <t>d3636137</t>
  </si>
  <si>
    <t>d1911322</t>
  </si>
  <si>
    <t>d952te28</t>
  </si>
  <si>
    <t>d2018q81</t>
  </si>
  <si>
    <t>d228d083</t>
  </si>
  <si>
    <t>d3440n00</t>
  </si>
  <si>
    <t>d986to03</t>
  </si>
  <si>
    <t>d8334155</t>
  </si>
  <si>
    <t>d3121264</t>
  </si>
  <si>
    <t>d537b376</t>
  </si>
  <si>
    <t>d978xv62</t>
  </si>
  <si>
    <t>d147q172</t>
  </si>
  <si>
    <t>d867h078</t>
  </si>
  <si>
    <t>d005x510</t>
  </si>
  <si>
    <t>d044ds11</t>
  </si>
  <si>
    <t>d2545j60</t>
  </si>
  <si>
    <t>d733ae05</t>
  </si>
  <si>
    <t>d946wd29</t>
  </si>
  <si>
    <t>d768t808</t>
  </si>
  <si>
    <t>d837iq07</t>
  </si>
  <si>
    <t>d2507889</t>
  </si>
  <si>
    <t>d489b328</t>
  </si>
  <si>
    <t>d124qb71</t>
  </si>
  <si>
    <t>d0574h92</t>
  </si>
  <si>
    <t>d848i956</t>
  </si>
  <si>
    <t>d3195976</t>
  </si>
  <si>
    <t>d452qy77</t>
  </si>
  <si>
    <t>d147ub90</t>
  </si>
  <si>
    <t>d915pn61</t>
  </si>
  <si>
    <t>d2170e30</t>
  </si>
  <si>
    <t>d019vu70</t>
  </si>
  <si>
    <t>d564jk06</t>
  </si>
  <si>
    <t>d5071512</t>
  </si>
  <si>
    <t>d4022743</t>
  </si>
  <si>
    <t>d367os77</t>
  </si>
  <si>
    <t>d687yz84</t>
  </si>
  <si>
    <t>d418xa17</t>
  </si>
  <si>
    <t>d651d585</t>
  </si>
  <si>
    <t>d028ci04</t>
  </si>
  <si>
    <t>d397zb27</t>
  </si>
  <si>
    <t>d747y472</t>
  </si>
  <si>
    <t>d671nj28</t>
  </si>
  <si>
    <t>d6742t89</t>
  </si>
  <si>
    <t>d699lu65</t>
  </si>
  <si>
    <t>d868m446</t>
  </si>
  <si>
    <t>d751dt21</t>
  </si>
  <si>
    <t>d115ji16</t>
  </si>
  <si>
    <t>d936fw34</t>
  </si>
  <si>
    <t>d8499w21</t>
  </si>
  <si>
    <t>d1047k76</t>
  </si>
  <si>
    <t>d685ni96</t>
  </si>
  <si>
    <t>d4624m80</t>
  </si>
  <si>
    <t>d5851y86</t>
  </si>
  <si>
    <t>d397w127</t>
  </si>
  <si>
    <t>d690lr62</t>
  </si>
  <si>
    <t>d9856y63</t>
  </si>
  <si>
    <t>d628l761</t>
  </si>
  <si>
    <t>d6215c47</t>
  </si>
  <si>
    <t>d083rq59</t>
  </si>
  <si>
    <t>d2445b92</t>
  </si>
  <si>
    <t>d119f121</t>
  </si>
  <si>
    <t>d585my42</t>
  </si>
  <si>
    <t>d611up11</t>
  </si>
  <si>
    <t>d9451a40</t>
  </si>
  <si>
    <t>d7192620</t>
  </si>
  <si>
    <t>d961p644</t>
  </si>
  <si>
    <t>d131im20</t>
  </si>
  <si>
    <t>d902ty08</t>
  </si>
  <si>
    <t>d9723g23</t>
  </si>
  <si>
    <t>d129ai78</t>
  </si>
  <si>
    <t>d2158x89</t>
  </si>
  <si>
    <t>d938fb88</t>
  </si>
  <si>
    <t>d5455v71</t>
  </si>
  <si>
    <t>d069a675</t>
  </si>
  <si>
    <t>d341et51</t>
  </si>
  <si>
    <t>d596of29</t>
  </si>
  <si>
    <t>d638tf44</t>
  </si>
  <si>
    <t>d743vg53</t>
  </si>
  <si>
    <t>d442mh87</t>
  </si>
  <si>
    <t>d7709r69</t>
  </si>
  <si>
    <t>d654mf76</t>
  </si>
  <si>
    <t>d4673u32</t>
  </si>
  <si>
    <t>d537ia07</t>
  </si>
  <si>
    <t>d719de86</t>
  </si>
  <si>
    <t>d6901v25</t>
  </si>
  <si>
    <t>d300zu11</t>
  </si>
  <si>
    <t>d292oz41</t>
  </si>
  <si>
    <t>d419v483</t>
  </si>
  <si>
    <t>d300mk52</t>
  </si>
  <si>
    <t>d555dm10</t>
  </si>
  <si>
    <t>d207iq58</t>
  </si>
  <si>
    <t>d906yh41</t>
  </si>
  <si>
    <t>d272qf55</t>
  </si>
  <si>
    <t>d181n140</t>
  </si>
  <si>
    <t>d420s045</t>
  </si>
  <si>
    <t>d033fm24</t>
  </si>
  <si>
    <t>d185xy81</t>
  </si>
  <si>
    <t>d643fn11</t>
  </si>
  <si>
    <t>d158rf59</t>
  </si>
  <si>
    <t>d321n044</t>
  </si>
  <si>
    <t>d006as84</t>
  </si>
  <si>
    <t>d815zl25</t>
  </si>
  <si>
    <t>d9518867</t>
  </si>
  <si>
    <t>d334ic95</t>
  </si>
  <si>
    <t>d822pa86</t>
  </si>
  <si>
    <t>d0712d03</t>
  </si>
  <si>
    <t>d676v164</t>
  </si>
  <si>
    <t>d046tp00</t>
  </si>
  <si>
    <t>d685qg88</t>
  </si>
  <si>
    <t>d698xo87</t>
  </si>
  <si>
    <t>d935y596</t>
  </si>
  <si>
    <t>d461me39</t>
  </si>
  <si>
    <t>d165se63</t>
  </si>
  <si>
    <t>d160ys70</t>
  </si>
  <si>
    <t>d1066u70</t>
  </si>
  <si>
    <t>d691em43</t>
  </si>
  <si>
    <t>d655g108</t>
  </si>
  <si>
    <t>d235rd55</t>
  </si>
  <si>
    <t>d382ii73</t>
  </si>
  <si>
    <t>d203wh43</t>
  </si>
  <si>
    <t>d906ot38</t>
  </si>
  <si>
    <t>d625dq59</t>
  </si>
  <si>
    <t>d013bo31</t>
  </si>
  <si>
    <t>d842ex99</t>
  </si>
  <si>
    <t>d208yi02</t>
  </si>
  <si>
    <t>d491kj45</t>
  </si>
  <si>
    <t>d458ig79</t>
  </si>
  <si>
    <t>d608s936</t>
  </si>
  <si>
    <t>d168ll99</t>
  </si>
  <si>
    <t>d9540s61</t>
  </si>
  <si>
    <t>d047o714</t>
  </si>
  <si>
    <t>d485mz47</t>
  </si>
  <si>
    <t>d760vh01</t>
  </si>
  <si>
    <t>d3437605</t>
  </si>
  <si>
    <t>d4750p19</t>
  </si>
  <si>
    <t>d6107k39</t>
  </si>
  <si>
    <t>d897le37</t>
  </si>
  <si>
    <t>d535qz23</t>
  </si>
  <si>
    <t>d062i955</t>
  </si>
  <si>
    <t>d266dk57</t>
  </si>
  <si>
    <t>d989nm27</t>
  </si>
  <si>
    <t>d289f809</t>
  </si>
  <si>
    <t>d176gg39</t>
  </si>
  <si>
    <t>d036ax89</t>
  </si>
  <si>
    <t>d688f744</t>
  </si>
  <si>
    <t>d321ce08</t>
  </si>
  <si>
    <t>d767go33</t>
  </si>
  <si>
    <t>d953of18</t>
  </si>
  <si>
    <t>d425k873</t>
  </si>
  <si>
    <t>d812ab32</t>
  </si>
  <si>
    <t>d159jh16</t>
  </si>
  <si>
    <t>d538uh82</t>
  </si>
  <si>
    <t>d5028043</t>
  </si>
  <si>
    <t>d132lw49</t>
  </si>
  <si>
    <t>d6091p98</t>
  </si>
  <si>
    <t>d116ws31</t>
  </si>
  <si>
    <t>d4364b02</t>
  </si>
  <si>
    <t>d153h436</t>
  </si>
  <si>
    <t>d577ed61</t>
  </si>
  <si>
    <t>d990b268</t>
  </si>
  <si>
    <t>d5433t92</t>
  </si>
  <si>
    <t>d8824m48</t>
  </si>
  <si>
    <t>d352gg78</t>
  </si>
  <si>
    <t>d5463d88</t>
  </si>
  <si>
    <t>d915o729</t>
  </si>
  <si>
    <t>d742m856</t>
  </si>
  <si>
    <t>d795d562</t>
  </si>
  <si>
    <t>d715hb95</t>
  </si>
  <si>
    <t>d5889944</t>
  </si>
  <si>
    <t>d7958q25</t>
  </si>
  <si>
    <t>d669yv62</t>
  </si>
  <si>
    <t>d3029m12</t>
  </si>
  <si>
    <t>d051cw29</t>
  </si>
  <si>
    <t>d747sv62</t>
  </si>
  <si>
    <t>d278x895</t>
  </si>
  <si>
    <t>d801zo43</t>
  </si>
  <si>
    <t>d6567308</t>
  </si>
  <si>
    <t>d5610r99</t>
  </si>
  <si>
    <t>d5748943</t>
  </si>
  <si>
    <t>d861aj49</t>
  </si>
  <si>
    <t>d003bl19</t>
  </si>
  <si>
    <t>d772vo17</t>
  </si>
  <si>
    <t>d527aw62</t>
  </si>
  <si>
    <t>d994lc00</t>
  </si>
  <si>
    <t>d126j800</t>
  </si>
  <si>
    <t>d3199q86</t>
  </si>
  <si>
    <t>d988s547</t>
  </si>
  <si>
    <t>d952vc64</t>
  </si>
  <si>
    <t>d006b058</t>
  </si>
  <si>
    <t>d6360792</t>
  </si>
  <si>
    <t>d274pb24</t>
  </si>
  <si>
    <t>d4123h93</t>
  </si>
  <si>
    <t>d854n850</t>
  </si>
  <si>
    <t>d271ra24</t>
  </si>
  <si>
    <t>d795qt18</t>
  </si>
  <si>
    <t>d221ul90</t>
  </si>
  <si>
    <t>d072kr34</t>
  </si>
  <si>
    <t>d882ce51</t>
  </si>
  <si>
    <t>d205nq70</t>
  </si>
  <si>
    <t>d0083979</t>
  </si>
  <si>
    <t>d6279n92</t>
  </si>
  <si>
    <t>d1004l35</t>
  </si>
  <si>
    <t>d908vg18</t>
  </si>
  <si>
    <t>d860ly66</t>
  </si>
  <si>
    <t>d7450190</t>
  </si>
  <si>
    <t>d750kr76</t>
  </si>
  <si>
    <t>d6219r46</t>
  </si>
  <si>
    <t>d957cq65</t>
  </si>
  <si>
    <t>d870em53</t>
  </si>
  <si>
    <t>d566en75</t>
  </si>
  <si>
    <t>d498e431</t>
  </si>
  <si>
    <t>d995aa82</t>
  </si>
  <si>
    <t>d6306r54</t>
  </si>
  <si>
    <t>d001x238</t>
  </si>
  <si>
    <t>d552ph64</t>
  </si>
  <si>
    <t>d7376f03</t>
  </si>
  <si>
    <t>d301gk56</t>
  </si>
  <si>
    <t>d092xm96</t>
  </si>
  <si>
    <t>d072ud11</t>
  </si>
  <si>
    <t>d5521y10</t>
  </si>
  <si>
    <t>d004cl27</t>
  </si>
  <si>
    <t>d2999f02</t>
  </si>
  <si>
    <t>d166gf40</t>
  </si>
  <si>
    <t>d620vw69</t>
  </si>
  <si>
    <t>d527ix79</t>
  </si>
  <si>
    <t>d466ea62</t>
  </si>
  <si>
    <t>d441qt81</t>
  </si>
  <si>
    <t>d744wc42</t>
  </si>
  <si>
    <t>d939d161</t>
  </si>
  <si>
    <t>d2905l65</t>
  </si>
  <si>
    <t>d284iq25</t>
  </si>
  <si>
    <t>d5836t16</t>
  </si>
  <si>
    <t>d093h651</t>
  </si>
  <si>
    <t>d509nk93</t>
  </si>
  <si>
    <t>d396l099</t>
  </si>
  <si>
    <t>d0180082</t>
  </si>
  <si>
    <t>d788fw23</t>
  </si>
  <si>
    <t>d973d532</t>
  </si>
  <si>
    <t>d554xt29</t>
  </si>
  <si>
    <t>d4073215</t>
  </si>
  <si>
    <t>d581du64</t>
  </si>
  <si>
    <t>d661n169</t>
  </si>
  <si>
    <t>d094cm40</t>
  </si>
  <si>
    <t>d563ks76</t>
  </si>
  <si>
    <t>d312ns73</t>
  </si>
  <si>
    <t>d402em68</t>
  </si>
  <si>
    <t>d039zh03</t>
  </si>
  <si>
    <t>d198xy36</t>
  </si>
  <si>
    <t>d113v975</t>
  </si>
  <si>
    <t>d643r272</t>
  </si>
  <si>
    <t>d625qu22</t>
  </si>
  <si>
    <t>d521zv60</t>
  </si>
  <si>
    <t>d991gn22</t>
  </si>
  <si>
    <t>d3582x49</t>
  </si>
  <si>
    <t>d192ud61</t>
  </si>
  <si>
    <t>d670z267</t>
  </si>
  <si>
    <t>d0043l41</t>
  </si>
  <si>
    <t>d972bn17</t>
  </si>
  <si>
    <t>d284uw55</t>
  </si>
  <si>
    <t>d411jc57</t>
  </si>
  <si>
    <t>d594ry90</t>
  </si>
  <si>
    <t>d984w127</t>
  </si>
  <si>
    <t>d258o895</t>
  </si>
  <si>
    <t>d5979s18</t>
  </si>
  <si>
    <t>d963z704</t>
  </si>
  <si>
    <t>d858h796</t>
  </si>
  <si>
    <t>d8874o89</t>
  </si>
  <si>
    <t>d859h630</t>
  </si>
  <si>
    <t>d5173k22</t>
  </si>
  <si>
    <t>d734zz15</t>
  </si>
  <si>
    <t>d504nt92</t>
  </si>
  <si>
    <t>d3412b53</t>
  </si>
  <si>
    <t>d780o460</t>
  </si>
  <si>
    <t>d467sh65</t>
  </si>
  <si>
    <t>d047im29</t>
  </si>
  <si>
    <t>d396hz26</t>
  </si>
  <si>
    <t>d304o466</t>
  </si>
  <si>
    <t>d8192a35</t>
  </si>
  <si>
    <t>d6863899</t>
  </si>
  <si>
    <t>d590wa90</t>
  </si>
  <si>
    <t>d784ki88</t>
  </si>
  <si>
    <t>d6881y66</t>
  </si>
  <si>
    <t>d477zf73</t>
  </si>
  <si>
    <t>d637b349</t>
  </si>
  <si>
    <t>d884d015</t>
  </si>
  <si>
    <t>d1140j30</t>
  </si>
  <si>
    <t>d781so03</t>
  </si>
  <si>
    <t>d379fe65</t>
  </si>
  <si>
    <t>d8930249</t>
  </si>
  <si>
    <t>d749q676</t>
  </si>
  <si>
    <t>d3050443</t>
  </si>
  <si>
    <t>d897db92</t>
  </si>
  <si>
    <t>d293r110</t>
  </si>
  <si>
    <t>d474d034</t>
  </si>
  <si>
    <t>d340z078</t>
  </si>
  <si>
    <t>d051mt87</t>
  </si>
  <si>
    <t>d449wj34</t>
  </si>
  <si>
    <t>d1260w91</t>
  </si>
  <si>
    <t>d103pt16</t>
  </si>
  <si>
    <t>d080e016</t>
  </si>
  <si>
    <t>d410cy92</t>
  </si>
  <si>
    <t>d437ek63</t>
  </si>
  <si>
    <t>d735og31</t>
  </si>
  <si>
    <t>d879rf13</t>
  </si>
  <si>
    <t>d409d161</t>
  </si>
  <si>
    <t>d065fx39</t>
  </si>
  <si>
    <t>d863s333</t>
  </si>
  <si>
    <t>d986l839</t>
  </si>
  <si>
    <t>d2276p10</t>
  </si>
  <si>
    <t>d5578k64</t>
  </si>
  <si>
    <t>d8369n05</t>
  </si>
  <si>
    <t>d7837s30</t>
  </si>
  <si>
    <t>d529u337</t>
  </si>
  <si>
    <t>d553zk95</t>
  </si>
  <si>
    <t>d156s740</t>
  </si>
  <si>
    <t>d310zv35</t>
  </si>
  <si>
    <t>d007yc21</t>
  </si>
  <si>
    <t>d662w378</t>
  </si>
  <si>
    <t>d5042i47</t>
  </si>
  <si>
    <t>d738dk36</t>
  </si>
  <si>
    <t>d157ad24</t>
  </si>
  <si>
    <t>d241oe25</t>
  </si>
  <si>
    <t>d800yv31</t>
  </si>
  <si>
    <t>d474pk88</t>
  </si>
  <si>
    <t>d064mx64</t>
  </si>
  <si>
    <t>d389yp57</t>
  </si>
  <si>
    <t>d0548s96</t>
  </si>
  <si>
    <t>d166a457</t>
  </si>
  <si>
    <t>d764uo06</t>
  </si>
  <si>
    <t>d503km90</t>
  </si>
  <si>
    <t>d4581513</t>
  </si>
  <si>
    <t>d311mh74</t>
  </si>
  <si>
    <t>d9678m96</t>
  </si>
  <si>
    <t>d7735b59</t>
  </si>
  <si>
    <t>d3235n00</t>
  </si>
  <si>
    <t>d966wu18</t>
  </si>
  <si>
    <t>d4168u08</t>
  </si>
  <si>
    <t>d357pj38</t>
  </si>
  <si>
    <t>d381ja21</t>
  </si>
  <si>
    <t>d997m694</t>
  </si>
  <si>
    <t>d018wu02</t>
  </si>
  <si>
    <t>d143pk40</t>
  </si>
  <si>
    <t>d9081600</t>
  </si>
  <si>
    <t>d037xi19</t>
  </si>
  <si>
    <t>d895pg04</t>
  </si>
  <si>
    <t>d744xx64</t>
  </si>
  <si>
    <t>d2724d94</t>
  </si>
  <si>
    <t>d3181e46</t>
  </si>
  <si>
    <t>d457qh60</t>
  </si>
  <si>
    <t>d319gm53</t>
  </si>
  <si>
    <t>d237jd04</t>
  </si>
  <si>
    <t>d369qn02</t>
  </si>
  <si>
    <t>d5038p42</t>
  </si>
  <si>
    <t>d030o029</t>
  </si>
  <si>
    <t>d360lf55</t>
  </si>
  <si>
    <t>d824dt41</t>
  </si>
  <si>
    <t>d1534w11</t>
  </si>
  <si>
    <t>d819dm86</t>
  </si>
  <si>
    <t>d147g817</t>
  </si>
  <si>
    <t>d2640914</t>
  </si>
  <si>
    <t>d780gv03</t>
  </si>
  <si>
    <t>d396c694</t>
  </si>
  <si>
    <t>d9254z68</t>
  </si>
  <si>
    <t>d096ia65</t>
  </si>
  <si>
    <t>d364he35</t>
  </si>
  <si>
    <t>d912k531</t>
  </si>
  <si>
    <t>d672mz09</t>
  </si>
  <si>
    <t>d994cc10</t>
  </si>
  <si>
    <t>d5451e99</t>
  </si>
  <si>
    <t>d512uf06</t>
  </si>
  <si>
    <t>d133wy34</t>
  </si>
  <si>
    <t>d6376d92</t>
  </si>
  <si>
    <t>d6102l95</t>
  </si>
  <si>
    <t>d983os43</t>
  </si>
  <si>
    <t>d660yz52</t>
  </si>
  <si>
    <t>d7342t21</t>
  </si>
  <si>
    <t>d768pl34</t>
  </si>
  <si>
    <t>d3115w31</t>
  </si>
  <si>
    <t>d1220d03</t>
  </si>
  <si>
    <t>d789x167</t>
  </si>
  <si>
    <t>d126ql37</t>
  </si>
  <si>
    <t>d7969047</t>
  </si>
  <si>
    <t>d107gy49</t>
  </si>
  <si>
    <t>d316r634</t>
  </si>
  <si>
    <t>d4227f44</t>
  </si>
  <si>
    <t>d3852x96</t>
  </si>
  <si>
    <t>d6758p20</t>
  </si>
  <si>
    <t>d629nq42</t>
  </si>
  <si>
    <t>d809jt85</t>
  </si>
  <si>
    <t>d043uq27</t>
  </si>
  <si>
    <t>d322t264</t>
  </si>
  <si>
    <t>d922cx24</t>
  </si>
  <si>
    <t>d0714261</t>
  </si>
  <si>
    <t>d3428z67</t>
  </si>
  <si>
    <t>d922zp98</t>
  </si>
  <si>
    <t>d376yp75</t>
  </si>
  <si>
    <t>d294vd10</t>
  </si>
  <si>
    <t>d025eq60</t>
  </si>
  <si>
    <t>d103nc17</t>
  </si>
  <si>
    <t>d626h453</t>
  </si>
  <si>
    <t>d5593w23</t>
  </si>
  <si>
    <t>d783ss50</t>
  </si>
  <si>
    <t>d316vb78</t>
  </si>
  <si>
    <t>d2036c32</t>
  </si>
  <si>
    <t>d3905w99</t>
  </si>
  <si>
    <t>d150r325</t>
  </si>
  <si>
    <t>d236kb22</t>
  </si>
  <si>
    <t>d973fk82</t>
  </si>
  <si>
    <t>d1360q86</t>
  </si>
  <si>
    <t>d041ij35</t>
  </si>
  <si>
    <t>d7816n93</t>
  </si>
  <si>
    <t>d914y124</t>
  </si>
  <si>
    <t>d0994252</t>
  </si>
  <si>
    <t>d5034889</t>
  </si>
  <si>
    <t>d761cu18</t>
  </si>
  <si>
    <t>d860x542</t>
  </si>
  <si>
    <t>d011bs65</t>
  </si>
  <si>
    <t>d4745y84</t>
  </si>
  <si>
    <t>d296ou17</t>
  </si>
  <si>
    <t>d003gd66</t>
  </si>
  <si>
    <t>d028oz58</t>
  </si>
  <si>
    <t>d2961e27</t>
  </si>
  <si>
    <t>d752oi35</t>
  </si>
  <si>
    <t>d424jy55</t>
  </si>
  <si>
    <t>d333ml80</t>
  </si>
  <si>
    <t>d597pg45</t>
  </si>
  <si>
    <t>d7182087</t>
  </si>
  <si>
    <t>d621jy47</t>
  </si>
  <si>
    <t>d888qu71</t>
  </si>
  <si>
    <t>d9860b25</t>
  </si>
  <si>
    <t>d376fg86</t>
  </si>
  <si>
    <t>d200t022</t>
  </si>
  <si>
    <t>d858ti23</t>
  </si>
  <si>
    <t>d8259d37</t>
  </si>
  <si>
    <t>d296j021</t>
  </si>
  <si>
    <t>d058s006</t>
  </si>
  <si>
    <t>d472v747</t>
  </si>
  <si>
    <t>d680q456</t>
  </si>
  <si>
    <t>d1154r91</t>
  </si>
  <si>
    <t>d180lz50</t>
  </si>
  <si>
    <t>d002wi01</t>
  </si>
  <si>
    <t>d402vk52</t>
  </si>
  <si>
    <t>d5122552</t>
  </si>
  <si>
    <t>d213w259</t>
  </si>
  <si>
    <t>d8389768</t>
  </si>
  <si>
    <t>d578xz17</t>
  </si>
  <si>
    <t>d371c512</t>
  </si>
  <si>
    <t>d401zx26</t>
  </si>
  <si>
    <t>d988l829</t>
  </si>
  <si>
    <t>d515uw59</t>
  </si>
  <si>
    <t>d242jp32</t>
  </si>
  <si>
    <t>d438k637</t>
  </si>
  <si>
    <t>d830w212</t>
  </si>
  <si>
    <t>d4450283</t>
  </si>
  <si>
    <t>d498tr19</t>
  </si>
  <si>
    <t>d021k493</t>
  </si>
  <si>
    <t>d0607x36</t>
  </si>
  <si>
    <t>d147d513</t>
  </si>
  <si>
    <t>d348rm61</t>
  </si>
  <si>
    <t>d1436z43</t>
  </si>
  <si>
    <t>d886c015</t>
  </si>
  <si>
    <t>d1867k59</t>
  </si>
  <si>
    <t>d995wt88</t>
  </si>
  <si>
    <t>d6014590</t>
  </si>
  <si>
    <t>d1213590</t>
  </si>
  <si>
    <t>d779gi38</t>
  </si>
  <si>
    <t>d266gz35</t>
  </si>
  <si>
    <t>d1116k90</t>
  </si>
  <si>
    <t>d700a260</t>
  </si>
  <si>
    <t>d381a927</t>
  </si>
  <si>
    <t>d916hc63</t>
  </si>
  <si>
    <t>d104tu05</t>
  </si>
  <si>
    <t>d6286i40</t>
  </si>
  <si>
    <t>d9648198</t>
  </si>
  <si>
    <t>d496i751</t>
  </si>
  <si>
    <t>d332y741</t>
  </si>
  <si>
    <t>d078nv45</t>
  </si>
  <si>
    <t>d634oh87</t>
  </si>
  <si>
    <t>d851oc64</t>
  </si>
  <si>
    <t>d544wj43</t>
  </si>
  <si>
    <t>d238fe90</t>
  </si>
  <si>
    <t>d766s173</t>
  </si>
  <si>
    <t>d5756i66</t>
  </si>
  <si>
    <t>d8325g39</t>
  </si>
  <si>
    <t>d6985w97</t>
  </si>
  <si>
    <t>d4295m92</t>
  </si>
  <si>
    <t>d047h688</t>
  </si>
  <si>
    <t>d344cl86</t>
  </si>
  <si>
    <t>d726zq25</t>
  </si>
  <si>
    <t>d5134947</t>
  </si>
  <si>
    <t>d7951g84</t>
  </si>
  <si>
    <t>d749yr87</t>
  </si>
  <si>
    <t>d429v314</t>
  </si>
  <si>
    <t>d942fy84</t>
  </si>
  <si>
    <t>d828jy63</t>
  </si>
  <si>
    <t>d537qn68</t>
  </si>
  <si>
    <t>d283ty84</t>
  </si>
  <si>
    <t>d574tm80</t>
  </si>
  <si>
    <t>d366l228</t>
  </si>
  <si>
    <t>d527e525</t>
  </si>
  <si>
    <t>d789ld63</t>
  </si>
  <si>
    <t>d7619906</t>
  </si>
  <si>
    <t>d4797421</t>
  </si>
  <si>
    <t>d750nx02</t>
  </si>
  <si>
    <t>d652bb30</t>
  </si>
  <si>
    <t>d603kb83</t>
  </si>
  <si>
    <t>d794bb28</t>
  </si>
  <si>
    <t>d5247h04</t>
  </si>
  <si>
    <t>d9637w07</t>
  </si>
  <si>
    <t>d064uo21</t>
  </si>
  <si>
    <t>d324q165</t>
  </si>
  <si>
    <t>d366dk29</t>
  </si>
  <si>
    <t>d858ir05</t>
  </si>
  <si>
    <t>d8045563</t>
  </si>
  <si>
    <t>d877sr48</t>
  </si>
  <si>
    <t>d024z992</t>
  </si>
  <si>
    <t>d495ny56</t>
  </si>
  <si>
    <t>d241li62</t>
  </si>
  <si>
    <t>d213c655</t>
  </si>
  <si>
    <t>d0475j39</t>
  </si>
  <si>
    <t>d919q144</t>
  </si>
  <si>
    <t>d324nq26</t>
  </si>
  <si>
    <t>d1946c79</t>
  </si>
  <si>
    <t>d416pu83</t>
  </si>
  <si>
    <t>d640wu39</t>
  </si>
  <si>
    <t>d949p040</t>
  </si>
  <si>
    <t>d432b834</t>
  </si>
  <si>
    <t>d388bm13</t>
  </si>
  <si>
    <t>d663yf22</t>
  </si>
  <si>
    <t>d071fm87</t>
  </si>
  <si>
    <t>d1734l26</t>
  </si>
  <si>
    <t>d643oc11</t>
  </si>
  <si>
    <t>d213ei22</t>
  </si>
  <si>
    <t>d528xj05</t>
  </si>
  <si>
    <t>d133gd12</t>
  </si>
  <si>
    <t>d552t557</t>
  </si>
  <si>
    <t>d785pl98</t>
  </si>
  <si>
    <t>d978tm46</t>
  </si>
  <si>
    <t>d799nm62</t>
  </si>
  <si>
    <t>d529mo74</t>
  </si>
  <si>
    <t>d049mf94</t>
  </si>
  <si>
    <t>d134vb81</t>
  </si>
  <si>
    <t>d253i063</t>
  </si>
  <si>
    <t>d2992v19</t>
  </si>
  <si>
    <t>d504fu44</t>
  </si>
  <si>
    <t>d0640751</t>
  </si>
  <si>
    <t>d867bj72</t>
  </si>
  <si>
    <t>d5251f11</t>
  </si>
  <si>
    <t>d196f713</t>
  </si>
  <si>
    <t>d158sw90</t>
  </si>
  <si>
    <t>d703l753</t>
  </si>
  <si>
    <t>d7898s50</t>
  </si>
  <si>
    <t>d348ql95</t>
  </si>
  <si>
    <t>d804t115</t>
  </si>
  <si>
    <t>d1993t40</t>
  </si>
  <si>
    <t>d377s752</t>
  </si>
  <si>
    <t>d352z597</t>
  </si>
  <si>
    <t>d9483l43</t>
  </si>
  <si>
    <t>d754ij84</t>
  </si>
  <si>
    <t>d000lp74</t>
  </si>
  <si>
    <t>d423ev20</t>
  </si>
  <si>
    <t>d057eo54</t>
  </si>
  <si>
    <t>d386c122</t>
  </si>
  <si>
    <t>d3661l77</t>
  </si>
  <si>
    <t>d8354l17</t>
  </si>
  <si>
    <t>d8725u96</t>
  </si>
  <si>
    <t>d0751922</t>
  </si>
  <si>
    <t>d2643l31</t>
  </si>
  <si>
    <t>d033ug08</t>
  </si>
  <si>
    <t>d104lw09</t>
  </si>
  <si>
    <t>d018rn76</t>
  </si>
  <si>
    <t>d2150e33</t>
  </si>
  <si>
    <t>d496yk40</t>
  </si>
  <si>
    <t>d101db60</t>
  </si>
  <si>
    <t>d4320895</t>
  </si>
  <si>
    <t>d929sg83</t>
  </si>
  <si>
    <t>d775a349</t>
  </si>
  <si>
    <t>d659mo61</t>
  </si>
  <si>
    <t>d3107o77</t>
  </si>
  <si>
    <t>d283cn80</t>
  </si>
  <si>
    <t>d203p733</t>
  </si>
  <si>
    <t>d249a341</t>
  </si>
  <si>
    <t>d037ri54</t>
  </si>
  <si>
    <t>d7589t56</t>
  </si>
  <si>
    <t>d278b176</t>
  </si>
  <si>
    <t>d473mi30</t>
  </si>
  <si>
    <t>Blank Values</t>
  </si>
  <si>
    <t>Error Values</t>
  </si>
  <si>
    <t>Blank delivery_cost</t>
  </si>
  <si>
    <t>Blank delivery_rating</t>
  </si>
  <si>
    <t>Generate the delivery_cost by averaging the cases where the distance and weight are the same</t>
  </si>
  <si>
    <t>Delivery Status Analysis</t>
  </si>
  <si>
    <t>Total</t>
  </si>
  <si>
    <t>Percentage</t>
  </si>
  <si>
    <t>Grand Total</t>
  </si>
  <si>
    <t>Failed Delivery</t>
  </si>
  <si>
    <t>SUM</t>
  </si>
  <si>
    <t>Delivery Cost Analysis</t>
  </si>
  <si>
    <t xml:space="preserve">AVERAGE </t>
  </si>
  <si>
    <t xml:space="preserve">MEDIAN </t>
  </si>
  <si>
    <t>MIN</t>
  </si>
  <si>
    <t>MAX</t>
  </si>
  <si>
    <t xml:space="preserve">SUM </t>
  </si>
  <si>
    <t>It can be observed that the delivery_cost is consistent with the factors of weight and delivery distance.</t>
  </si>
  <si>
    <t>It is evident that the price remains unchanged even when the distance reaches 6 KM.</t>
  </si>
  <si>
    <t>It can be observed that there is a pattern where each additional unit of weight results in an increase in price by 2000 rupiah</t>
  </si>
  <si>
    <t>Max</t>
  </si>
  <si>
    <t>cost - weight_influnce</t>
  </si>
  <si>
    <t>We can eliminate the influence of weight on the price by subtracting the weight multiplied by 2000</t>
  </si>
  <si>
    <t>It can be observed that for distances of 1-14km, the price is not affected.</t>
  </si>
  <si>
    <t>However, for distances greater than 14km, there is an additional charge of 300 Rupiah per kilometer</t>
  </si>
  <si>
    <t>Highest Performances Analysis</t>
  </si>
  <si>
    <t>Top 6 Drivers with most deliveries</t>
  </si>
  <si>
    <t>Top 5 Drivers with highest rating</t>
  </si>
  <si>
    <t>Top 5 Drivers with highest total delivery cost</t>
  </si>
  <si>
    <t>List of top driver performances</t>
  </si>
  <si>
    <t>total deliveries</t>
  </si>
  <si>
    <t>average rating</t>
  </si>
  <si>
    <t>total delivery_cost</t>
  </si>
  <si>
    <t>Top 5 Drivers with highest average delivery cost</t>
  </si>
  <si>
    <t>Top 5 Drivers with heaviest delivery weight</t>
  </si>
  <si>
    <t>Top 5 Drivers with longest trip</t>
  </si>
  <si>
    <t>average delivery_cost</t>
  </si>
  <si>
    <t>total delivery_weight</t>
  </si>
  <si>
    <t>total delivery distance (KM)</t>
  </si>
  <si>
    <t>List of driver_id occurences (unique)</t>
  </si>
  <si>
    <t>List of driver_id occurences (unique &amp; sorted)</t>
  </si>
  <si>
    <t>total occurences</t>
  </si>
  <si>
    <t>mangat</t>
  </si>
  <si>
    <t>Lowest Performances Analysis</t>
  </si>
  <si>
    <t>Drivers with the fewest deliveries</t>
  </si>
  <si>
    <t>Drivers with the lowest rating</t>
  </si>
  <si>
    <t>Drivers with lowest total delivery cost</t>
  </si>
  <si>
    <t>List of lowest driver performances</t>
  </si>
  <si>
    <t>Drivers with lowest average delivery cost</t>
  </si>
  <si>
    <t>Drivers with the smallest delivery weight.</t>
  </si>
  <si>
    <t>Drivers with shortest trip</t>
  </si>
  <si>
    <t>Driver Performance by Cost (excluding failed deliveries)</t>
  </si>
  <si>
    <t>MIN of delivery_cost</t>
  </si>
  <si>
    <t>MAX of delivery_cost</t>
  </si>
  <si>
    <t>AVERAGE of delivery_cost</t>
  </si>
  <si>
    <t>MEDIAN of delivery_cost</t>
  </si>
  <si>
    <t>SUM of delivery_cost</t>
  </si>
  <si>
    <t>Driver Performance by Frequency, Rating, Weights and Distances (excluding failed deliveries)</t>
  </si>
  <si>
    <t>COUNTA of delivery_id</t>
  </si>
  <si>
    <t>AVERAGE of delivery_rating</t>
  </si>
  <si>
    <t>SUM of delivery_weight</t>
  </si>
  <si>
    <t>SUM of delivery_distance(KM)</t>
  </si>
  <si>
    <t>delivery_time</t>
  </si>
  <si>
    <t>vehicle_type</t>
  </si>
  <si>
    <t>General Analyis</t>
  </si>
  <si>
    <t>AVERAGE of delivery_time</t>
  </si>
  <si>
    <t>MEDIAN of delivery_time</t>
  </si>
  <si>
    <t>MIN of delivery_time</t>
  </si>
  <si>
    <t>MAX of delivery_time</t>
  </si>
  <si>
    <t>based on vehicle type</t>
  </si>
  <si>
    <t>based on distances</t>
  </si>
  <si>
    <t>based on weight</t>
  </si>
  <si>
    <t>It can be confirmed that the delivery time remains consistent with an average and median of 3 days for each delivery.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</si>
</sst>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+0"/>
    <numFmt numFmtId="165" formatCode="dd/MM/yyyy"/>
    <numFmt numFmtId="166" formatCode="[$Rp-421]#,##0"/>
  </numFmts>
  <fonts count="20">
    <font>
      <sz val="11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2.0"/>
      <color rgb="FF000000"/>
      <name val="Söhne"/>
    </font>
    <font>
      <i/>
      <color theme="1"/>
      <name val="Arial"/>
      <scheme val="minor"/>
    </font>
    <font>
      <sz val="12.0"/>
      <color rgb="FFCECAC3"/>
      <name val="Quattrocento Sans"/>
    </font>
    <font>
      <b/>
      <sz val="11.0"/>
      <color rgb="FF000000"/>
      <name val="Arial"/>
      <scheme val="minor"/>
    </font>
    <font>
      <sz val="12.0"/>
      <color rgb="FFCECAC3"/>
      <name val="Söhne"/>
    </font>
    <font>
      <sz val="11.0"/>
      <color theme="1"/>
      <name val="Arial"/>
      <scheme val="minor"/>
    </font>
    <font>
      <sz val="11.0"/>
      <color rgb="FFF7981D"/>
      <name val="&quot;Google Sans Mono&quot;"/>
    </font>
    <font>
      <b/>
      <sz val="10.0"/>
      <color rgb="FF000000"/>
      <name val="Arial"/>
      <scheme val="minor"/>
    </font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rgb="FF000000"/>
      <name val="&quot;Google Sans&quot;"/>
    </font>
    <font>
      <sz val="11.0"/>
      <color rgb="FF1F1F1F"/>
      <name val="&quot;Google Sans&quot;"/>
    </font>
    <font>
      <sz val="9.0"/>
      <color rgb="FF000000"/>
      <name val="&quot;Google Sans Mono&quot;"/>
    </font>
    <font>
      <sz val="11.0"/>
      <color rgb="FF000000"/>
      <name val="Söhne"/>
    </font>
    <font>
      <b/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" xfId="0" applyBorder="1" applyFont="1" applyNumberFormat="1"/>
    <xf borderId="1" fillId="0" fontId="3" numFmtId="0" xfId="0" applyBorder="1" applyFont="1"/>
    <xf borderId="1" fillId="0" fontId="4" numFmtId="164" xfId="0" applyBorder="1" applyFont="1" applyNumberFormat="1"/>
    <xf borderId="0" fillId="0" fontId="4" numFmtId="1" xfId="0" applyFont="1" applyNumberFormat="1"/>
    <xf borderId="1" fillId="0" fontId="2" numFmtId="0" xfId="0" applyBorder="1" applyFont="1"/>
    <xf borderId="1" fillId="0" fontId="4" numFmtId="0" xfId="0" applyBorder="1" applyFont="1"/>
    <xf borderId="1" fillId="2" fontId="2" numFmtId="0" xfId="0" applyAlignment="1" applyBorder="1" applyFill="1" applyFont="1">
      <alignment horizontal="center" vertical="bottom"/>
    </xf>
    <xf borderId="2" fillId="2" fontId="2" numFmtId="165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6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3" fontId="4" numFmtId="166" xfId="0" applyAlignment="1" applyBorder="1" applyFill="1" applyFont="1" applyNumberForma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49" xfId="0" applyAlignment="1" applyBorder="1" applyFont="1" applyNumberFormat="1">
      <alignment vertical="bottom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3" fontId="4" numFmtId="49" xfId="0" applyAlignment="1" applyBorder="1" applyFont="1" applyNumberFormat="1">
      <alignment vertical="bottom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readingOrder="0"/>
    </xf>
    <xf borderId="4" fillId="0" fontId="4" numFmtId="0" xfId="0" applyAlignment="1" applyBorder="1" applyFont="1">
      <alignment horizontal="right" vertical="bottom"/>
    </xf>
    <xf borderId="4" fillId="3" fontId="4" numFmtId="166" xfId="0" applyAlignment="1" applyBorder="1" applyFont="1" applyNumberFormat="1">
      <alignment vertical="bottom"/>
    </xf>
    <xf borderId="0" fillId="0" fontId="7" numFmtId="14" xfId="0" applyFont="1" applyNumberFormat="1"/>
    <xf borderId="0" fillId="0" fontId="3" numFmtId="0" xfId="0" applyAlignment="1" applyFont="1">
      <alignment readingOrder="0"/>
    </xf>
    <xf borderId="0" fillId="0" fontId="4" numFmtId="165" xfId="0" applyFont="1" applyNumberFormat="1"/>
    <xf borderId="0" fillId="0" fontId="4" numFmtId="166" xfId="0" applyFont="1" applyNumberFormat="1"/>
    <xf borderId="0" fillId="0" fontId="0" numFmtId="0" xfId="0" applyFont="1"/>
    <xf borderId="1" fillId="0" fontId="8" numFmtId="0" xfId="0" applyBorder="1" applyFont="1"/>
    <xf borderId="1" fillId="0" fontId="8" numFmtId="165" xfId="0" applyBorder="1" applyFont="1" applyNumberFormat="1"/>
    <xf borderId="1" fillId="0" fontId="8" numFmtId="166" xfId="0" applyBorder="1" applyFont="1" applyNumberForma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Alignment="1" applyFont="1">
      <alignment readingOrder="0"/>
    </xf>
    <xf borderId="1" fillId="0" fontId="0" numFmtId="165" xfId="0" applyBorder="1" applyFont="1" applyNumberFormat="1"/>
    <xf borderId="1" fillId="0" fontId="0" numFmtId="166" xfId="0" applyBorder="1" applyFont="1" applyNumberFormat="1"/>
    <xf borderId="1" fillId="0" fontId="0" numFmtId="49" xfId="0" applyBorder="1" applyFont="1" applyNumberFormat="1"/>
    <xf borderId="1" fillId="0" fontId="0" numFmtId="165" xfId="0" applyBorder="1" applyFont="1" applyNumberFormat="1"/>
    <xf borderId="1" fillId="0" fontId="0" numFmtId="166" xfId="0" applyAlignment="1" applyBorder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10" numFmtId="0" xfId="0" applyFont="1"/>
    <xf borderId="1" fillId="0" fontId="0" numFmtId="10" xfId="0" applyBorder="1" applyFont="1" applyNumberFormat="1"/>
    <xf borderId="1" fillId="0" fontId="10" numFmtId="0" xfId="0" applyBorder="1" applyFont="1"/>
    <xf borderId="1" fillId="0" fontId="10" numFmtId="166" xfId="0" applyBorder="1" applyFont="1" applyNumberFormat="1"/>
    <xf borderId="0" fillId="0" fontId="10" numFmtId="0" xfId="0" applyAlignment="1" applyFont="1">
      <alignment readingOrder="0"/>
    </xf>
    <xf borderId="0" fillId="3" fontId="11" numFmtId="0" xfId="0" applyFont="1"/>
    <xf borderId="1" fillId="3" fontId="8" numFmtId="0" xfId="0" applyBorder="1" applyFont="1"/>
    <xf borderId="1" fillId="3" fontId="8" numFmtId="165" xfId="0" applyBorder="1" applyFont="1" applyNumberFormat="1"/>
    <xf borderId="1" fillId="3" fontId="8" numFmtId="166" xfId="0" applyBorder="1" applyFont="1" applyNumberFormat="1"/>
    <xf borderId="1" fillId="0" fontId="10" numFmtId="165" xfId="0" applyBorder="1" applyFont="1" applyNumberFormat="1"/>
    <xf borderId="1" fillId="0" fontId="10" numFmtId="165" xfId="0" applyBorder="1" applyFont="1" applyNumberFormat="1"/>
    <xf borderId="1" fillId="3" fontId="0" numFmtId="0" xfId="0" applyBorder="1" applyFont="1"/>
    <xf borderId="0" fillId="3" fontId="0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12" numFmtId="0" xfId="0" applyBorder="1" applyFont="1"/>
    <xf borderId="1" fillId="0" fontId="12" numFmtId="165" xfId="0" applyBorder="1" applyFont="1" applyNumberFormat="1"/>
    <xf borderId="1" fillId="0" fontId="12" numFmtId="166" xfId="0" applyBorder="1" applyFont="1" applyNumberFormat="1"/>
    <xf borderId="1" fillId="0" fontId="12" numFmtId="0" xfId="0" applyBorder="1" applyFont="1"/>
    <xf borderId="0" fillId="0" fontId="13" numFmtId="0" xfId="0" applyAlignment="1" applyFont="1">
      <alignment readingOrder="0"/>
    </xf>
    <xf borderId="1" fillId="0" fontId="13" numFmtId="0" xfId="0" applyBorder="1" applyFont="1"/>
    <xf borderId="1" fillId="0" fontId="13" numFmtId="165" xfId="0" applyBorder="1" applyFont="1" applyNumberFormat="1"/>
    <xf borderId="1" fillId="0" fontId="13" numFmtId="165" xfId="0" applyBorder="1" applyFont="1" applyNumberFormat="1"/>
    <xf borderId="1" fillId="0" fontId="13" numFmtId="166" xfId="0" applyBorder="1" applyFont="1" applyNumberFormat="1"/>
    <xf borderId="0" fillId="0" fontId="3" numFmtId="0" xfId="0" applyAlignment="1" applyFont="1">
      <alignment readingOrder="0"/>
    </xf>
    <xf borderId="1" fillId="0" fontId="3" numFmtId="165" xfId="0" applyBorder="1" applyFont="1" applyNumberFormat="1"/>
    <xf borderId="1" fillId="0" fontId="3" numFmtId="165" xfId="0" applyBorder="1" applyFont="1" applyNumberFormat="1"/>
    <xf borderId="1" fillId="0" fontId="3" numFmtId="166" xfId="0" applyBorder="1" applyFont="1" applyNumberFormat="1"/>
    <xf borderId="0" fillId="0" fontId="14" numFmtId="0" xfId="0" applyAlignment="1" applyFont="1">
      <alignment horizontal="center" readingOrder="0" vertical="center"/>
    </xf>
    <xf borderId="0" fillId="0" fontId="3" numFmtId="0" xfId="0" applyFont="1"/>
    <xf borderId="1" fillId="0" fontId="3" numFmtId="49" xfId="0" applyBorder="1" applyFont="1" applyNumberFormat="1"/>
    <xf borderId="0" fillId="3" fontId="15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0" fillId="0" fontId="3" numFmtId="49" xfId="0" applyFont="1" applyNumberFormat="1"/>
    <xf borderId="0" fillId="0" fontId="3" numFmtId="2" xfId="0" applyFont="1" applyNumberFormat="1"/>
    <xf borderId="0" fillId="4" fontId="3" numFmtId="0" xfId="0" applyFill="1" applyFont="1"/>
    <xf borderId="0" fillId="3" fontId="16" numFmtId="0" xfId="0" applyAlignment="1" applyFont="1">
      <alignment readingOrder="0"/>
    </xf>
    <xf borderId="1" fillId="3" fontId="17" numFmtId="0" xfId="0" applyBorder="1" applyFont="1"/>
    <xf borderId="1" fillId="0" fontId="0" numFmtId="49" xfId="0" applyAlignment="1" applyBorder="1" applyFont="1" applyNumberFormat="1">
      <alignment readingOrder="0"/>
    </xf>
    <xf borderId="0" fillId="0" fontId="18" numFmtId="0" xfId="0" applyAlignment="1" applyFont="1">
      <alignment readingOrder="0"/>
    </xf>
    <xf borderId="1" fillId="3" fontId="19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166" xfId="0" applyFont="1" applyNumberFormat="1"/>
    <xf borderId="1" fillId="0" fontId="1" numFmtId="165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7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'delivery status &amp; cost analysis'!$C$3:$C$4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Highest Performance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'driver performance analysis'!$F$20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'driver performance analysis'!$D$21:$D$34</c:f>
            </c:strRef>
          </c:cat>
          <c:val>
            <c:numRef>
              <c:f>'driver performance analysis'!$F$21:$F$34</c:f>
              <c:numCache/>
            </c:numRef>
          </c:val>
        </c:ser>
        <c:axId val="1938703538"/>
        <c:axId val="1487218594"/>
      </c:barChart>
      <c:catAx>
        <c:axId val="1938703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218594"/>
      </c:catAx>
      <c:valAx>
        <c:axId val="1487218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703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Lowest Performance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'driver performance analysis'!$F$60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'driver performance analysis'!$D$61:$D$76</c:f>
            </c:strRef>
          </c:cat>
          <c:val>
            <c:numRef>
              <c:f>'driver performance analysis'!$F$61:$F$76</c:f>
              <c:numCache/>
            </c:numRef>
          </c:val>
        </c:ser>
        <c:axId val="2109318183"/>
        <c:axId val="1115882567"/>
      </c:barChart>
      <c:catAx>
        <c:axId val="2109318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5882567"/>
      </c:catAx>
      <c:valAx>
        <c:axId val="1115882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3181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257175</xdr:colOff>
      <xdr:row>0</xdr:row>
      <xdr:rowOff>0</xdr:rowOff>
    </xdr:from>
    <xdr:ext cx="2505075" cy="122872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20</xdr:row>
      <xdr:rowOff>142875</xdr:rowOff>
    </xdr:from>
    <xdr:ext cx="4038600" cy="2495550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542925</xdr:colOff>
      <xdr:row>62</xdr:row>
      <xdr:rowOff>104775</xdr:rowOff>
    </xdr:from>
    <xdr:ext cx="4152900" cy="256222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323850</xdr:colOff>
      <xdr:row>138</xdr:row>
      <xdr:rowOff>66675</xdr:rowOff>
    </xdr:from>
    <xdr:ext cx="11049000" cy="5572125"/>
    <xdr:pic>
      <xdr:nvPicPr>
        <xdr:cNvPr id="0" name="image1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987" sheet="delivery_dataset"/>
  </cacheSource>
  <cacheFields>
    <cacheField name="delivery_id" numFmtId="0">
      <sharedItems>
        <s v="d351sj64"/>
        <s v="d8386m83"/>
        <s v="d7740w54"/>
        <s v="d542bt15"/>
        <s v="d327dk59"/>
        <s v="d776lv44"/>
        <s v="d464as84"/>
        <s v="d715qm20"/>
        <s v="d444s321"/>
        <s v="d406qh87"/>
        <s v="d2271n35"/>
        <s v="d403wr57"/>
        <s v="d864a523"/>
        <s v="d440bj67"/>
        <s v="d381sw10"/>
        <s v="d958o483"/>
        <s v="d643vx65"/>
        <s v="d1369u62"/>
        <s v="d553me25"/>
        <s v="d0100i73"/>
        <s v="d970am30"/>
        <s v="d364nc61"/>
        <s v="d972tr93"/>
        <s v="d973lw24"/>
        <s v="d458ku87"/>
        <s v="d114fb08"/>
        <s v="d575a644"/>
        <s v="d521da19"/>
        <s v="d5944i27"/>
        <s v="d7581k20"/>
        <s v="d319qh12"/>
        <s v="d112w236"/>
        <s v="d269cv41"/>
        <s v="d222bu90"/>
        <s v="d2619555"/>
        <s v="d8011y21"/>
        <s v="d257ij65"/>
        <s v="d366k990"/>
        <s v="d8177950"/>
        <s v="d8000722"/>
        <s v="d311xp76"/>
        <s v="d630y262"/>
        <s v="d694tk29"/>
        <s v="d1427p51"/>
        <s v="d189b819"/>
        <s v="d1127t89"/>
        <s v="d259vr60"/>
        <s v="d751ws77"/>
        <s v="d765wu53"/>
        <s v="d572mw24"/>
        <s v="d269r157"/>
        <s v="d640or87"/>
        <s v="d117zr90"/>
        <s v="d498ym37"/>
        <s v="d0500795"/>
        <s v="d2793y09"/>
        <s v="d1692v11"/>
        <s v="d3544y15"/>
        <s v="d428rq28"/>
        <s v="d706xh23"/>
        <s v="d023kn10"/>
        <s v="d3299x21"/>
        <s v="d054lc39"/>
        <s v="d684r048"/>
        <s v="d5526v21"/>
        <s v="d2595q99"/>
        <s v="d4126y09"/>
        <s v="d637g605"/>
        <s v="d1585w80"/>
        <s v="d641ey71"/>
        <s v="d252zd35"/>
        <s v="d534qr73"/>
        <s v="d333dr06"/>
        <s v="d872ob52"/>
        <s v="d581cs29"/>
        <s v="d7343o59"/>
        <s v="d111in55"/>
        <s v="d3194r71"/>
        <s v="d8498175"/>
        <s v="d676r478"/>
        <s v="d6221d30"/>
        <s v="d668il17"/>
        <s v="d190xw40"/>
        <s v="d435k482"/>
        <s v="d674ke37"/>
        <s v="d8131d37"/>
        <s v="d666a168"/>
        <s v="d6131m70"/>
        <s v="d310id80"/>
        <s v="d033rv03"/>
        <s v="d7444b29"/>
        <s v="d943p807"/>
        <s v="d564i295"/>
        <s v="d649lu54"/>
        <s v="d5445y22"/>
        <s v="d7021k65"/>
        <s v="d151mh71"/>
        <s v="d219vp92"/>
        <s v="d491j050"/>
        <s v="d294w222"/>
        <s v="d275o074"/>
        <s v="d107hz52"/>
        <s v="d679ev16"/>
        <s v="d1607r54"/>
        <s v="d233ax06"/>
        <s v="d890fm94"/>
        <s v="d5403d96"/>
        <s v="d903af67"/>
        <s v="d778r615"/>
        <s v="d423yu27"/>
        <s v="d157fi72"/>
        <s v="d3501672"/>
        <s v="d515y192"/>
        <s v="d9928d17"/>
        <s v="d584lz61"/>
        <s v="d158up98"/>
        <s v="d564i419"/>
        <s v="d014rh96"/>
        <s v="d987p549"/>
        <s v="d175w493"/>
        <s v="d6694o36"/>
        <s v="d172xl65"/>
        <s v="d072er26"/>
        <s v="d210vf54"/>
        <s v="d054rc31"/>
        <s v="d299x451"/>
        <s v="d022qq33"/>
        <s v="d066a394"/>
        <s v="d356s256"/>
        <s v="d822oz95"/>
        <s v="d9767u72"/>
        <s v="d607bi27"/>
        <s v="d154nd35"/>
        <s v="d813js54"/>
        <s v="d221td17"/>
        <s v="d0347379"/>
        <s v="d2043a66"/>
        <s v="d6709a64"/>
        <s v="d535gv68"/>
        <s v="d319so27"/>
        <s v="d808t072"/>
        <s v="d714to22"/>
        <s v="d179l922"/>
        <s v="d473kv58"/>
        <s v="d260s282"/>
        <s v="d692ce16"/>
        <s v="d079h895"/>
        <s v="d608pa56"/>
        <s v="d206qt55"/>
        <s v="d925bm58"/>
        <s v="d671rk89"/>
        <s v="d0731437"/>
        <s v="d6769j32"/>
        <s v="d084cn69"/>
        <s v="d2236887"/>
        <s v="d153bp29"/>
        <s v="d9902233"/>
        <s v="d7822t81"/>
        <s v="d866ww77"/>
        <s v="d587ri96"/>
        <s v="d898i980"/>
        <s v="d645i658"/>
        <s v="d893tt74"/>
        <s v="d4215327"/>
        <s v="d349rd67"/>
        <s v="d827z233"/>
        <s v="d842kn11"/>
        <s v="d518ta57"/>
        <s v="d3423990"/>
        <s v="d149qu01"/>
        <s v="d969j659"/>
        <s v="d526n265"/>
        <s v="d510kv01"/>
        <s v="d354li33"/>
        <s v="d860sq91"/>
        <s v="d993wd31"/>
        <s v="d069v306"/>
        <s v="d3082v86"/>
        <s v="d919w224"/>
        <s v="d724u312"/>
        <s v="d3914e70"/>
        <s v="d2675v44"/>
        <s v="d6702x45"/>
        <s v="d880ku98"/>
        <s v="d991vw51"/>
        <s v="d573pe87"/>
        <s v="d354vc87"/>
        <s v="d739sp76"/>
        <s v="d445f415"/>
        <s v="d5687k01"/>
        <s v="d226fy20"/>
        <s v="d833lq90"/>
        <s v="d117u677"/>
        <s v="d787mz18"/>
        <s v="d2411q33"/>
        <s v="d5865r57"/>
        <s v="d666uc25"/>
        <s v="d660cc55"/>
        <s v="d158a229"/>
        <s v="d857tv33"/>
        <s v="d844pa71"/>
        <s v="d394ky44"/>
        <s v="d0117314"/>
        <s v="d4588561"/>
        <s v="d0010t69"/>
        <s v="d0275w24"/>
        <s v="d586ds39"/>
        <s v="d7347k36"/>
        <s v="d0356428"/>
        <s v="d937ie33"/>
        <s v="d650bf04"/>
        <s v="d305fy12"/>
        <s v="d337lh25"/>
        <s v="d511ss07"/>
        <s v="d076u065"/>
        <s v="d253c303"/>
        <s v="d3975696"/>
        <s v="d533p676"/>
        <s v="d485yg71"/>
        <s v="d742us85"/>
        <s v="d611yp63"/>
        <s v="d315ku74"/>
        <s v="d629p289"/>
        <s v="d4328848"/>
        <s v="d887fv52"/>
        <s v="d598gl34"/>
        <s v="d912c898"/>
        <s v="d4159i58"/>
        <s v="d050tk76"/>
        <s v="d251dp64"/>
        <s v="d201m269"/>
        <s v="d566pw96"/>
        <s v="d681g554"/>
        <s v="d543wm48"/>
        <s v="d105bm42"/>
        <s v="d599cc91"/>
        <s v="d625kb31"/>
        <s v="d659j927"/>
        <s v="d1591u44"/>
        <s v="d9200o01"/>
        <s v="d580yc07"/>
        <s v="d1879595"/>
        <s v="d356l280"/>
        <s v="d6650387"/>
        <s v="d403n205"/>
        <s v="d2215n86"/>
        <s v="d2933747"/>
        <s v="d948m761"/>
        <s v="d682tm90"/>
        <s v="d3700130"/>
        <s v="d691ut25"/>
        <s v="d3224a46"/>
        <s v="d013k260"/>
        <s v="d687br81"/>
        <s v="d6852w93"/>
        <s v="d700gd18"/>
        <s v="d508q175"/>
        <s v="d534s510"/>
        <s v="d8952e62"/>
        <s v="d512vy53"/>
        <s v="d170o214"/>
        <s v="d345ob53"/>
        <s v="d546g842"/>
        <s v="d281zv61"/>
        <s v="d328ju79"/>
        <s v="d120vo48"/>
        <s v="d910qq19"/>
        <s v="d151ak81"/>
        <s v="d795xp80"/>
        <s v="d622mp03"/>
        <s v="d468pw59"/>
        <s v="d267qx46"/>
        <s v="d5505g16"/>
        <s v="d400l761"/>
        <s v="d418t350"/>
        <s v="d659q645"/>
        <s v="d418x101"/>
        <s v="d393rl49"/>
        <s v="d988bx14"/>
        <s v="d9605s75"/>
        <s v="d6481l60"/>
        <s v="d766fy46"/>
        <s v="d355er74"/>
        <s v="d200mz36"/>
        <s v="d096lr77"/>
        <s v="d392lh84"/>
        <s v="d543d408"/>
        <s v="d102kg64"/>
        <s v="d809r804"/>
        <s v="d583lb60"/>
        <s v="d7680d03"/>
        <s v="d8805d97"/>
        <s v="d4311e62"/>
        <s v="d3047654"/>
        <s v="d7140g19"/>
        <s v="d578aq66"/>
        <s v="d549ja76"/>
        <s v="d261wc96"/>
        <s v="d433ey12"/>
        <s v="d0741d55"/>
        <s v="d548qh09"/>
        <s v="d450tm18"/>
        <s v="d4192s69"/>
        <s v="d611xq07"/>
        <s v="d211bp33"/>
        <s v="d213l258"/>
        <s v="d824w027"/>
        <s v="d109o390"/>
        <s v="d483tr92"/>
        <s v="d889ue72"/>
        <s v="d829e872"/>
        <s v="d4068o85"/>
        <s v="d010u317"/>
        <s v="d010y704"/>
        <s v="d0033x26"/>
        <s v="d346ye16"/>
        <s v="d871fs17"/>
        <s v="d2969k58"/>
        <s v="d2294p12"/>
        <s v="d0268895"/>
        <s v="d610h017"/>
        <s v="d299jo83"/>
        <s v="d421uy64"/>
        <s v="d7994i83"/>
        <s v="d8736z92"/>
        <s v="d048sn17"/>
        <s v="d6850r02"/>
        <s v="d163zi49"/>
        <s v="d4717831"/>
        <s v="d627o372"/>
        <s v="d295w251"/>
        <s v="d422b944"/>
        <s v="d427v958"/>
        <s v="d791cc84"/>
        <s v="d8191i60"/>
        <s v="d9608s89"/>
        <s v="d601gq89"/>
        <s v="d6547p30"/>
        <s v="d188vz63"/>
        <s v="d993uj58"/>
        <s v="d3391w38"/>
        <s v="d9253y31"/>
        <s v="d420ap07"/>
        <s v="d500ex96"/>
        <s v="d879xp25"/>
        <s v="d5464s36"/>
        <s v="d827rn78"/>
        <s v="d2445645"/>
        <s v="d759cz90"/>
        <s v="d6997g71"/>
        <s v="d296oh36"/>
        <s v="d890xp32"/>
        <s v="d087ri20"/>
        <s v="d685v091"/>
        <s v="d214ta20"/>
        <s v="d6864c05"/>
        <s v="d412j412"/>
        <s v="d480he69"/>
        <s v="d828tk13"/>
        <s v="d1708s54"/>
        <s v="d337gd04"/>
        <s v="d5713s76"/>
        <s v="d431gg05"/>
        <s v="d676g308"/>
        <s v="d085km74"/>
        <s v="d743el93"/>
        <s v="d009c505"/>
        <s v="d3902j35"/>
        <s v="d322yp36"/>
        <s v="d312at02"/>
        <s v="d9869q80"/>
        <s v="d2519354"/>
        <s v="d9559688"/>
        <s v="d859zx83"/>
        <s v="d215ho44"/>
        <s v="d4428v35"/>
        <s v="d495zw97"/>
        <s v="d409ue80"/>
        <s v="d4517564"/>
        <s v="d0106u70"/>
        <s v="d955og80"/>
        <s v="d8142j14"/>
        <s v="d507lv12"/>
        <s v="d660lb58"/>
        <s v="d500ow78"/>
        <s v="d100ro41"/>
        <s v="d884bu13"/>
        <s v="d496d256"/>
        <s v="d2749661"/>
        <s v="d2122v49"/>
        <s v="d431vc28"/>
        <s v="d7566v62"/>
        <s v="d923kn26"/>
        <s v="d170xf80"/>
        <s v="d559nz11"/>
        <s v="d739xk67"/>
        <s v="d555pp52"/>
        <s v="d6638z54"/>
        <s v="d929gg88"/>
        <s v="d1151577"/>
        <s v="d3636137"/>
        <s v="d1911322"/>
        <s v="d952te28"/>
        <s v="d2018q81"/>
        <s v="d228d083"/>
        <s v="d3440n00"/>
        <s v="d986to03"/>
        <s v="d8334155"/>
        <s v="d3121264"/>
        <s v="d537b376"/>
        <s v="d978xv62"/>
        <s v="d147q172"/>
        <s v="d867h078"/>
        <s v="d005x510"/>
        <s v="d044ds11"/>
        <s v="d2545j60"/>
        <s v="d733ae05"/>
        <s v="d946wd29"/>
        <s v="d768t808"/>
        <s v="d837iq07"/>
        <s v="d2507889"/>
        <s v="d489b328"/>
        <s v="d124qb71"/>
        <s v="d0574h92"/>
        <s v="d848i956"/>
        <s v="d3195976"/>
        <s v="d452qy77"/>
        <s v="d147ub90"/>
        <s v="d915pn61"/>
        <s v="d2170e30"/>
        <s v="d019vu70"/>
        <s v="d564jk06"/>
        <s v="d5071512"/>
        <s v="d4022743"/>
        <s v="d367os77"/>
        <s v="d687yz84"/>
        <s v="d418xa17"/>
        <s v="d651d585"/>
        <s v="d028ci04"/>
        <s v="d397zb27"/>
        <s v="d747y472"/>
        <s v="d671nj28"/>
        <s v="d6742t89"/>
        <s v="d699lu65"/>
        <s v="d868m446"/>
        <s v="d751dt21"/>
        <s v="d115ji16"/>
        <s v="d936fw34"/>
        <s v="d8499w21"/>
        <s v="d1047k76"/>
        <s v="d685ni96"/>
        <s v="d4624m80"/>
        <s v="d5851y86"/>
        <s v="d397w127"/>
        <s v="d690lr62"/>
        <s v="d9856y63"/>
        <s v="d628l761"/>
        <s v="d6215c47"/>
        <s v="d083rq59"/>
        <s v="d2445b92"/>
        <s v="d119f121"/>
        <s v="d585my42"/>
        <s v="d611up11"/>
        <s v="d9451a40"/>
        <s v="d7192620"/>
        <s v="d961p644"/>
        <s v="d131im20"/>
        <s v="d902ty08"/>
        <s v="d9723g23"/>
        <s v="d129ai78"/>
        <s v="d2158x89"/>
        <s v="d938fb88"/>
        <s v="d5455v71"/>
        <s v="d069a675"/>
        <s v="d341et51"/>
        <s v="d596of29"/>
        <s v="d638tf44"/>
        <s v="d743vg53"/>
        <s v="d442mh87"/>
        <s v="d7709r69"/>
        <s v="d654mf76"/>
        <s v="d4673u32"/>
        <s v="d537ia07"/>
        <s v="d719de86"/>
        <s v="d6901v25"/>
        <s v="d300zu11"/>
        <s v="d292oz41"/>
        <s v="d419v483"/>
        <s v="d300mk52"/>
        <s v="d555dm10"/>
        <s v="d207iq58"/>
        <s v="d906yh41"/>
        <s v="d272qf55"/>
        <s v="d181n140"/>
        <s v="d420s045"/>
        <s v="d033fm24"/>
        <s v="d185xy81"/>
        <s v="d643fn11"/>
        <s v="d158rf59"/>
        <s v="d321n044"/>
        <s v="d006as84"/>
        <s v="d815zl25"/>
        <s v="d9518867"/>
        <s v="d334ic95"/>
        <s v="d822pa86"/>
        <s v="d0712d03"/>
        <s v="d676v164"/>
        <s v="d046tp00"/>
        <s v="d685qg88"/>
        <s v="d698xo87"/>
        <s v="d935y596"/>
        <s v="d461me39"/>
        <s v="d165se63"/>
        <s v="d160ys70"/>
        <s v="d1066u70"/>
        <s v="d691em43"/>
        <s v="d655g108"/>
        <s v="d235rd55"/>
        <s v="d382ii73"/>
        <s v="d203wh43"/>
        <s v="d906ot38"/>
        <s v="d625dq59"/>
        <s v="d013bo31"/>
        <s v="d842ex99"/>
        <s v="d208yi02"/>
        <s v="d491kj45"/>
        <s v="d458ig79"/>
        <s v="d608s936"/>
        <s v="d168ll99"/>
        <s v="d9540s61"/>
        <s v="d047o714"/>
        <s v="d485mz47"/>
        <s v="d760vh01"/>
        <s v="d3437605"/>
        <s v="d4750p19"/>
        <s v="d6107k39"/>
        <s v="d897le37"/>
        <s v="d535qz23"/>
        <s v="d062i955"/>
        <s v="d266dk57"/>
        <s v="d989nm27"/>
        <s v="d289f809"/>
        <s v="d176gg39"/>
        <s v="d036ax89"/>
        <s v="d688f744"/>
        <s v="d321ce08"/>
        <s v="d767go33"/>
        <s v="d953of18"/>
        <s v="d425k873"/>
        <s v="d812ab32"/>
        <s v="d159jh16"/>
        <s v="d538uh82"/>
        <s v="d5028043"/>
        <s v="d132lw49"/>
        <s v="d6091p98"/>
        <s v="d116ws31"/>
        <s v="d4364b02"/>
        <s v="d153h436"/>
        <s v="d577ed61"/>
        <s v="d990b268"/>
        <s v="d5433t92"/>
        <s v="d8824m48"/>
        <s v="d352gg78"/>
        <s v="d5463d88"/>
        <s v="d915o729"/>
        <s v="d742m856"/>
        <s v="d795d562"/>
        <s v="d715hb95"/>
        <s v="d5889944"/>
        <s v="d7958q25"/>
        <s v="d669yv62"/>
        <s v="d3029m12"/>
        <s v="d051cw29"/>
        <s v="d747sv62"/>
        <s v="d278x895"/>
        <s v="d801zo43"/>
        <s v="d6567308"/>
        <s v="d5610r99"/>
        <s v="d5748943"/>
        <s v="d861aj49"/>
        <s v="d003bl19"/>
        <s v="d772vo17"/>
        <s v="d527aw62"/>
        <s v="d994lc00"/>
        <s v="d126j800"/>
        <s v="d3199q86"/>
        <s v="d988s547"/>
        <s v="d952vc64"/>
        <s v="d006b058"/>
        <s v="d6360792"/>
        <s v="d274pb24"/>
        <s v="d4123h93"/>
        <s v="d854n850"/>
        <s v="d271ra24"/>
        <s v="d795qt18"/>
        <s v="d221ul90"/>
        <s v="d072kr34"/>
        <s v="d882ce51"/>
        <s v="d205nq70"/>
        <s v="d0083979"/>
        <s v="d6279n92"/>
        <s v="d1004l35"/>
        <s v="d908vg18"/>
        <s v="d860ly66"/>
        <s v="d7450190"/>
        <s v="d750kr76"/>
        <s v="d6219r46"/>
        <s v="d957cq65"/>
        <s v="d870em53"/>
        <s v="d566en75"/>
        <s v="d498e431"/>
        <s v="d995aa82"/>
        <s v="d6306r54"/>
        <s v="d001x238"/>
        <s v="d552ph64"/>
        <s v="d7376f03"/>
        <s v="d301gk56"/>
        <s v="d092xm96"/>
        <s v="d072ud11"/>
        <s v="d5521y10"/>
        <s v="d004cl27"/>
        <s v="d2999f02"/>
        <s v="d166gf40"/>
        <s v="d620vw69"/>
        <s v="d527ix79"/>
        <s v="d466ea62"/>
        <s v="d441qt81"/>
        <s v="d744wc42"/>
        <s v="d939d161"/>
        <s v="d2905l65"/>
        <s v="d284iq25"/>
        <s v="d5836t16"/>
        <s v="d093h651"/>
        <s v="d509nk93"/>
        <s v="d396l099"/>
        <s v="d0180082"/>
        <s v="d788fw23"/>
        <s v="d973d532"/>
        <s v="d554xt29"/>
        <s v="d4073215"/>
        <s v="d581du64"/>
        <s v="d661n169"/>
        <s v="d094cm40"/>
        <s v="d563ks76"/>
        <s v="d312ns73"/>
        <s v="d402em68"/>
        <s v="d039zh03"/>
        <s v="d198xy36"/>
        <s v="d113v975"/>
        <s v="d643r272"/>
        <s v="d625qu22"/>
        <s v="d521zv60"/>
        <s v="d991gn22"/>
        <s v="d3582x49"/>
        <s v="d192ud61"/>
        <s v="d670z267"/>
        <s v="d0043l41"/>
        <s v="d972bn17"/>
        <s v="d284uw55"/>
        <s v="d411jc57"/>
        <s v="d594ry90"/>
        <s v="d984w127"/>
        <s v="d258o895"/>
        <s v="d5979s18"/>
        <s v="d963z704"/>
        <s v="d858h796"/>
        <s v="d8874o89"/>
        <s v="d859h630"/>
        <s v="d5173k22"/>
        <s v="d734zz15"/>
        <s v="d504nt92"/>
        <s v="d3412b53"/>
        <s v="d780o460"/>
        <s v="d467sh65"/>
        <s v="d047im29"/>
        <s v="d396hz26"/>
        <s v="d304o466"/>
        <s v="d8192a35"/>
        <s v="d6863899"/>
        <s v="d590wa90"/>
        <s v="d784ki88"/>
        <s v="d6881y66"/>
        <s v="d477zf73"/>
        <s v="d637b349"/>
        <s v="d884d015"/>
        <s v="d1140j30"/>
        <s v="d781so03"/>
        <s v="d379fe65"/>
        <s v="d8930249"/>
        <s v="d749q676"/>
        <s v="d3050443"/>
        <s v="d897db92"/>
        <s v="d293r110"/>
        <s v="d474d034"/>
        <s v="d340z078"/>
        <s v="d051mt87"/>
        <s v="d449wj34"/>
        <s v="d1260w91"/>
        <s v="d103pt16"/>
        <s v="d080e016"/>
        <s v="d410cy92"/>
        <s v="d437ek63"/>
        <s v="d735og31"/>
        <s v="d879rf13"/>
        <s v="d409d161"/>
        <s v="d065fx39"/>
        <s v="d863s333"/>
        <s v="d986l839"/>
        <s v="d2276p10"/>
        <s v="d5578k64"/>
        <s v="d8369n05"/>
        <s v="d7837s30"/>
        <s v="d529u337"/>
        <s v="d553zk95"/>
        <s v="d156s740"/>
        <s v="d310zv35"/>
        <s v="d007yc21"/>
        <s v="d662w378"/>
        <s v="d5042i47"/>
        <s v="d738dk36"/>
        <s v="d157ad24"/>
        <s v="d241oe25"/>
        <s v="d800yv31"/>
        <s v="d474pk88"/>
        <s v="d064mx64"/>
        <s v="d389yp57"/>
        <s v="d0548s96"/>
        <s v="d166a457"/>
        <s v="d764uo06"/>
        <s v="d503km90"/>
        <s v="d4581513"/>
        <s v="d311mh74"/>
        <s v="d9678m96"/>
        <s v="d7735b59"/>
        <s v="d3235n00"/>
        <s v="d966wu18"/>
        <s v="d4168u08"/>
        <s v="d357pj38"/>
        <s v="d381ja21"/>
        <s v="d997m694"/>
        <s v="d018wu02"/>
        <s v="d143pk40"/>
        <s v="d9081600"/>
        <s v="d037xi19"/>
        <s v="d895pg04"/>
        <s v="d744xx64"/>
        <s v="d2724d94"/>
        <s v="d3181e46"/>
        <s v="d457qh60"/>
        <s v="d319gm53"/>
        <s v="d237jd04"/>
        <s v="d369qn02"/>
        <s v="d5038p42"/>
        <s v="d030o029"/>
        <s v="d360lf55"/>
        <s v="d824dt41"/>
        <s v="d1534w11"/>
        <s v="d819dm86"/>
        <s v="d147g817"/>
        <s v="d2640914"/>
        <s v="d780gv03"/>
        <s v="d396c694"/>
        <s v="d9254z68"/>
        <s v="d096ia65"/>
        <s v="d364he35"/>
        <s v="d912k531"/>
        <s v="d672mz09"/>
        <s v="d994cc10"/>
        <s v="d5451e99"/>
        <s v="d512uf06"/>
        <s v="d133wy34"/>
        <s v="d6376d92"/>
        <s v="d6102l95"/>
        <s v="d983os43"/>
        <s v="d660yz52"/>
        <s v="d7342t21"/>
        <s v="d768pl34"/>
        <s v="d3115w31"/>
        <s v="d1220d03"/>
        <s v="d789x167"/>
        <s v="d126ql37"/>
        <s v="d7969047"/>
        <s v="d107gy49"/>
        <s v="d316r634"/>
        <s v="d4227f44"/>
        <s v="d3852x96"/>
        <s v="d6758p20"/>
        <s v="d629nq42"/>
        <s v="d809jt85"/>
        <s v="d043uq27"/>
        <s v="d322t264"/>
        <s v="d922cx24"/>
        <s v="d0714261"/>
        <s v="d3428z67"/>
        <s v="d922zp98"/>
        <s v="d376yp75"/>
        <s v="d294vd10"/>
        <s v="d025eq60"/>
        <s v="d103nc17"/>
        <s v="d626h453"/>
        <s v="d5593w23"/>
        <s v="d783ss50"/>
        <s v="d316vb78"/>
        <s v="d2036c32"/>
        <s v="d3905w99"/>
        <s v="d150r325"/>
        <s v="d236kb22"/>
        <s v="d973fk82"/>
        <s v="d1360q86"/>
        <s v="d041ij35"/>
        <s v="d7816n93"/>
        <s v="d914y124"/>
        <s v="d0994252"/>
        <s v="d5034889"/>
        <s v="d761cu18"/>
        <s v="d860x542"/>
        <s v="d011bs65"/>
        <s v="d4745y84"/>
        <s v="d296ou17"/>
        <s v="d003gd66"/>
        <s v="d028oz58"/>
        <s v="d2961e27"/>
        <s v="d752oi35"/>
        <s v="d424jy55"/>
        <s v="d333ml80"/>
        <s v="d597pg45"/>
        <s v="d7182087"/>
        <s v="d621jy47"/>
        <s v="d888qu71"/>
        <s v="d9860b25"/>
        <s v="d376fg86"/>
        <s v="d200t022"/>
        <s v="d858ti23"/>
        <s v="d8259d37"/>
        <s v="d296j021"/>
        <s v="d058s006"/>
        <s v="d472v747"/>
        <s v="d680q456"/>
        <s v="d1154r91"/>
        <s v="d180lz50"/>
        <s v="d002wi01"/>
        <s v="d402vk52"/>
        <s v="d5122552"/>
        <s v="d213w259"/>
        <s v="d8389768"/>
        <s v="d578xz17"/>
        <s v="d371c512"/>
        <s v="d401zx26"/>
        <s v="d988l829"/>
        <s v="d515uw59"/>
        <s v="d242jp32"/>
        <s v="d438k637"/>
        <s v="d830w212"/>
        <s v="d4450283"/>
        <s v="d498tr19"/>
        <s v="d021k493"/>
        <s v="d0607x36"/>
        <s v="d147d513"/>
        <s v="d348rm61"/>
        <s v="d1436z43"/>
        <s v="d886c015"/>
        <s v="d1867k59"/>
        <s v="d995wt88"/>
        <s v="d6014590"/>
        <s v="d1213590"/>
        <s v="d779gi38"/>
        <s v="d266gz35"/>
        <s v="d1116k90"/>
        <s v="d700a260"/>
        <s v="d381a927"/>
        <s v="d916hc63"/>
        <s v="d104tu05"/>
        <s v="d6286i40"/>
        <s v="d9648198"/>
        <s v="d496i751"/>
        <s v="d332y741"/>
        <s v="d078nv45"/>
        <s v="d634oh87"/>
        <s v="d851oc64"/>
        <s v="d544wj43"/>
        <s v="d238fe90"/>
        <s v="d766s173"/>
        <s v="d5756i66"/>
        <s v="d8325g39"/>
        <s v="d6985w97"/>
        <s v="d4295m92"/>
        <s v="d047h688"/>
        <s v="d344cl86"/>
        <s v="d726zq25"/>
        <s v="d5134947"/>
        <s v="d7951g84"/>
        <s v="d749yr87"/>
        <s v="d429v314"/>
        <s v="d942fy84"/>
        <s v="d828jy63"/>
        <s v="d537qn68"/>
        <s v="d283ty84"/>
        <s v="d574tm80"/>
        <s v="d366l228"/>
        <s v="d527e525"/>
        <s v="d789ld63"/>
        <s v="d7619906"/>
        <s v="d4797421"/>
        <s v="d750nx02"/>
        <s v="d652bb30"/>
        <s v="d603kb83"/>
        <s v="d794bb28"/>
        <s v="d5247h04"/>
        <s v="d9637w07"/>
        <s v="d064uo21"/>
        <s v="d324q165"/>
        <s v="d366dk29"/>
        <s v="d858ir05"/>
        <s v="d8045563"/>
        <s v="d877sr48"/>
        <s v="d024z992"/>
        <s v="d495ny56"/>
        <s v="d241li62"/>
        <s v="d213c655"/>
        <s v="d0475j39"/>
        <s v="d919q144"/>
        <s v="d324nq26"/>
        <s v="d1946c79"/>
        <s v="d416pu83"/>
        <s v="d640wu39"/>
        <s v="d949p040"/>
        <s v="d432b834"/>
        <s v="d388bm13"/>
        <s v="d663yf22"/>
        <s v="d071fm87"/>
        <s v="d1734l26"/>
        <s v="d643oc11"/>
        <s v="d213ei22"/>
        <s v="d528xj05"/>
        <s v="d133gd12"/>
        <s v="d552t557"/>
        <s v="d785pl98"/>
        <s v="d978tm46"/>
        <s v="d799nm62"/>
        <s v="d529mo74"/>
        <s v="d049mf94"/>
        <s v="d134vb81"/>
        <s v="d253i063"/>
        <s v="d2992v19"/>
        <s v="d504fu44"/>
        <s v="d0640751"/>
        <s v="d867bj72"/>
        <s v="d5251f11"/>
        <s v="d196f713"/>
        <s v="d158sw90"/>
        <s v="d703l753"/>
        <s v="d7898s50"/>
        <s v="d348ql95"/>
        <s v="d804t115"/>
        <s v="d1993t40"/>
        <s v="d377s752"/>
        <s v="d352z597"/>
        <s v="d9483l43"/>
        <s v="d754ij84"/>
        <s v="d000lp74"/>
        <s v="d423ev20"/>
        <s v="d057eo54"/>
        <s v="d386c122"/>
        <s v="d3661l77"/>
        <s v="d8354l17"/>
        <s v="d8725u96"/>
        <s v="d0751922"/>
        <s v="d2643l31"/>
        <s v="d033ug08"/>
        <s v="d104lw09"/>
        <s v="d018rn76"/>
        <s v="d2150e33"/>
        <s v="d496yk40"/>
        <s v="d101db60"/>
        <s v="d4320895"/>
        <s v="d929sg83"/>
        <s v="d775a349"/>
        <s v="d659mo61"/>
        <s v="d3107o77"/>
        <s v="d283cn80"/>
        <s v="d203p733"/>
        <s v="d249a341"/>
        <s v="d037ri54"/>
        <s v="d7589t56"/>
        <s v="d278b176"/>
        <s v="d473mi30"/>
      </sharedItems>
    </cacheField>
    <cacheField name="delivery_start" numFmtId="165">
      <sharedItems containsSemiMixedTypes="0" containsDate="1" containsString="0"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6-30T00:00:00Z"/>
      </sharedItems>
    </cacheField>
    <cacheField name="delivery_end" numFmtId="165">
      <sharedItems containsSemiMixedTypes="0" containsDate="1" containsString="0">
        <d v="2023-06-02T00:00:00Z"/>
        <d v="2023-06-03T00:00:00Z"/>
        <d v="2023-06-06T00:00:00Z"/>
        <d v="2023-06-04T00:00:00Z"/>
        <d v="2023-06-05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6-30T00:00:00Z"/>
        <d v="2023-07-01T00:00:00Z"/>
        <d v="2023-07-02T00:00:00Z"/>
        <d v="2023-07-03T00:00:00Z"/>
        <d v="2023-07-04T00:00:00Z"/>
        <d v="2023-07-05T00:00:00Z"/>
      </sharedItems>
    </cacheField>
    <cacheField name="delivery_distance(KM)" numFmtId="0">
      <sharedItems containsSemiMixedTypes="0" containsString="0" containsNumber="1" containsInteger="1">
        <n v="5.0"/>
        <n v="15.0"/>
        <n v="8.0"/>
        <n v="4.0"/>
        <n v="60.0"/>
        <n v="7.0"/>
        <n v="17.0"/>
        <n v="36.0"/>
        <n v="1.0"/>
        <n v="3.0"/>
        <n v="76.0"/>
        <n v="21.0"/>
        <n v="61.0"/>
        <n v="6.0"/>
        <n v="33.0"/>
        <n v="11.0"/>
        <n v="2.0"/>
        <n v="13.0"/>
        <n v="14.0"/>
        <n v="9.0"/>
        <n v="10.0"/>
        <n v="56.0"/>
        <n v="19.0"/>
        <n v="49.0"/>
        <n v="65.0"/>
        <n v="38.0"/>
        <n v="39.0"/>
        <n v="22.0"/>
        <n v="34.0"/>
        <n v="48.0"/>
        <n v="28.0"/>
        <n v="29.0"/>
        <n v="20.0"/>
        <n v="16.0"/>
        <n v="18.0"/>
        <n v="12.0"/>
        <n v="35.0"/>
        <n v="43.0"/>
        <n v="58.0"/>
        <n v="24.0"/>
        <n v="77.0"/>
        <n v="73.0"/>
        <n v="59.0"/>
        <n v="70.0"/>
        <n v="63.0"/>
        <n v="72.0"/>
        <n v="25.0"/>
        <n v="27.0"/>
        <n v="41.0"/>
        <n v="78.0"/>
        <n v="54.0"/>
        <n v="64.0"/>
      </sharedItems>
    </cacheField>
    <cacheField name="delivery_weight" numFmtId="0">
      <sharedItems containsSemiMixedTypes="0" containsString="0" containsNumber="1" containsInteger="1">
        <n v="3.0"/>
        <n v="4.0"/>
        <n v="2.0"/>
        <n v="24.0"/>
        <n v="10.0"/>
        <n v="17.0"/>
        <n v="1.0"/>
        <n v="20.0"/>
        <n v="12.0"/>
        <n v="22.0"/>
        <n v="18.0"/>
        <n v="9.0"/>
        <n v="8.0"/>
        <n v="6.0"/>
        <n v="7.0"/>
        <n v="5.0"/>
        <n v="15.0"/>
        <n v="19.0"/>
        <n v="11.0"/>
        <n v="26.0"/>
        <n v="16.0"/>
        <n v="27.0"/>
        <n v="14.0"/>
        <n v="21.0"/>
        <n v="13.0"/>
      </sharedItems>
    </cacheField>
    <cacheField name="delivery_cost" numFmtId="166">
      <sharedItems containsString="0" containsBlank="1" containsNumber="1" containsInteger="1">
        <n v="16000.0"/>
        <n v="22500.0"/>
        <n v="18000.0"/>
        <n v="14000.0"/>
        <n v="76000.0"/>
        <n v="30000.0"/>
        <n v="23100.0"/>
        <n v="54800.0"/>
        <n v="80800.0"/>
        <n v="12000.0"/>
        <n v="56300.0"/>
        <n v="52300.0"/>
        <n v="63900.0"/>
        <n v="64000.0"/>
        <n v="28000.0"/>
        <n v="31100.0"/>
        <n v="22000.0"/>
        <n v="24000.0"/>
        <n v="20000.0"/>
        <n v="50800.0"/>
        <n v="25700.0"/>
        <n v="24500.0"/>
        <n v="54700.0"/>
        <n v="77500.0"/>
        <n v="55400.0"/>
        <n v="55700.0"/>
        <n v="26000.0"/>
        <n v="54600.0"/>
        <n v="76800.0"/>
        <n v="64200.0"/>
        <n v="38600.0"/>
        <n v="64400.0"/>
        <n v="66400.0"/>
        <n v="56700.0"/>
        <n v="68300.0"/>
        <n v="26500.0"/>
        <n v="27700.0"/>
        <n v="34500.0"/>
        <n v="33100.0"/>
        <n v="32000.0"/>
        <n v="22800.0"/>
        <n v="25100.0"/>
        <n v="33400.0"/>
        <n v="36000.0"/>
        <n v="29400.0"/>
        <n v="29100.0"/>
        <n v="64500.0"/>
        <n v="23400.0"/>
        <n v="25400.0"/>
        <n v="54900.0"/>
        <n v="51400.0"/>
        <n v="30500.0"/>
        <n v="39200.0"/>
        <n v="23700.0"/>
        <n v="66900.0"/>
        <n v="32500.0"/>
        <n v="35700.0"/>
        <n v="31700.0"/>
        <n v="24800.0"/>
        <n v="28500.0"/>
        <m/>
        <n v="55100.0"/>
        <n v="34000.0"/>
        <n v="30800.0"/>
        <n v="29700.0"/>
        <n v="27400.0"/>
        <n v="27100.0"/>
        <n v="82000.0"/>
        <n v="65900.0"/>
        <n v="50900.0"/>
        <n v="67700.0"/>
        <n v="59400.0"/>
        <n v="64300.0"/>
        <n v="61500.0"/>
        <n v="71000.0"/>
        <n v="70900.0"/>
        <n v="65600.0"/>
        <n v="67600.0"/>
        <n v="26800.0"/>
        <n v="28800.0"/>
        <n v="35100.0"/>
        <n v="33700.0"/>
        <n v="32800.0"/>
        <n v="52200.0"/>
        <n v="62900.0"/>
        <n v="71500.0"/>
        <n v="54100.0"/>
        <n v="31400.0"/>
        <n v="34800.0"/>
        <n v="46300.0"/>
        <n v="65400.0"/>
        <n v="50000.0"/>
        <n v="66200.0"/>
        <n v="77400.0"/>
        <n v="43900.0"/>
        <n v="55200.0"/>
        <n v="62300.0"/>
      </sharedItems>
    </cacheField>
    <cacheField name="delivery_status" numFmtId="0">
      <sharedItems>
        <s v="Delivered"/>
        <s v="Failed"/>
      </sharedItems>
    </cacheField>
    <cacheField name="delivery_rating" numFmtId="0">
      <sharedItems containsString="0" containsBlank="1" containsNumber="1" containsInteger="1">
        <n v="5.0"/>
        <n v="3.0"/>
        <n v="4.0"/>
        <m/>
      </sharedItems>
    </cacheField>
    <cacheField name="cust_id" numFmtId="0">
      <sharedItems>
        <s v="c610nb83"/>
        <s v="c4499022"/>
        <s v="c488rh35"/>
        <s v="c820nh65"/>
        <s v="c2106v17"/>
        <s v="c930rp80"/>
        <s v="c642g158"/>
        <s v="c6618045"/>
        <s v="c151ox49"/>
        <s v="c843a859"/>
        <s v="c210c049"/>
        <s v="c7781558"/>
        <s v="c337mu29"/>
        <s v="c939ti98"/>
        <s v="c215sk17"/>
        <s v="c809az25"/>
        <s v="c045fx05"/>
        <s v="c8496q88"/>
        <s v="c194ct05"/>
        <s v="c571ls56"/>
        <s v="c829xu75"/>
        <s v="c350z496"/>
        <s v="c436vw14"/>
        <s v="c105nj80"/>
        <s v="c390yi69"/>
        <s v="c361gs90"/>
        <s v="c222bh94"/>
        <s v="c952u667"/>
        <s v="c646kr38"/>
        <s v="c069sv80"/>
        <s v="c691xw56"/>
        <s v="c631ay25"/>
        <s v="c564rf19"/>
        <s v="c341ur74"/>
        <s v="c662lv97"/>
        <s v="c374dp69"/>
        <s v="c762ax51"/>
        <s v="c8098h64"/>
        <s v="c286di37"/>
        <s v="c730jr67"/>
        <s v="c897gy76"/>
        <s v="c615om33"/>
        <s v="c5365i41"/>
        <s v="c604fb40"/>
        <s v="c401qi58"/>
        <s v="c013zm33"/>
        <s v="c810w722"/>
        <s v="c726js60"/>
        <s v="c598et83"/>
        <s v="c885mq36"/>
        <s v="c277a226"/>
        <s v="c103xn37"/>
        <s v="c5879774"/>
        <s v="c563ef66"/>
        <s v="c441dk36"/>
        <s v="c011gz48"/>
        <s v="c226cz76"/>
        <s v="c3767l14"/>
        <s v="c788gk49"/>
        <s v="c2997g24"/>
        <s v="c133xi62"/>
        <s v="c0188386"/>
        <s v="c494xq64"/>
        <s v="c768hm32"/>
        <s v="c406ko66"/>
        <s v="c063ju26"/>
        <s v="c681fz23"/>
        <s v="c456nr93"/>
        <s v="c1831d01"/>
        <s v="c508wh98"/>
        <s v="c508ne51"/>
        <s v="c823ox53"/>
        <s v="c027x518"/>
        <s v="c2174g55"/>
        <s v="c161v436"/>
        <s v="c403uk04"/>
        <s v="c856h104"/>
        <s v="c894jx19"/>
        <s v="c6714747"/>
        <s v="c409t397"/>
        <s v="c929of90"/>
        <s v="c707wa93"/>
        <s v="c647jb27"/>
        <s v="c6693733"/>
        <s v="c633gl73"/>
        <s v="c497gr98"/>
        <s v="c999xa95"/>
        <s v="c932ge67"/>
        <s v="c581rx71"/>
        <s v="c346ba59"/>
        <s v="c5578r76"/>
        <s v="c863ac08"/>
        <s v="c586la54"/>
        <s v="c5657j70"/>
        <s v="c0839u69"/>
        <s v="c986jm85"/>
        <s v="c222ur86"/>
        <s v="c6127386"/>
        <s v="c276d106"/>
        <s v="c318dh35"/>
        <s v="c0028r76"/>
        <s v="c436s972"/>
        <s v="c806xq35"/>
        <s v="c249pv67"/>
        <s v="c4809c14"/>
        <s v="c0775e04"/>
        <s v="c223dw15"/>
        <s v="c0225808"/>
        <s v="c710e446"/>
        <s v="c254l910"/>
        <s v="c647ph60"/>
        <s v="c607zl45"/>
        <s v="c930ql47"/>
        <s v="c103x829"/>
        <s v="c1449623"/>
        <s v="c968u208"/>
        <s v="c752em93"/>
        <s v="c469lo81"/>
        <s v="c790lf75"/>
        <s v="c547jz16"/>
        <s v="c883ng54"/>
        <s v="c403vk91"/>
        <s v="c3373x64"/>
        <s v="c091z676"/>
        <s v="c004zx71"/>
        <s v="c377f611"/>
        <s v="c718pn16"/>
        <s v="c3578l86"/>
        <s v="c747i052"/>
        <s v="c886ja45"/>
        <s v="c7153n57"/>
        <s v="c079zl60"/>
        <s v="c298fc42"/>
        <s v="c379ns16"/>
        <s v="c8815z16"/>
        <s v="c7958i96"/>
        <s v="c100g204"/>
        <s v="c316vb61"/>
        <s v="c027t775"/>
        <s v="c325e415"/>
        <s v="c423j256"/>
        <s v="c8231700"/>
        <s v="c397o346"/>
        <s v="c721nw79"/>
        <s v="c263ww37"/>
        <s v="c273mw96"/>
        <s v="c2130q64"/>
        <s v="c046fr63"/>
        <s v="c7006341"/>
        <s v="c059t758"/>
        <s v="c8994y53"/>
        <s v="c460vu18"/>
        <s v="c0145076"/>
        <s v="c183g827"/>
        <s v="c1433655"/>
        <s v="c5943x77"/>
        <s v="c948js35"/>
        <s v="c608ww37"/>
        <s v="c561sd77"/>
        <s v="c258c960"/>
        <s v="c982p640"/>
        <s v="c605fh36"/>
        <s v="c009y954"/>
        <s v="c448hn11"/>
        <s v="c6564145"/>
        <s v="c589ni10"/>
        <s v="c698tl24"/>
        <s v="c055e999"/>
        <s v="c758lr90"/>
        <s v="c783vw70"/>
        <s v="c664jl33"/>
        <s v="c977n270"/>
        <s v="c4407o80"/>
        <s v="c6936459"/>
        <s v="c412r546"/>
        <s v="c680ow22"/>
        <s v="c420py25"/>
        <s v="c745md87"/>
        <s v="c4487k60"/>
        <s v="c950k547"/>
        <s v="c147ob91"/>
        <s v="c8762h62"/>
        <s v="c4294z76"/>
        <s v="c323v439"/>
        <s v="c2605r24"/>
        <s v="c634gy81"/>
        <s v="c363g255"/>
        <s v="c8096f67"/>
        <s v="c502ka32"/>
        <s v="c6023792"/>
        <s v="c399n118"/>
        <s v="c307i126"/>
        <s v="c276ze65"/>
        <s v="c109ca81"/>
        <s v="c198iw07"/>
        <s v="c799n237"/>
        <s v="c975kk84"/>
        <s v="c551mn90"/>
        <s v="c005rh78"/>
        <s v="c0535i50"/>
        <s v="c498b471"/>
        <s v="c572w366"/>
        <s v="c5239v26"/>
        <s v="c682yy29"/>
        <s v="c3894b24"/>
        <s v="c752rp95"/>
        <s v="c4833892"/>
        <s v="c566pg76"/>
        <s v="c110nw21"/>
        <s v="c5504038"/>
        <s v="c847mi92"/>
        <s v="c914p758"/>
        <s v="c584f785"/>
        <s v="c691ho22"/>
        <s v="c9207868"/>
        <s v="c708ha15"/>
        <s v="c583ng50"/>
        <s v="c2762v68"/>
        <s v="c141wq46"/>
        <s v="c999o269"/>
        <s v="c560dj35"/>
        <s v="c1000477"/>
        <s v="c687ul63"/>
        <s v="c9012x49"/>
        <s v="c516an15"/>
        <s v="c893wz86"/>
        <s v="c332f574"/>
        <s v="c4040q36"/>
        <s v="c988el18"/>
        <s v="c241a854"/>
        <s v="c526lj12"/>
        <s v="c234dq96"/>
        <s v="c462ov60"/>
        <s v="c6139n24"/>
        <s v="c872no72"/>
        <s v="c191dv41"/>
        <s v="c521qf51"/>
        <s v="c164rx74"/>
        <s v="c724z231"/>
        <s v="c1708y80"/>
        <s v="c264dl23"/>
        <s v="c996s760"/>
        <s v="c803j427"/>
        <s v="c084sj48"/>
        <s v="c6841782"/>
        <s v="c351wa21"/>
        <s v="c4843a36"/>
        <s v="c7483u42"/>
        <s v="c217xe56"/>
        <s v="c2764k77"/>
        <s v="c6565p66"/>
        <s v="c030ik01"/>
        <s v="c048r449"/>
        <s v="c142nn69"/>
        <s v="c574l710"/>
        <s v="c8622a57"/>
        <s v="c344s738"/>
        <s v="c8101s74"/>
        <s v="c8076c16"/>
        <s v="c140a100"/>
        <s v="c559id63"/>
        <s v="c919ol07"/>
        <s v="c9969611"/>
        <s v="c195rf75"/>
        <s v="c3550p99"/>
        <s v="c490w599"/>
        <s v="c002gj74"/>
        <s v="c214p763"/>
        <s v="c447lp81"/>
        <s v="c2602a87"/>
        <s v="c0242z36"/>
        <s v="c107gf67"/>
        <s v="c931ka23"/>
        <s v="c534cs71"/>
        <s v="c982mi43"/>
        <s v="c865b774"/>
        <s v="c475fm42"/>
        <s v="c388dk17"/>
        <s v="c821w597"/>
        <s v="c361b934"/>
        <s v="c5242n80"/>
        <s v="c492jg80"/>
        <s v="c301yn84"/>
        <s v="c965mn48"/>
        <s v="c267yt25"/>
        <s v="c362py51"/>
        <s v="c6531k15"/>
        <s v="c8655x45"/>
        <s v="c389ma48"/>
        <s v="c0459430"/>
        <s v="c138cs24"/>
        <s v="c930mv37"/>
        <s v="c315i662"/>
        <s v="c176qk83"/>
        <s v="c719d493"/>
        <s v="c759cz59"/>
        <s v="c217f944"/>
        <s v="c256kj14"/>
        <s v="c940ax66"/>
        <s v="c335eh33"/>
        <s v="c276rj59"/>
        <s v="c996dw39"/>
        <s v="c385op87"/>
        <s v="c188s510"/>
        <s v="c3575i17"/>
        <s v="c5561596"/>
        <s v="c925c874"/>
        <s v="c8260h39"/>
        <s v="c2847301"/>
        <s v="c804b596"/>
        <s v="c816xa61"/>
        <s v="c572re17"/>
        <s v="c5900618"/>
        <s v="c399ij01"/>
        <s v="c725x432"/>
        <s v="c015sr12"/>
        <s v="c226h591"/>
        <s v="c5477r88"/>
        <s v="c2175719"/>
        <s v="c810ag14"/>
        <s v="c826wf12"/>
        <s v="c3324w41"/>
        <s v="c678bb54"/>
        <s v="c404iz18"/>
        <s v="c655rl87"/>
        <s v="c900gu09"/>
        <s v="c266q114"/>
        <s v="c256sr84"/>
        <s v="c2901z42"/>
        <s v="c067bb83"/>
        <s v="c648et56"/>
        <s v="c051cj96"/>
        <s v="c787q680"/>
        <s v="c290aq07"/>
        <s v="c785s954"/>
        <s v="c657f940"/>
        <s v="c174h049"/>
        <s v="c825jr48"/>
        <s v="c272m911"/>
        <s v="c364pe68"/>
        <s v="c7765219"/>
        <s v="c187ko03"/>
        <s v="c0481w73"/>
        <s v="c225z048"/>
        <s v="c0651a46"/>
        <s v="c374na96"/>
        <s v="c0157v29"/>
        <s v="c762uv30"/>
        <s v="c200b034"/>
        <s v="c587an03"/>
        <s v="c3692850"/>
        <s v="c848uk49"/>
        <s v="c480za02"/>
        <s v="c387yc61"/>
        <s v="c730fr30"/>
        <s v="c7919v31"/>
        <s v="c443rk69"/>
        <s v="c764br68"/>
        <s v="c479ly75"/>
        <s v="c616p675"/>
        <s v="c057r335"/>
        <s v="c504wy88"/>
        <s v="c625o271"/>
        <s v="c429jm36"/>
        <s v="c345gk21"/>
        <s v="c844do22"/>
        <s v="c283x455"/>
        <s v="c377y328"/>
        <s v="c279hj39"/>
        <s v="c270xb16"/>
        <s v="c937cj03"/>
        <s v="c5229b67"/>
        <s v="c4143171"/>
        <s v="c326ju61"/>
        <s v="c9156c84"/>
        <s v="c217i794"/>
        <s v="c070j418"/>
        <s v="c0272g99"/>
        <s v="c891is23"/>
        <s v="c1687u61"/>
        <s v="c792vd29"/>
        <s v="c922jx83"/>
        <s v="c240wv72"/>
        <s v="c965dv86"/>
        <s v="c316ou99"/>
        <s v="c525pu63"/>
        <s v="c659wq21"/>
        <s v="c983z832"/>
        <s v="c938nl00"/>
        <s v="c217e935"/>
        <s v="c548pv41"/>
        <s v="c623yu63"/>
        <s v="c595sr53"/>
        <s v="c630qw83"/>
        <s v="c583lx08"/>
        <s v="c264zq64"/>
        <s v="c828fb12"/>
        <s v="c482x974"/>
        <s v="c5961728"/>
        <s v="c390dq53"/>
        <s v="c9712x40"/>
        <s v="c2153y94"/>
        <s v="c183jc93"/>
        <s v="c123x429"/>
        <s v="c525ux87"/>
        <s v="c976ve34"/>
        <s v="c479sf58"/>
        <s v="c238nt90"/>
        <s v="c4546w70"/>
        <s v="c584lz16"/>
        <s v="c686ov62"/>
        <s v="c226w879"/>
        <s v="c5191u60"/>
        <s v="c9740114"/>
        <s v="c730sm64"/>
        <s v="c489j687"/>
        <s v="c2131l46"/>
        <s v="c2938q73"/>
        <s v="c217kl34"/>
        <s v="c033tm28"/>
        <s v="c766ny61"/>
        <s v="c793ku44"/>
        <s v="c624ci61"/>
        <s v="c055q874"/>
        <s v="c9522x76"/>
        <s v="c846zq08"/>
        <s v="c886ic20"/>
        <s v="c846on86"/>
        <s v="c996qz93"/>
        <s v="c7326a96"/>
        <s v="c792ow37"/>
        <s v="c469eg21"/>
        <s v="c6911994"/>
        <s v="c463o059"/>
        <s v="c295qs63"/>
        <s v="c631xt87"/>
        <s v="c9705570"/>
        <s v="c840gl78"/>
        <s v="c190jn70"/>
        <s v="c0797u56"/>
        <s v="c9858044"/>
        <s v="c709pw84"/>
        <s v="c5423k03"/>
        <s v="c193rq19"/>
      </sharedItems>
    </cacheField>
    <cacheField name="driver_id" numFmtId="49">
      <sharedItems>
        <s v="d7558x82"/>
        <s v="d234da52"/>
        <s v="d293in45"/>
        <s v="d636kh58"/>
        <s v="d064jh48"/>
        <s v="d263cc82"/>
        <s v="d682x946"/>
        <s v="d662l393"/>
        <s v="d9728z69"/>
        <s v="d8601561"/>
        <s v="d506ki34"/>
        <s v="d9198x07"/>
        <s v="d796l251"/>
        <s v="d689vb78"/>
        <s v="d532pn52"/>
        <s v="d963f392"/>
        <s v="d156xg46"/>
        <s v="d833of33"/>
        <s v="d874jz12"/>
        <s v="d244zx70"/>
        <s v="d418sm33"/>
        <s v="d696vl45"/>
        <s v="d9977s49"/>
        <s v="d332xt54"/>
        <s v="d0095x63"/>
        <s v="d232di22"/>
        <s v="d173jf22"/>
        <s v="d5863k83"/>
        <s v="d630cs24"/>
        <s v="d790ei04"/>
        <s v="d961zz31"/>
        <s v="d381in69"/>
        <s v="d371yu31"/>
        <s v="d4323027"/>
        <s v="d669p400"/>
        <s v="d095ns79"/>
        <s v="d000dc28"/>
        <s v="d3582w57"/>
        <s v="d119yw24"/>
        <s v="d637ww68"/>
        <s v="d298zv28"/>
        <s v="d685rx07"/>
        <s v="d058da7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987" sheet="delivery_cleaned"/>
  </cacheSource>
  <cacheFields>
    <cacheField name="delivery_id" numFmtId="0">
      <sharedItems>
        <s v="d351sj64"/>
        <s v="d8386m83"/>
        <s v="d7740w54"/>
        <s v="d542bt15"/>
        <s v="d327dk59"/>
        <s v="d776lv44"/>
        <s v="d464as84"/>
        <s v="d715qm20"/>
        <s v="d444s321"/>
        <s v="d406qh87"/>
        <s v="d2271n35"/>
        <s v="d403wr57"/>
        <s v="d864a523"/>
        <s v="d440bj67"/>
        <s v="d381sw10"/>
        <s v="d958o483"/>
        <s v="d643vx65"/>
        <s v="d1369u62"/>
        <s v="d553me25"/>
        <s v="d0100i73"/>
        <s v="d970am30"/>
        <s v="d364nc61"/>
        <s v="d972tr93"/>
        <s v="d973lw24"/>
        <s v="d458ku87"/>
        <s v="d114fb08"/>
        <s v="d575a644"/>
        <s v="d521da19"/>
        <s v="d5944i27"/>
        <s v="d7581k20"/>
        <s v="d319qh12"/>
        <s v="d112w236"/>
        <s v="d269cv41"/>
        <s v="d222bu90"/>
        <s v="d2619555"/>
        <s v="d8011y21"/>
        <s v="d257ij65"/>
        <s v="d366k990"/>
        <s v="d8177950"/>
        <s v="d8000722"/>
        <s v="d311xp76"/>
        <s v="d630y262"/>
        <s v="d694tk29"/>
        <s v="d1427p51"/>
        <s v="d189b819"/>
        <s v="d1127t89"/>
        <s v="d259vr60"/>
        <s v="d751ws77"/>
        <s v="d765wu53"/>
        <s v="d572mw24"/>
        <s v="d269r157"/>
        <s v="d640or87"/>
        <s v="d117zr90"/>
        <s v="d498ym37"/>
        <s v="d0500795"/>
        <s v="d2793y09"/>
        <s v="d1692v11"/>
        <s v="d3544y15"/>
        <s v="d428rq28"/>
        <s v="d706xh23"/>
        <s v="d023kn10"/>
        <s v="d3299x21"/>
        <s v="d054lc39"/>
        <s v="d684r048"/>
        <s v="d5526v21"/>
        <s v="d2595q99"/>
        <s v="d4126y09"/>
        <s v="d637g605"/>
        <s v="d1585w80"/>
        <s v="d641ey71"/>
        <s v="d252zd35"/>
        <s v="d534qr73"/>
        <s v="d333dr06"/>
        <s v="d872ob52"/>
        <s v="d581cs29"/>
        <s v="d7343o59"/>
        <s v="d111in55"/>
        <s v="d3194r71"/>
        <s v="d8498175"/>
        <s v="d676r478"/>
        <s v="d6221d30"/>
        <s v="d668il17"/>
        <s v="d190xw40"/>
        <s v="d435k482"/>
        <s v="d674ke37"/>
        <s v="d8131d37"/>
        <s v="d666a168"/>
        <s v="d6131m70"/>
        <s v="d310id80"/>
        <s v="d033rv03"/>
        <s v="d7444b29"/>
        <s v="d943p807"/>
        <s v="d564i295"/>
        <s v="d649lu54"/>
        <s v="d5445y22"/>
        <s v="d7021k65"/>
        <s v="d151mh71"/>
        <s v="d219vp92"/>
        <s v="d491j050"/>
        <s v="d294w222"/>
        <s v="d275o074"/>
        <s v="d107hz52"/>
        <s v="d679ev16"/>
        <s v="d1607r54"/>
        <s v="d233ax06"/>
        <s v="d890fm94"/>
        <s v="d5403d96"/>
        <s v="d903af67"/>
        <s v="d778r615"/>
        <s v="d423yu27"/>
        <s v="d157fi72"/>
        <s v="d3501672"/>
        <s v="d515y192"/>
        <s v="d9928d17"/>
        <s v="d584lz61"/>
        <s v="d158up98"/>
        <s v="d564i419"/>
        <s v="d014rh96"/>
        <s v="d987p549"/>
        <s v="d175w493"/>
        <s v="d6694o36"/>
        <s v="d172xl65"/>
        <s v="d072er26"/>
        <s v="d210vf54"/>
        <s v="d054rc31"/>
        <s v="d299x451"/>
        <s v="d022qq33"/>
        <s v="d066a394"/>
        <s v="d356s256"/>
        <s v="d822oz95"/>
        <s v="d9767u72"/>
        <s v="d607bi27"/>
        <s v="d154nd35"/>
        <s v="d813js54"/>
        <s v="d221td17"/>
        <s v="d0347379"/>
        <s v="d2043a66"/>
        <s v="d6709a64"/>
        <s v="d535gv68"/>
        <s v="d319so27"/>
        <s v="d808t072"/>
        <s v="d714to22"/>
        <s v="d179l922"/>
        <s v="d473kv58"/>
        <s v="d260s282"/>
        <s v="d692ce16"/>
        <s v="d079h895"/>
        <s v="d608pa56"/>
        <s v="d206qt55"/>
        <s v="d925bm58"/>
        <s v="d671rk89"/>
        <s v="d0731437"/>
        <s v="d6769j32"/>
        <s v="d084cn69"/>
        <s v="d2236887"/>
        <s v="d153bp29"/>
        <s v="d9902233"/>
        <s v="d7822t81"/>
        <s v="d866ww77"/>
        <s v="d587ri96"/>
        <s v="d898i980"/>
        <s v="d645i658"/>
        <s v="d893tt74"/>
        <s v="d4215327"/>
        <s v="d349rd67"/>
        <s v="d827z233"/>
        <s v="d842kn11"/>
        <s v="d518ta57"/>
        <s v="d3423990"/>
        <s v="d149qu01"/>
        <s v="d969j659"/>
        <s v="d526n265"/>
        <s v="d510kv01"/>
        <s v="d354li33"/>
        <s v="d860sq91"/>
        <s v="d993wd31"/>
        <s v="d069v306"/>
        <s v="d3082v86"/>
        <s v="d919w224"/>
        <s v="d724u312"/>
        <s v="d3914e70"/>
        <s v="d2675v44"/>
        <s v="d6702x45"/>
        <s v="d880ku98"/>
        <s v="d991vw51"/>
        <s v="d573pe87"/>
        <s v="d354vc87"/>
        <s v="d739sp76"/>
        <s v="d445f415"/>
        <s v="d5687k01"/>
        <s v="d226fy20"/>
        <s v="d833lq90"/>
        <s v="d117u677"/>
        <s v="d787mz18"/>
        <s v="d2411q33"/>
        <s v="d5865r57"/>
        <s v="d666uc25"/>
        <s v="d660cc55"/>
        <s v="d158a229"/>
        <s v="d857tv33"/>
        <s v="d844pa71"/>
        <s v="d394ky44"/>
        <s v="d0117314"/>
        <s v="d4588561"/>
        <s v="d0010t69"/>
        <s v="d0275w24"/>
        <s v="d586ds39"/>
        <s v="d7347k36"/>
        <s v="d0356428"/>
        <s v="d937ie33"/>
        <s v="d650bf04"/>
        <s v="d305fy12"/>
        <s v="d337lh25"/>
        <s v="d511ss07"/>
        <s v="d076u065"/>
        <s v="d253c303"/>
        <s v="d3975696"/>
        <s v="d533p676"/>
        <s v="d485yg71"/>
        <s v="d742us85"/>
        <s v="d611yp63"/>
        <s v="d315ku74"/>
        <s v="d629p289"/>
        <s v="d4328848"/>
        <s v="d887fv52"/>
        <s v="d598gl34"/>
        <s v="d912c898"/>
        <s v="d4159i58"/>
        <s v="d050tk76"/>
        <s v="d251dp64"/>
        <s v="d201m269"/>
        <s v="d566pw96"/>
        <s v="d681g554"/>
        <s v="d543wm48"/>
        <s v="d105bm42"/>
        <s v="d599cc91"/>
        <s v="d625kb31"/>
        <s v="d659j927"/>
        <s v="d1591u44"/>
        <s v="d9200o01"/>
        <s v="d580yc07"/>
        <s v="d1879595"/>
        <s v="d356l280"/>
        <s v="d6650387"/>
        <s v="d403n205"/>
        <s v="d2215n86"/>
        <s v="d2933747"/>
        <s v="d948m761"/>
        <s v="d682tm90"/>
        <s v="d3700130"/>
        <s v="d691ut25"/>
        <s v="d3224a46"/>
        <s v="d013k260"/>
        <s v="d687br81"/>
        <s v="d6852w93"/>
        <s v="d700gd18"/>
        <s v="d508q175"/>
        <s v="d534s510"/>
        <s v="d8952e62"/>
        <s v="d512vy53"/>
        <s v="d170o214"/>
        <s v="d345ob53"/>
        <s v="d546g842"/>
        <s v="d281zv61"/>
        <s v="d328ju79"/>
        <s v="d120vo48"/>
        <s v="d910qq19"/>
        <s v="d151ak81"/>
        <s v="d795xp80"/>
        <s v="d622mp03"/>
        <s v="d468pw59"/>
        <s v="d267qx46"/>
        <s v="d5505g16"/>
        <s v="d400l761"/>
        <s v="d418t350"/>
        <s v="d659q645"/>
        <s v="d418x101"/>
        <s v="d393rl49"/>
        <s v="d988bx14"/>
        <s v="d9605s75"/>
        <s v="d6481l60"/>
        <s v="d766fy46"/>
        <s v="d355er74"/>
        <s v="d200mz36"/>
        <s v="d096lr77"/>
        <s v="d392lh84"/>
        <s v="d543d408"/>
        <s v="d102kg64"/>
        <s v="d809r804"/>
        <s v="d583lb60"/>
        <s v="d7680d03"/>
        <s v="d8805d97"/>
        <s v="d4311e62"/>
        <s v="d3047654"/>
        <s v="d7140g19"/>
        <s v="d578aq66"/>
        <s v="d549ja76"/>
        <s v="d261wc96"/>
        <s v="d433ey12"/>
        <s v="d0741d55"/>
        <s v="d548qh09"/>
        <s v="d450tm18"/>
        <s v="d4192s69"/>
        <s v="d611xq07"/>
        <s v="d211bp33"/>
        <s v="d213l258"/>
        <s v="d824w027"/>
        <s v="d109o390"/>
        <s v="d483tr92"/>
        <s v="d889ue72"/>
        <s v="d829e872"/>
        <s v="d4068o85"/>
        <s v="d010u317"/>
        <s v="d010y704"/>
        <s v="d0033x26"/>
        <s v="d346ye16"/>
        <s v="d871fs17"/>
        <s v="d2969k58"/>
        <s v="d2294p12"/>
        <s v="d0268895"/>
        <s v="d610h017"/>
        <s v="d299jo83"/>
        <s v="d421uy64"/>
        <s v="d7994i83"/>
        <s v="d8736z92"/>
        <s v="d048sn17"/>
        <s v="d6850r02"/>
        <s v="d163zi49"/>
        <s v="d4717831"/>
        <s v="d627o372"/>
        <s v="d295w251"/>
        <s v="d422b944"/>
        <s v="d427v958"/>
        <s v="d791cc84"/>
        <s v="d8191i60"/>
        <s v="d9608s89"/>
        <s v="d601gq89"/>
        <s v="d6547p30"/>
        <s v="d188vz63"/>
        <s v="d993uj58"/>
        <s v="d3391w38"/>
        <s v="d9253y31"/>
        <s v="d420ap07"/>
        <s v="d500ex96"/>
        <s v="d879xp25"/>
        <s v="d5464s36"/>
        <s v="d827rn78"/>
        <s v="d2445645"/>
        <s v="d759cz90"/>
        <s v="d6997g71"/>
        <s v="d296oh36"/>
        <s v="d890xp32"/>
        <s v="d087ri20"/>
        <s v="d685v091"/>
        <s v="d214ta20"/>
        <s v="d6864c05"/>
        <s v="d412j412"/>
        <s v="d480he69"/>
        <s v="d828tk13"/>
        <s v="d1708s54"/>
        <s v="d337gd04"/>
        <s v="d5713s76"/>
        <s v="d431gg05"/>
        <s v="d676g308"/>
        <s v="d085km74"/>
        <s v="d743el93"/>
        <s v="d009c505"/>
        <s v="d3902j35"/>
        <s v="d322yp36"/>
        <s v="d312at02"/>
        <s v="d9869q80"/>
        <s v="d2519354"/>
        <s v="d9559688"/>
        <s v="d859zx83"/>
        <s v="d215ho44"/>
        <s v="d4428v35"/>
        <s v="d495zw97"/>
        <s v="d409ue80"/>
        <s v="d4517564"/>
        <s v="d0106u70"/>
        <s v="d955og80"/>
        <s v="d8142j14"/>
        <s v="d507lv12"/>
        <s v="d660lb58"/>
        <s v="d500ow78"/>
        <s v="d100ro41"/>
        <s v="d884bu13"/>
        <s v="d496d256"/>
        <s v="d2749661"/>
        <s v="d2122v49"/>
        <s v="d431vc28"/>
        <s v="d7566v62"/>
        <s v="d923kn26"/>
        <s v="d170xf80"/>
        <s v="d559nz11"/>
        <s v="d739xk67"/>
        <s v="d555pp52"/>
        <s v="d6638z54"/>
        <s v="d929gg88"/>
        <s v="d1151577"/>
        <s v="d3636137"/>
        <s v="d1911322"/>
        <s v="d952te28"/>
        <s v="d2018q81"/>
        <s v="d228d083"/>
        <s v="d3440n00"/>
        <s v="d986to03"/>
        <s v="d8334155"/>
        <s v="d3121264"/>
        <s v="d537b376"/>
        <s v="d978xv62"/>
        <s v="d147q172"/>
        <s v="d867h078"/>
        <s v="d005x510"/>
        <s v="d044ds11"/>
        <s v="d2545j60"/>
        <s v="d733ae05"/>
        <s v="d946wd29"/>
        <s v="d768t808"/>
        <s v="d837iq07"/>
        <s v="d2507889"/>
        <s v="d489b328"/>
        <s v="d124qb71"/>
        <s v="d0574h92"/>
        <s v="d848i956"/>
        <s v="d3195976"/>
        <s v="d452qy77"/>
        <s v="d147ub90"/>
        <s v="d915pn61"/>
        <s v="d2170e30"/>
        <s v="d019vu70"/>
        <s v="d564jk06"/>
        <s v="d5071512"/>
        <s v="d4022743"/>
        <s v="d367os77"/>
        <s v="d687yz84"/>
        <s v="d418xa17"/>
        <s v="d651d585"/>
        <s v="d028ci04"/>
        <s v="d397zb27"/>
        <s v="d747y472"/>
        <s v="d671nj28"/>
        <s v="d6742t89"/>
        <s v="d699lu65"/>
        <s v="d868m446"/>
        <s v="d751dt21"/>
        <s v="d115ji16"/>
        <s v="d936fw34"/>
        <s v="d8499w21"/>
        <s v="d1047k76"/>
        <s v="d685ni96"/>
        <s v="d4624m80"/>
        <s v="d5851y86"/>
        <s v="d397w127"/>
        <s v="d690lr62"/>
        <s v="d9856y63"/>
        <s v="d628l761"/>
        <s v="d6215c47"/>
        <s v="d083rq59"/>
        <s v="d2445b92"/>
        <s v="d119f121"/>
        <s v="d585my42"/>
        <s v="d611up11"/>
        <s v="d9451a40"/>
        <s v="d7192620"/>
        <s v="d961p644"/>
        <s v="d131im20"/>
        <s v="d902ty08"/>
        <s v="d9723g23"/>
        <s v="d129ai78"/>
        <s v="d2158x89"/>
        <s v="d938fb88"/>
        <s v="d5455v71"/>
        <s v="d069a675"/>
        <s v="d341et51"/>
        <s v="d596of29"/>
        <s v="d638tf44"/>
        <s v="d743vg53"/>
        <s v="d442mh87"/>
        <s v="d7709r69"/>
        <s v="d654mf76"/>
        <s v="d4673u32"/>
        <s v="d537ia07"/>
        <s v="d719de86"/>
        <s v="d6901v25"/>
        <s v="d300zu11"/>
        <s v="d292oz41"/>
        <s v="d419v483"/>
        <s v="d300mk52"/>
        <s v="d555dm10"/>
        <s v="d207iq58"/>
        <s v="d906yh41"/>
        <s v="d272qf55"/>
        <s v="d181n140"/>
        <s v="d420s045"/>
        <s v="d033fm24"/>
        <s v="d185xy81"/>
        <s v="d643fn11"/>
        <s v="d158rf59"/>
        <s v="d321n044"/>
        <s v="d006as84"/>
        <s v="d815zl25"/>
        <s v="d9518867"/>
        <s v="d334ic95"/>
        <s v="d822pa86"/>
        <s v="d0712d03"/>
        <s v="d676v164"/>
        <s v="d046tp00"/>
        <s v="d685qg88"/>
        <s v="d698xo87"/>
        <s v="d935y596"/>
        <s v="d461me39"/>
        <s v="d165se63"/>
        <s v="d160ys70"/>
        <s v="d1066u70"/>
        <s v="d691em43"/>
        <s v="d655g108"/>
        <s v="d235rd55"/>
        <s v="d382ii73"/>
        <s v="d203wh43"/>
        <s v="d906ot38"/>
        <s v="d625dq59"/>
        <s v="d013bo31"/>
        <s v="d842ex99"/>
        <s v="d208yi02"/>
        <s v="d491kj45"/>
        <s v="d458ig79"/>
        <s v="d608s936"/>
        <s v="d168ll99"/>
        <s v="d9540s61"/>
        <s v="d047o714"/>
        <s v="d485mz47"/>
        <s v="d760vh01"/>
        <s v="d3437605"/>
        <s v="d4750p19"/>
        <s v="d6107k39"/>
        <s v="d897le37"/>
        <s v="d535qz23"/>
        <s v="d062i955"/>
        <s v="d266dk57"/>
        <s v="d989nm27"/>
        <s v="d289f809"/>
        <s v="d176gg39"/>
        <s v="d036ax89"/>
        <s v="d688f744"/>
        <s v="d321ce08"/>
        <s v="d767go33"/>
        <s v="d953of18"/>
        <s v="d425k873"/>
        <s v="d812ab32"/>
        <s v="d159jh16"/>
        <s v="d538uh82"/>
        <s v="d5028043"/>
        <s v="d132lw49"/>
        <s v="d6091p98"/>
        <s v="d116ws31"/>
        <s v="d4364b02"/>
        <s v="d153h436"/>
        <s v="d577ed61"/>
        <s v="d990b268"/>
        <s v="d5433t92"/>
        <s v="d8824m48"/>
        <s v="d352gg78"/>
        <s v="d5463d88"/>
        <s v="d915o729"/>
        <s v="d742m856"/>
        <s v="d795d562"/>
        <s v="d715hb95"/>
        <s v="d5889944"/>
        <s v="d7958q25"/>
        <s v="d669yv62"/>
        <s v="d3029m12"/>
        <s v="d051cw29"/>
        <s v="d747sv62"/>
        <s v="d278x895"/>
        <s v="d801zo43"/>
        <s v="d6567308"/>
        <s v="d5610r99"/>
        <s v="d5748943"/>
        <s v="d861aj49"/>
        <s v="d003bl19"/>
        <s v="d772vo17"/>
        <s v="d527aw62"/>
        <s v="d994lc00"/>
        <s v="d126j800"/>
        <s v="d3199q86"/>
        <s v="d988s547"/>
        <s v="d952vc64"/>
        <s v="d006b058"/>
        <s v="d6360792"/>
        <s v="d274pb24"/>
        <s v="d4123h93"/>
        <s v="d854n850"/>
        <s v="d271ra24"/>
        <s v="d795qt18"/>
        <s v="d221ul90"/>
        <s v="d072kr34"/>
        <s v="d882ce51"/>
        <s v="d205nq70"/>
        <s v="d0083979"/>
        <s v="d6279n92"/>
        <s v="d1004l35"/>
        <s v="d908vg18"/>
        <s v="d860ly66"/>
        <s v="d7450190"/>
        <s v="d750kr76"/>
        <s v="d6219r46"/>
        <s v="d957cq65"/>
        <s v="d870em53"/>
        <s v="d566en75"/>
        <s v="d498e431"/>
        <s v="d995aa82"/>
        <s v="d6306r54"/>
        <s v="d001x238"/>
        <s v="d552ph64"/>
        <s v="d7376f03"/>
        <s v="d301gk56"/>
        <s v="d092xm96"/>
        <s v="d072ud11"/>
        <s v="d5521y10"/>
        <s v="d004cl27"/>
        <s v="d2999f02"/>
        <s v="d166gf40"/>
        <s v="d620vw69"/>
        <s v="d527ix79"/>
        <s v="d466ea62"/>
        <s v="d441qt81"/>
        <s v="d744wc42"/>
        <s v="d939d161"/>
        <s v="d2905l65"/>
        <s v="d284iq25"/>
        <s v="d5836t16"/>
        <s v="d093h651"/>
        <s v="d509nk93"/>
        <s v="d396l099"/>
        <s v="d0180082"/>
        <s v="d788fw23"/>
        <s v="d973d532"/>
        <s v="d554xt29"/>
        <s v="d4073215"/>
        <s v="d581du64"/>
        <s v="d661n169"/>
        <s v="d094cm40"/>
        <s v="d563ks76"/>
        <s v="d312ns73"/>
        <s v="d402em68"/>
        <s v="d039zh03"/>
        <s v="d198xy36"/>
        <s v="d113v975"/>
        <s v="d643r272"/>
        <s v="d625qu22"/>
        <s v="d521zv60"/>
        <s v="d991gn22"/>
        <s v="d3582x49"/>
        <s v="d192ud61"/>
        <s v="d670z267"/>
        <s v="d0043l41"/>
        <s v="d972bn17"/>
        <s v="d284uw55"/>
        <s v="d411jc57"/>
        <s v="d594ry90"/>
        <s v="d984w127"/>
        <s v="d258o895"/>
        <s v="d5979s18"/>
        <s v="d963z704"/>
        <s v="d858h796"/>
        <s v="d8874o89"/>
        <s v="d859h630"/>
        <s v="d5173k22"/>
        <s v="d734zz15"/>
        <s v="d504nt92"/>
        <s v="d3412b53"/>
        <s v="d780o460"/>
        <s v="d467sh65"/>
        <s v="d047im29"/>
        <s v="d396hz26"/>
        <s v="d304o466"/>
        <s v="d8192a35"/>
        <s v="d6863899"/>
        <s v="d590wa90"/>
        <s v="d784ki88"/>
        <s v="d6881y66"/>
        <s v="d477zf73"/>
        <s v="d637b349"/>
        <s v="d884d015"/>
        <s v="d1140j30"/>
        <s v="d781so03"/>
        <s v="d379fe65"/>
        <s v="d8930249"/>
        <s v="d749q676"/>
        <s v="d3050443"/>
        <s v="d897db92"/>
        <s v="d293r110"/>
        <s v="d474d034"/>
        <s v="d340z078"/>
        <s v="d051mt87"/>
        <s v="d449wj34"/>
        <s v="d1260w91"/>
        <s v="d103pt16"/>
        <s v="d080e016"/>
        <s v="d410cy92"/>
        <s v="d437ek63"/>
        <s v="d735og31"/>
        <s v="d879rf13"/>
        <s v="d409d161"/>
        <s v="d065fx39"/>
        <s v="d863s333"/>
        <s v="d986l839"/>
        <s v="d2276p10"/>
        <s v="d5578k64"/>
        <s v="d8369n05"/>
        <s v="d7837s30"/>
        <s v="d529u337"/>
        <s v="d553zk95"/>
        <s v="d156s740"/>
        <s v="d310zv35"/>
        <s v="d007yc21"/>
        <s v="d662w378"/>
        <s v="d5042i47"/>
        <s v="d738dk36"/>
        <s v="d157ad24"/>
        <s v="d241oe25"/>
        <s v="d800yv31"/>
        <s v="d474pk88"/>
        <s v="d064mx64"/>
        <s v="d389yp57"/>
        <s v="d0548s96"/>
        <s v="d166a457"/>
        <s v="d764uo06"/>
        <s v="d503km90"/>
        <s v="d4581513"/>
        <s v="d311mh74"/>
        <s v="d9678m96"/>
        <s v="d7735b59"/>
        <s v="d3235n00"/>
        <s v="d966wu18"/>
        <s v="d4168u08"/>
        <s v="d357pj38"/>
        <s v="d381ja21"/>
        <s v="d997m694"/>
        <s v="d018wu02"/>
        <s v="d143pk40"/>
        <s v="d9081600"/>
        <s v="d037xi19"/>
        <s v="d895pg04"/>
        <s v="d744xx64"/>
        <s v="d2724d94"/>
        <s v="d3181e46"/>
        <s v="d457qh60"/>
        <s v="d319gm53"/>
        <s v="d237jd04"/>
        <s v="d369qn02"/>
        <s v="d5038p42"/>
        <s v="d030o029"/>
        <s v="d360lf55"/>
        <s v="d824dt41"/>
        <s v="d1534w11"/>
        <s v="d819dm86"/>
        <s v="d147g817"/>
        <s v="d2640914"/>
        <s v="d780gv03"/>
        <s v="d396c694"/>
        <s v="d9254z68"/>
        <s v="d096ia65"/>
        <s v="d364he35"/>
        <s v="d912k531"/>
        <s v="d672mz09"/>
        <s v="d994cc10"/>
        <s v="d5451e99"/>
        <s v="d512uf06"/>
        <s v="d133wy34"/>
        <s v="d6376d92"/>
        <s v="d6102l95"/>
        <s v="d983os43"/>
        <s v="d660yz52"/>
        <s v="d7342t21"/>
        <s v="d768pl34"/>
        <s v="d3115w31"/>
        <s v="d1220d03"/>
        <s v="d789x167"/>
        <s v="d126ql37"/>
        <s v="d7969047"/>
        <s v="d107gy49"/>
        <s v="d316r634"/>
        <s v="d4227f44"/>
        <s v="d3852x96"/>
        <s v="d6758p20"/>
        <s v="d629nq42"/>
        <s v="d809jt85"/>
        <s v="d043uq27"/>
        <s v="d322t264"/>
        <s v="d922cx24"/>
        <s v="d0714261"/>
        <s v="d3428z67"/>
        <s v="d922zp98"/>
        <s v="d376yp75"/>
        <s v="d294vd10"/>
        <s v="d025eq60"/>
        <s v="d103nc17"/>
        <s v="d626h453"/>
        <s v="d5593w23"/>
        <s v="d783ss50"/>
        <s v="d316vb78"/>
        <s v="d2036c32"/>
        <s v="d3905w99"/>
        <s v="d150r325"/>
        <s v="d236kb22"/>
        <s v="d973fk82"/>
        <s v="d1360q86"/>
        <s v="d041ij35"/>
        <s v="d7816n93"/>
        <s v="d914y124"/>
        <s v="d0994252"/>
        <s v="d5034889"/>
        <s v="d761cu18"/>
        <s v="d860x542"/>
        <s v="d011bs65"/>
        <s v="d4745y84"/>
        <s v="d296ou17"/>
        <s v="d003gd66"/>
        <s v="d028oz58"/>
        <s v="d2961e27"/>
        <s v="d752oi35"/>
        <s v="d424jy55"/>
        <s v="d333ml80"/>
        <s v="d597pg45"/>
        <s v="d7182087"/>
        <s v="d621jy47"/>
        <s v="d888qu71"/>
        <s v="d9860b25"/>
        <s v="d376fg86"/>
        <s v="d200t022"/>
        <s v="d858ti23"/>
        <s v="d8259d37"/>
        <s v="d296j021"/>
        <s v="d058s006"/>
        <s v="d472v747"/>
        <s v="d680q456"/>
        <s v="d1154r91"/>
        <s v="d180lz50"/>
        <s v="d002wi01"/>
        <s v="d402vk52"/>
        <s v="d5122552"/>
        <s v="d213w259"/>
        <s v="d8389768"/>
        <s v="d578xz17"/>
        <s v="d371c512"/>
        <s v="d401zx26"/>
        <s v="d988l829"/>
        <s v="d515uw59"/>
        <s v="d242jp32"/>
        <s v="d438k637"/>
        <s v="d830w212"/>
        <s v="d4450283"/>
        <s v="d498tr19"/>
        <s v="d021k493"/>
        <s v="d0607x36"/>
        <s v="d147d513"/>
        <s v="d348rm61"/>
        <s v="d1436z43"/>
        <s v="d886c015"/>
        <s v="d1867k59"/>
        <s v="d995wt88"/>
        <s v="d6014590"/>
        <s v="d1213590"/>
        <s v="d779gi38"/>
        <s v="d266gz35"/>
        <s v="d1116k90"/>
        <s v="d700a260"/>
        <s v="d381a927"/>
        <s v="d916hc63"/>
        <s v="d104tu05"/>
        <s v="d6286i40"/>
        <s v="d9648198"/>
        <s v="d496i751"/>
        <s v="d332y741"/>
        <s v="d078nv45"/>
        <s v="d634oh87"/>
        <s v="d851oc64"/>
        <s v="d544wj43"/>
        <s v="d238fe90"/>
        <s v="d766s173"/>
        <s v="d5756i66"/>
        <s v="d8325g39"/>
        <s v="d6985w97"/>
        <s v="d4295m92"/>
        <s v="d047h688"/>
        <s v="d344cl86"/>
        <s v="d726zq25"/>
        <s v="d5134947"/>
        <s v="d7951g84"/>
        <s v="d749yr87"/>
        <s v="d429v314"/>
        <s v="d942fy84"/>
        <s v="d828jy63"/>
        <s v="d537qn68"/>
        <s v="d283ty84"/>
        <s v="d574tm80"/>
        <s v="d366l228"/>
        <s v="d527e525"/>
        <s v="d789ld63"/>
        <s v="d7619906"/>
        <s v="d4797421"/>
        <s v="d750nx02"/>
        <s v="d652bb30"/>
        <s v="d603kb83"/>
        <s v="d794bb28"/>
        <s v="d5247h04"/>
        <s v="d9637w07"/>
        <s v="d064uo21"/>
        <s v="d324q165"/>
        <s v="d366dk29"/>
        <s v="d858ir05"/>
        <s v="d8045563"/>
        <s v="d877sr48"/>
        <s v="d024z992"/>
        <s v="d495ny56"/>
        <s v="d241li62"/>
        <s v="d213c655"/>
        <s v="d0475j39"/>
        <s v="d919q144"/>
        <s v="d324nq26"/>
        <s v="d1946c79"/>
        <s v="d416pu83"/>
        <s v="d640wu39"/>
        <s v="d949p040"/>
        <s v="d432b834"/>
        <s v="d388bm13"/>
        <s v="d663yf22"/>
        <s v="d071fm87"/>
        <s v="d1734l26"/>
        <s v="d643oc11"/>
        <s v="d213ei22"/>
        <s v="d528xj05"/>
        <s v="d133gd12"/>
        <s v="d552t557"/>
        <s v="d785pl98"/>
        <s v="d978tm46"/>
        <s v="d799nm62"/>
        <s v="d529mo74"/>
        <s v="d049mf94"/>
        <s v="d134vb81"/>
        <s v="d253i063"/>
        <s v="d2992v19"/>
        <s v="d504fu44"/>
        <s v="d0640751"/>
        <s v="d867bj72"/>
        <s v="d5251f11"/>
        <s v="d196f713"/>
        <s v="d158sw90"/>
        <s v="d703l753"/>
        <s v="d7898s50"/>
        <s v="d348ql95"/>
        <s v="d804t115"/>
        <s v="d1993t40"/>
        <s v="d377s752"/>
        <s v="d352z597"/>
        <s v="d9483l43"/>
        <s v="d754ij84"/>
        <s v="d000lp74"/>
        <s v="d423ev20"/>
        <s v="d057eo54"/>
        <s v="d386c122"/>
        <s v="d3661l77"/>
        <s v="d8354l17"/>
        <s v="d8725u96"/>
        <s v="d0751922"/>
        <s v="d2643l31"/>
        <s v="d033ug08"/>
        <s v="d104lw09"/>
        <s v="d018rn76"/>
        <s v="d2150e33"/>
        <s v="d496yk40"/>
        <s v="d101db60"/>
        <s v="d4320895"/>
        <s v="d929sg83"/>
        <s v="d775a349"/>
        <s v="d659mo61"/>
        <s v="d3107o77"/>
        <s v="d283cn80"/>
        <s v="d203p733"/>
        <s v="d249a341"/>
        <s v="d037ri54"/>
        <s v="d7589t56"/>
        <s v="d278b176"/>
        <s v="d473mi30"/>
      </sharedItems>
    </cacheField>
    <cacheField name="delivery_start" numFmtId="165">
      <sharedItems containsSemiMixedTypes="0" containsDate="1" containsString="0"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6-30T00:00:00Z"/>
      </sharedItems>
    </cacheField>
    <cacheField name="delivery_end" numFmtId="165">
      <sharedItems containsSemiMixedTypes="0" containsDate="1" containsString="0">
        <d v="2023-06-02T00:00:00Z"/>
        <d v="2023-06-03T00:00:00Z"/>
        <d v="2023-06-06T00:00:00Z"/>
        <d v="2023-06-04T00:00:00Z"/>
        <d v="2023-06-05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7-01T00:00:00Z"/>
        <d v="2023-06-30T00:00:00Z"/>
        <d v="2023-07-02T00:00:00Z"/>
        <d v="2023-07-03T00:00:00Z"/>
        <d v="2023-07-04T00:00:00Z"/>
        <d v="2023-07-05T00:00:00Z"/>
      </sharedItems>
    </cacheField>
    <cacheField name="delivery_distance(KM)" numFmtId="0">
      <sharedItems containsSemiMixedTypes="0" containsString="0" containsNumber="1" containsInteger="1">
        <n v="5.0"/>
        <n v="15.0"/>
        <n v="8.0"/>
        <n v="4.0"/>
        <n v="60.0"/>
        <n v="7.0"/>
        <n v="17.0"/>
        <n v="36.0"/>
        <n v="1.0"/>
        <n v="3.0"/>
        <n v="76.0"/>
        <n v="21.0"/>
        <n v="61.0"/>
        <n v="6.0"/>
        <n v="33.0"/>
        <n v="11.0"/>
        <n v="2.0"/>
        <n v="13.0"/>
        <n v="14.0"/>
        <n v="9.0"/>
        <n v="10.0"/>
        <n v="56.0"/>
        <n v="19.0"/>
        <n v="49.0"/>
        <n v="65.0"/>
        <n v="38.0"/>
        <n v="39.0"/>
        <n v="22.0"/>
        <n v="34.0"/>
        <n v="48.0"/>
        <n v="28.0"/>
        <n v="29.0"/>
        <n v="20.0"/>
        <n v="16.0"/>
        <n v="18.0"/>
        <n v="12.0"/>
        <n v="35.0"/>
        <n v="43.0"/>
        <n v="58.0"/>
        <n v="24.0"/>
        <n v="77.0"/>
        <n v="73.0"/>
        <n v="59.0"/>
        <n v="70.0"/>
        <n v="63.0"/>
        <n v="72.0"/>
        <n v="25.0"/>
        <n v="27.0"/>
        <n v="41.0"/>
        <n v="78.0"/>
        <n v="54.0"/>
        <n v="64.0"/>
      </sharedItems>
    </cacheField>
    <cacheField name="delivery_weight" numFmtId="0">
      <sharedItems containsSemiMixedTypes="0" containsString="0" containsNumber="1" containsInteger="1">
        <n v="3.0"/>
        <n v="4.0"/>
        <n v="2.0"/>
        <n v="24.0"/>
        <n v="10.0"/>
        <n v="17.0"/>
        <n v="1.0"/>
        <n v="20.0"/>
        <n v="12.0"/>
        <n v="22.0"/>
        <n v="18.0"/>
        <n v="9.0"/>
        <n v="8.0"/>
        <n v="6.0"/>
        <n v="7.0"/>
        <n v="5.0"/>
        <n v="15.0"/>
        <n v="19.0"/>
        <n v="11.0"/>
        <n v="26.0"/>
        <n v="16.0"/>
        <n v="27.0"/>
        <n v="14.0"/>
        <n v="21.0"/>
        <n v="13.0"/>
      </sharedItems>
    </cacheField>
    <cacheField name="delivery_cost" numFmtId="166">
      <sharedItems containsSemiMixedTypes="0" containsString="0" containsNumber="1" containsInteger="1">
        <n v="16000.0"/>
        <n v="22500.0"/>
        <n v="18000.0"/>
        <n v="14000.0"/>
        <n v="76000.0"/>
        <n v="30000.0"/>
        <n v="23100.0"/>
        <n v="54800.0"/>
        <n v="80800.0"/>
        <n v="12000.0"/>
        <n v="56300.0"/>
        <n v="52300.0"/>
        <n v="63900.0"/>
        <n v="64000.0"/>
        <n v="28000.0"/>
        <n v="31100.0"/>
        <n v="22000.0"/>
        <n v="24000.0"/>
        <n v="20000.0"/>
        <n v="50800.0"/>
        <n v="25700.0"/>
        <n v="24500.0"/>
        <n v="54700.0"/>
        <n v="77500.0"/>
        <n v="55400.0"/>
        <n v="55700.0"/>
        <n v="26000.0"/>
        <n v="54600.0"/>
        <n v="76800.0"/>
        <n v="64200.0"/>
        <n v="38600.0"/>
        <n v="64400.0"/>
        <n v="66400.0"/>
        <n v="56700.0"/>
        <n v="68300.0"/>
        <n v="26500.0"/>
        <n v="27700.0"/>
        <n v="34500.0"/>
        <n v="33100.0"/>
        <n v="32000.0"/>
        <n v="22800.0"/>
        <n v="25100.0"/>
        <n v="33400.0"/>
        <n v="36000.0"/>
        <n v="29400.0"/>
        <n v="29100.0"/>
        <n v="64500.0"/>
        <n v="23400.0"/>
        <n v="25400.0"/>
        <n v="54900.0"/>
        <n v="51400.0"/>
        <n v="30500.0"/>
        <n v="39200.0"/>
        <n v="23700.0"/>
        <n v="66900.0"/>
        <n v="32500.0"/>
        <n v="35700.0"/>
        <n v="31700.0"/>
        <n v="24800.0"/>
        <n v="28500.0"/>
        <n v="55100.0"/>
        <n v="34000.0"/>
        <n v="30800.0"/>
        <n v="29700.0"/>
        <n v="27400.0"/>
        <n v="27100.0"/>
        <n v="82000.0"/>
        <n v="65900.0"/>
        <n v="50900.0"/>
        <n v="67700.0"/>
        <n v="59400.0"/>
        <n v="64300.0"/>
        <n v="61500.0"/>
        <n v="71000.0"/>
        <n v="70900.0"/>
        <n v="65600.0"/>
        <n v="67600.0"/>
        <n v="26800.0"/>
        <n v="28800.0"/>
        <n v="35100.0"/>
        <n v="33700.0"/>
        <n v="32800.0"/>
        <n v="52200.0"/>
        <n v="62900.0"/>
        <n v="71500.0"/>
        <n v="54100.0"/>
        <n v="31400.0"/>
        <n v="34800.0"/>
        <n v="46300.0"/>
        <n v="65400.0"/>
        <n v="50000.0"/>
        <n v="66200.0"/>
        <n v="77400.0"/>
        <n v="43900.0"/>
        <n v="55200.0"/>
        <n v="62300.0"/>
      </sharedItems>
    </cacheField>
    <cacheField name="delivery_status" numFmtId="0">
      <sharedItems>
        <s v="Delivered"/>
        <s v="Failed"/>
      </sharedItems>
    </cacheField>
    <cacheField name="delivery_rating" numFmtId="0">
      <sharedItems containsString="0" containsBlank="1" containsNumber="1" containsInteger="1">
        <n v="5.0"/>
        <n v="3.0"/>
        <n v="4.0"/>
        <m/>
      </sharedItems>
    </cacheField>
    <cacheField name="cust_id" numFmtId="0">
      <sharedItems>
        <s v="c610nb83"/>
        <s v="c4499022"/>
        <s v="c488rh35"/>
        <s v="c820nh65"/>
        <s v="c2106v17"/>
        <s v="c930rp80"/>
        <s v="c642g158"/>
        <s v="c6618045"/>
        <s v="c151ox49"/>
        <s v="c843a859"/>
        <s v="c210c049"/>
        <s v="c7781558"/>
        <s v="c337mu29"/>
        <s v="c939ti98"/>
        <s v="c215sk17"/>
        <s v="c809az25"/>
        <s v="c045fx05"/>
        <s v="c8496q88"/>
        <s v="c194ct05"/>
        <s v="c571ls56"/>
        <s v="c829xu75"/>
        <s v="c350z496"/>
        <s v="c436vw14"/>
        <s v="c105nj80"/>
        <s v="c390yi69"/>
        <s v="c361gs90"/>
        <s v="c222bh94"/>
        <s v="c952u667"/>
        <s v="c646kr38"/>
        <s v="c069sv80"/>
        <s v="c691xw56"/>
        <s v="c631ay25"/>
        <s v="c564rf19"/>
        <s v="c341ur74"/>
        <s v="c662lv97"/>
        <s v="c374dp69"/>
        <s v="c762ax51"/>
        <s v="c8098h64"/>
        <s v="c286di37"/>
        <s v="c730jr67"/>
        <s v="c897gy76"/>
        <s v="c615om33"/>
        <s v="c5365i41"/>
        <s v="c604fb40"/>
        <s v="c401qi58"/>
        <s v="c013zm33"/>
        <s v="c810w722"/>
        <s v="c726js60"/>
        <s v="c598et83"/>
        <s v="c885mq36"/>
        <s v="c277a226"/>
        <s v="c103xn37"/>
        <s v="c5879774"/>
        <s v="c563ef66"/>
        <s v="c441dk36"/>
        <s v="c011gz48"/>
        <s v="c226cz76"/>
        <s v="c3767l14"/>
        <s v="c788gk49"/>
        <s v="c2997g24"/>
        <s v="c133xi62"/>
        <s v="c0188386"/>
        <s v="c494xq64"/>
        <s v="c768hm32"/>
        <s v="c406ko66"/>
        <s v="c063ju26"/>
        <s v="c681fz23"/>
        <s v="c456nr93"/>
        <s v="c1831d01"/>
        <s v="c508wh98"/>
        <s v="c508ne51"/>
        <s v="c823ox53"/>
        <s v="c027x518"/>
        <s v="c2174g55"/>
        <s v="c161v436"/>
        <s v="c403uk04"/>
        <s v="c856h104"/>
        <s v="c894jx19"/>
        <s v="c6714747"/>
        <s v="c409t397"/>
        <s v="c929of90"/>
        <s v="c707wa93"/>
        <s v="c647jb27"/>
        <s v="c6693733"/>
        <s v="c633gl73"/>
        <s v="c497gr98"/>
        <s v="c999xa95"/>
        <s v="c932ge67"/>
        <s v="c581rx71"/>
        <s v="c346ba59"/>
        <s v="c5578r76"/>
        <s v="c863ac08"/>
        <s v="c586la54"/>
        <s v="c5657j70"/>
        <s v="c0839u69"/>
        <s v="c986jm85"/>
        <s v="c222ur86"/>
        <s v="c6127386"/>
        <s v="c276d106"/>
        <s v="c318dh35"/>
        <s v="c0028r76"/>
        <s v="c436s972"/>
        <s v="c806xq35"/>
        <s v="c249pv67"/>
        <s v="c4809c14"/>
        <s v="c0775e04"/>
        <s v="c223dw15"/>
        <s v="c0225808"/>
        <s v="c710e446"/>
        <s v="c254l910"/>
        <s v="c647ph60"/>
        <s v="c607zl45"/>
        <s v="c930ql47"/>
        <s v="c103x829"/>
        <s v="c1449623"/>
        <s v="c968u208"/>
        <s v="c752em93"/>
        <s v="c469lo81"/>
        <s v="c790lf75"/>
        <s v="c547jz16"/>
        <s v="c883ng54"/>
        <s v="c403vk91"/>
        <s v="c3373x64"/>
        <s v="c091z676"/>
        <s v="c004zx71"/>
        <s v="c377f611"/>
        <s v="c718pn16"/>
        <s v="c3578l86"/>
        <s v="c747i052"/>
        <s v="c886ja45"/>
        <s v="c7153n57"/>
        <s v="c079zl60"/>
        <s v="c298fc42"/>
        <s v="c379ns16"/>
        <s v="c8815z16"/>
        <s v="c7958i96"/>
        <s v="c100g204"/>
        <s v="c316vb61"/>
        <s v="c027t775"/>
        <s v="c325e415"/>
        <s v="c423j256"/>
        <s v="c8231700"/>
        <s v="c397o346"/>
        <s v="c721nw79"/>
        <s v="c263ww37"/>
        <s v="c273mw96"/>
        <s v="c2130q64"/>
        <s v="c046fr63"/>
        <s v="c7006341"/>
        <s v="c059t758"/>
        <s v="c8994y53"/>
        <s v="c460vu18"/>
        <s v="c0145076"/>
        <s v="c183g827"/>
        <s v="c1433655"/>
        <s v="c5943x77"/>
        <s v="c948js35"/>
        <s v="c608ww37"/>
        <s v="c561sd77"/>
        <s v="c258c960"/>
        <s v="c982p640"/>
        <s v="c605fh36"/>
        <s v="c009y954"/>
        <s v="c448hn11"/>
        <s v="c6564145"/>
        <s v="c589ni10"/>
        <s v="c698tl24"/>
        <s v="c055e999"/>
        <s v="c758lr90"/>
        <s v="c783vw70"/>
        <s v="c664jl33"/>
        <s v="c977n270"/>
        <s v="c4407o80"/>
        <s v="c6936459"/>
        <s v="c412r546"/>
        <s v="c680ow22"/>
        <s v="c420py25"/>
        <s v="c745md87"/>
        <s v="c4487k60"/>
        <s v="c950k547"/>
        <s v="c147ob91"/>
        <s v="c8762h62"/>
        <s v="c4294z76"/>
        <s v="c323v439"/>
        <s v="c2605r24"/>
        <s v="c634gy81"/>
        <s v="c363g255"/>
        <s v="c8096f67"/>
        <s v="c502ka32"/>
        <s v="c6023792"/>
        <s v="c399n118"/>
        <s v="c307i126"/>
        <s v="c276ze65"/>
        <s v="c109ca81"/>
        <s v="c198iw07"/>
        <s v="c799n237"/>
        <s v="c975kk84"/>
        <s v="c551mn90"/>
        <s v="c005rh78"/>
        <s v="c0535i50"/>
        <s v="c498b471"/>
        <s v="c572w366"/>
        <s v="c5239v26"/>
        <s v="c682yy29"/>
        <s v="c3894b24"/>
        <s v="c752rp95"/>
        <s v="c4833892"/>
        <s v="c566pg76"/>
        <s v="c110nw21"/>
        <s v="c5504038"/>
        <s v="c847mi92"/>
        <s v="c914p758"/>
        <s v="c584f785"/>
        <s v="c691ho22"/>
        <s v="c9207868"/>
        <s v="c708ha15"/>
        <s v="c583ng50"/>
        <s v="c2762v68"/>
        <s v="c141wq46"/>
        <s v="c999o269"/>
        <s v="c560dj35"/>
        <s v="c1000477"/>
        <s v="c687ul63"/>
        <s v="c9012x49"/>
        <s v="c516an15"/>
        <s v="c893wz86"/>
        <s v="c332f574"/>
        <s v="c4040q36"/>
        <s v="c988el18"/>
        <s v="c241a854"/>
        <s v="c526lj12"/>
        <s v="c234dq96"/>
        <s v="c462ov60"/>
        <s v="c6139n24"/>
        <s v="c872no72"/>
        <s v="c191dv41"/>
        <s v="c521qf51"/>
        <s v="c164rx74"/>
        <s v="c724z231"/>
        <s v="c1708y80"/>
        <s v="c264dl23"/>
        <s v="c996s760"/>
        <s v="c803j427"/>
        <s v="c084sj48"/>
        <s v="c6841782"/>
        <s v="c351wa21"/>
        <s v="c4843a36"/>
        <s v="c7483u42"/>
        <s v="c217xe56"/>
        <s v="c2764k77"/>
        <s v="c6565p66"/>
        <s v="c030ik01"/>
        <s v="c048r449"/>
        <s v="c142nn69"/>
        <s v="c574l710"/>
        <s v="c8622a57"/>
        <s v="c344s738"/>
        <s v="c8101s74"/>
        <s v="c8076c16"/>
        <s v="c140a100"/>
        <s v="c559id63"/>
        <s v="c919ol07"/>
        <s v="c9969611"/>
        <s v="c195rf75"/>
        <s v="c3550p99"/>
        <s v="c490w599"/>
        <s v="c002gj74"/>
        <s v="c214p763"/>
        <s v="c447lp81"/>
        <s v="c2602a87"/>
        <s v="c0242z36"/>
        <s v="c107gf67"/>
        <s v="c931ka23"/>
        <s v="c534cs71"/>
        <s v="c982mi43"/>
        <s v="c865b774"/>
        <s v="c475fm42"/>
        <s v="c388dk17"/>
        <s v="c821w597"/>
        <s v="c361b934"/>
        <s v="c5242n80"/>
        <s v="c492jg80"/>
        <s v="c301yn84"/>
        <s v="c965mn48"/>
        <s v="c267yt25"/>
        <s v="c362py51"/>
        <s v="c6531k15"/>
        <s v="c8655x45"/>
        <s v="c389ma48"/>
        <s v="c0459430"/>
        <s v="c138cs24"/>
        <s v="c930mv37"/>
        <s v="c315i662"/>
        <s v="c176qk83"/>
        <s v="c719d493"/>
        <s v="c759cz59"/>
        <s v="c217f944"/>
        <s v="c256kj14"/>
        <s v="c940ax66"/>
        <s v="c335eh33"/>
        <s v="c276rj59"/>
        <s v="c996dw39"/>
        <s v="c385op87"/>
        <s v="c188s510"/>
        <s v="c3575i17"/>
        <s v="c5561596"/>
        <s v="c925c874"/>
        <s v="c8260h39"/>
        <s v="c2847301"/>
        <s v="c804b596"/>
        <s v="c816xa61"/>
        <s v="c572re17"/>
        <s v="c5900618"/>
        <s v="c399ij01"/>
        <s v="c725x432"/>
        <s v="c015sr12"/>
        <s v="c226h591"/>
        <s v="c5477r88"/>
        <s v="c2175719"/>
        <s v="c810ag14"/>
        <s v="c826wf12"/>
        <s v="c3324w41"/>
        <s v="c678bb54"/>
        <s v="c404iz18"/>
        <s v="c655rl87"/>
        <s v="c900gu09"/>
        <s v="c266q114"/>
        <s v="c256sr84"/>
        <s v="c2901z42"/>
        <s v="c067bb83"/>
        <s v="c648et56"/>
        <s v="c051cj96"/>
        <s v="c787q680"/>
        <s v="c290aq07"/>
        <s v="c785s954"/>
        <s v="c657f940"/>
        <s v="c174h049"/>
        <s v="c825jr48"/>
        <s v="c272m911"/>
        <s v="c364pe68"/>
        <s v="c7765219"/>
        <s v="c187ko03"/>
        <s v="c0481w73"/>
        <s v="c225z048"/>
        <s v="c0651a46"/>
        <s v="c374na96"/>
        <s v="c0157v29"/>
        <s v="c762uv30"/>
        <s v="c200b034"/>
        <s v="c587an03"/>
        <s v="c3692850"/>
        <s v="c848uk49"/>
        <s v="c480za02"/>
        <s v="c387yc61"/>
        <s v="c730fr30"/>
        <s v="c7919v31"/>
        <s v="c443rk69"/>
        <s v="c764br68"/>
        <s v="c479ly75"/>
        <s v="c616p675"/>
        <s v="c057r335"/>
        <s v="c504wy88"/>
        <s v="c625o271"/>
        <s v="c429jm36"/>
        <s v="c345gk21"/>
        <s v="c844do22"/>
        <s v="c283x455"/>
        <s v="c377y328"/>
        <s v="c279hj39"/>
        <s v="c270xb16"/>
        <s v="c937cj03"/>
        <s v="c5229b67"/>
        <s v="c4143171"/>
        <s v="c326ju61"/>
        <s v="c9156c84"/>
        <s v="c217i794"/>
        <s v="c070j418"/>
        <s v="c0272g99"/>
        <s v="c891is23"/>
        <s v="c1687u61"/>
        <s v="c792vd29"/>
        <s v="c922jx83"/>
        <s v="c240wv72"/>
        <s v="c965dv86"/>
        <s v="c316ou99"/>
        <s v="c525pu63"/>
        <s v="c659wq21"/>
        <s v="c983z832"/>
        <s v="c938nl00"/>
        <s v="c217e935"/>
        <s v="c548pv41"/>
        <s v="c623yu63"/>
        <s v="c595sr53"/>
        <s v="c630qw83"/>
        <s v="c583lx08"/>
        <s v="c264zq64"/>
        <s v="c828fb12"/>
        <s v="c482x974"/>
        <s v="c5961728"/>
        <s v="c390dq53"/>
        <s v="c9712x40"/>
        <s v="c2153y94"/>
        <s v="c183jc93"/>
        <s v="c123x429"/>
        <s v="c525ux87"/>
        <s v="c976ve34"/>
        <s v="c479sf58"/>
        <s v="c238nt90"/>
        <s v="c4546w70"/>
        <s v="c584lz16"/>
        <s v="c686ov62"/>
        <s v="c226w879"/>
        <s v="c5191u60"/>
        <s v="c9740114"/>
        <s v="c730sm64"/>
        <s v="c489j687"/>
        <s v="c2131l46"/>
        <s v="c2938q73"/>
        <s v="c217kl34"/>
        <s v="c033tm28"/>
        <s v="c766ny61"/>
        <s v="c793ku44"/>
        <s v="c624ci61"/>
        <s v="c055q874"/>
        <s v="c9522x76"/>
        <s v="c846zq08"/>
        <s v="c886ic20"/>
        <s v="c846on86"/>
        <s v="c996qz93"/>
        <s v="c7326a96"/>
        <s v="c792ow37"/>
        <s v="c469eg21"/>
        <s v="c6911994"/>
        <s v="c463o059"/>
        <s v="c295qs63"/>
        <s v="c631xt87"/>
        <s v="c9705570"/>
        <s v="c840gl78"/>
        <s v="c190jn70"/>
        <s v="c0797u56"/>
        <s v="c9858044"/>
        <s v="c709pw84"/>
        <s v="c5423k03"/>
        <s v="c193rq19"/>
      </sharedItems>
    </cacheField>
    <cacheField name="driver_id" numFmtId="49">
      <sharedItems>
        <s v="d7558x82"/>
        <s v="d234da52"/>
        <s v="d293in45"/>
        <s v="d636kh58"/>
        <s v="d064jh48"/>
        <s v="d263cc82"/>
        <s v="d682x946"/>
        <s v="d662l393"/>
        <s v="d9728z69"/>
        <s v="d8601561"/>
        <s v="d506ki34"/>
        <s v="d9198x07"/>
        <s v="d796l251"/>
        <s v="d689vb78"/>
        <s v="d532pn52"/>
        <s v="d963f392"/>
        <s v="d156xg46"/>
        <s v="d833of33"/>
        <s v="d874jz12"/>
        <s v="d244zx70"/>
        <s v="d418sm33"/>
        <s v="d696vl45"/>
        <s v="d9977s49"/>
        <s v="d332xt54"/>
        <s v="d0095x63"/>
        <s v="d232di22"/>
        <s v="d173jf22"/>
        <s v="d5863k83"/>
        <s v="d630cs24"/>
        <s v="d790ei04"/>
        <s v="d961zz31"/>
        <s v="d381in69"/>
        <s v="d371yu31"/>
        <s v="d4323027"/>
        <s v="d669p400"/>
        <s v="d095ns79"/>
        <s v="d000dc28"/>
        <s v="d3582w57"/>
        <s v="d119yw24"/>
        <s v="d637ww68"/>
        <s v="d298zv28"/>
        <s v="d685rx07"/>
        <s v="d058da7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20:L163" sheet="driver performance analysis"/>
  </cacheSource>
  <cacheFields>
    <cacheField name="driver_id" numFmtId="49">
      <sharedItems>
        <s v="d263cc82"/>
        <s v="d963f392"/>
        <s v="d689vb78"/>
        <s v="d961zz31"/>
        <s v="d874jz12"/>
        <s v="d682x946"/>
        <s v="d4323027"/>
        <s v="d244zx70"/>
        <s v="d9198x07"/>
        <s v="d833of33"/>
        <s v="d293in45"/>
        <s v="d173jf22"/>
        <s v="d7558x82"/>
        <s v="d532pn52"/>
        <s v="d637ww68"/>
        <s v="d232di22"/>
        <s v="d095ns79"/>
        <s v="d669p400"/>
        <s v="d119yw24"/>
        <s v="d9977s49"/>
        <s v="d8601561"/>
        <s v="d506ki34"/>
        <s v="d796l251"/>
        <s v="d790ei04"/>
        <s v="d636kh58"/>
        <s v="d696vl45"/>
        <s v="d381in69"/>
        <s v="d371yu31"/>
        <s v="d298zv28"/>
        <s v="d418sm33"/>
        <s v="d234da52"/>
        <s v="d662l393"/>
        <s v="d630cs24"/>
        <s v="d5863k83"/>
        <s v="d3582w57"/>
        <s v="d9728z69"/>
        <s v="d058da71"/>
        <s v="d000dc28"/>
        <s v="d0095x63"/>
        <s v="d064jh48"/>
        <s v="d685rx07"/>
        <s v="d332xt54"/>
        <s v="d156xg46"/>
      </sharedItems>
    </cacheField>
    <cacheField name="COUNTA of delivery_id" numFmtId="0">
      <sharedItems containsSemiMixedTypes="0" containsString="0" containsNumber="1" containsInteger="1">
        <n v="34.0"/>
        <n v="33.0"/>
        <n v="31.0"/>
        <n v="30.0"/>
        <n v="28.0"/>
        <n v="27.0"/>
        <n v="26.0"/>
        <n v="25.0"/>
        <n v="24.0"/>
        <n v="23.0"/>
        <n v="22.0"/>
        <n v="21.0"/>
        <n v="20.0"/>
        <n v="19.0"/>
        <n v="18.0"/>
        <n v="17.0"/>
        <n v="15.0"/>
        <n v="14.0"/>
        <n v="13.0"/>
        <n v="10.0"/>
      </sharedItems>
    </cacheField>
    <cacheField name="AVERAGE of delivery_rating" numFmtId="0">
      <sharedItems containsSemiMixedTypes="0" containsString="0" containsNumber="1">
        <n v="4.647058823529412"/>
        <n v="4.2727272727272725"/>
        <n v="4.575757575757576"/>
        <n v="4.451612903225806"/>
        <n v="4.67741935483871"/>
        <n v="4.533333333333333"/>
        <n v="4.433333333333334"/>
        <n v="4.642857142857143"/>
        <n v="4.464285714285714"/>
        <n v="4.481481481481482"/>
        <n v="4.444444444444445"/>
        <n v="4.615384615384615"/>
        <n v="4.461538461538462"/>
        <n v="4.36"/>
        <n v="4.56"/>
        <n v="4.458333333333333"/>
        <n v="4.5"/>
        <n v="4.478260869565218"/>
        <n v="4.3478260869565215"/>
        <n v="4.304347826086956"/>
        <n v="4.409090909090909"/>
        <n v="4.363636363636363"/>
        <n v="4.523809523809524"/>
        <n v="4.380952380952381"/>
        <n v="4.4"/>
        <n v="4.35"/>
        <n v="4.631578947368421"/>
        <n v="4.578947368421052"/>
        <n v="4.388888888888889"/>
        <n v="4.722222222222222"/>
        <n v="4.611111111111111"/>
        <n v="4.411764705882353"/>
        <n v="4.588235294117647"/>
        <n v="4.529411764705882"/>
        <n v="4.538461538461538"/>
      </sharedItems>
    </cacheField>
    <cacheField name="SUM of delivery_weight" numFmtId="0">
      <sharedItems containsSemiMixedTypes="0" containsString="0" containsNumber="1" containsInteger="1">
        <n v="243.0"/>
        <n v="55.0"/>
        <n v="237.0"/>
        <n v="71.0"/>
        <n v="69.0"/>
        <n v="211.0"/>
        <n v="60.0"/>
        <n v="208.0"/>
        <n v="176.0"/>
        <n v="174.0"/>
        <n v="45.0"/>
        <n v="58.0"/>
        <n v="193.0"/>
        <n v="50.0"/>
        <n v="47.0"/>
        <n v="170.0"/>
        <n v="439.0"/>
        <n v="152.0"/>
        <n v="40.0"/>
        <n v="41.0"/>
        <n v="43.0"/>
        <n v="48.0"/>
        <n v="35.0"/>
        <n v="125.0"/>
        <n v="37.0"/>
        <n v="38.0"/>
        <n v="126.0"/>
        <n v="33.0"/>
        <n v="256.0"/>
        <n v="27.0"/>
        <n v="187.0"/>
        <n v="20.0"/>
      </sharedItems>
    </cacheField>
    <cacheField name="SUM of delivery_distance(KM)" numFmtId="0">
      <sharedItems containsSemiMixedTypes="0" containsString="0" containsNumber="1" containsInteger="1">
        <n v="440.0"/>
        <n v="126.0"/>
        <n v="443.0"/>
        <n v="105.0"/>
        <n v="102.0"/>
        <n v="430.0"/>
        <n v="103.0"/>
        <n v="401.0"/>
        <n v="100.0"/>
        <n v="355.0"/>
        <n v="379.0"/>
        <n v="84.0"/>
        <n v="97.0"/>
        <n v="353.0"/>
        <n v="83.0"/>
        <n v="88.0"/>
        <n v="323.0"/>
        <n v="1059.0"/>
        <n v="79.0"/>
        <n v="297.0"/>
        <n v="95.0"/>
        <n v="77.0"/>
        <n v="68.0"/>
        <n v="74.0"/>
        <n v="76.0"/>
        <n v="70.0"/>
        <n v="71.0"/>
        <n v="82.0"/>
        <n v="78.0"/>
        <n v="290.0"/>
        <n v="57.0"/>
        <n v="66.0"/>
        <n v="75.0"/>
        <n v="72.0"/>
        <n v="58.0"/>
        <n v="238.0"/>
        <n v="65.0"/>
        <n v="45.0"/>
        <n v="746.0"/>
        <n v="47.0"/>
        <n v="581.0"/>
        <n v="30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19:F162" sheet="driver performance analysis"/>
  </cacheSource>
  <cacheFields>
    <cacheField name="driver_id" numFmtId="49">
      <sharedItems>
        <s v="d000dc28"/>
        <s v="d0095x63"/>
        <s v="d058da71"/>
        <s v="d064jh48"/>
        <s v="d095ns79"/>
        <s v="d119yw24"/>
        <s v="d156xg46"/>
        <s v="d173jf22"/>
        <s v="d232di22"/>
        <s v="d234da52"/>
        <s v="d244zx70"/>
        <s v="d263cc82"/>
        <s v="d293in45"/>
        <s v="d298zv28"/>
        <s v="d332xt54"/>
        <s v="d3582w57"/>
        <s v="d371yu31"/>
        <s v="d381in69"/>
        <s v="d418sm33"/>
        <s v="d4323027"/>
        <s v="d506ki34"/>
        <s v="d532pn52"/>
        <s v="d5863k83"/>
        <s v="d630cs24"/>
        <s v="d636kh58"/>
        <s v="d637ww68"/>
        <s v="d662l393"/>
        <s v="d669p400"/>
        <s v="d682x946"/>
        <s v="d685rx07"/>
        <s v="d689vb78"/>
        <s v="d696vl45"/>
        <s v="d7558x82"/>
        <s v="d790ei04"/>
        <s v="d796l251"/>
        <s v="d833of33"/>
        <s v="d8601561"/>
        <s v="d874jz12"/>
        <s v="d9198x07"/>
        <s v="d961zz31"/>
        <s v="d963f392"/>
        <s v="d9728z69"/>
        <s v="d9977s49"/>
      </sharedItems>
    </cacheField>
    <cacheField name="MIN of delivery_cost" numFmtId="166">
      <sharedItems containsSemiMixedTypes="0" containsString="0" containsNumber="1" containsInteger="1">
        <n v="12000.0"/>
        <n v="18000.0"/>
        <n v="50900.0"/>
        <n v="20000.0"/>
        <n v="50800.0"/>
        <n v="39200.0"/>
      </sharedItems>
    </cacheField>
    <cacheField name="MAX of delivery_cost" numFmtId="166">
      <sharedItems containsSemiMixedTypes="0" containsString="0" containsNumber="1" containsInteger="1">
        <n v="16000.0"/>
        <n v="34800.0"/>
        <n v="80800.0"/>
        <n v="36000.0"/>
        <n v="33100.0"/>
        <n v="34000.0"/>
        <n v="35700.0"/>
        <n v="82000.0"/>
        <n v="77400.0"/>
        <n v="34500.0"/>
        <n v="35100.0"/>
      </sharedItems>
    </cacheField>
    <cacheField name="AVERAGE of delivery_cost" numFmtId="166">
      <sharedItems containsSemiMixedTypes="0" containsString="0" containsNumber="1">
        <n v="13882.35294117647"/>
        <n v="14666.666666666666"/>
        <n v="27311.764705882353"/>
        <n v="62557.142857142855"/>
        <n v="25868.0"/>
        <n v="13916.666666666666"/>
        <n v="14000.0"/>
        <n v="13333.333333333334"/>
        <n v="13760.0"/>
        <n v="26252.63157894737"/>
        <n v="26166.666666666668"/>
        <n v="26376.470588235294"/>
        <n v="25088.88888888889"/>
        <n v="14100.0"/>
        <n v="64830.0"/>
        <n v="14222.222222222223"/>
        <n v="13500.0"/>
        <n v="14571.42857142857"/>
        <n v="14210.526315789473"/>
        <n v="13565.217391304348"/>
        <n v="27223.076923076922"/>
        <n v="13888.888888888889"/>
        <n v="14111.111111111111"/>
        <n v="13909.09090909091"/>
        <n v="59820.833333333336"/>
        <n v="26225.8064516129"/>
        <n v="14153.846153846154"/>
        <n v="26472.727272727272"/>
        <n v="14476.190476190477"/>
        <n v="14461.538461538461"/>
        <n v="14272.727272727272"/>
        <n v="23910.714285714286"/>
        <n v="13478.260869565218"/>
        <n v="14451.612903225807"/>
        <n v="14285.714285714286"/>
        <n v="14580.645161290322"/>
        <n v="14117.64705882353"/>
        <n v="24873.91304347826"/>
      </sharedItems>
    </cacheField>
    <cacheField name="MEDIAN of delivery_cost" numFmtId="166">
      <sharedItems containsSemiMixedTypes="0" containsString="0" containsNumber="1" containsInteger="1">
        <n v="14000.0"/>
        <n v="16000.0"/>
        <n v="28000.0"/>
        <n v="62700.0"/>
        <n v="26000.0"/>
        <n v="12000.0"/>
        <n v="24000.0"/>
        <n v="66750.0"/>
        <n v="62600.0"/>
        <n v="15000.0"/>
        <n v="23250.0"/>
        <n v="25700.0"/>
      </sharedItems>
    </cacheField>
    <cacheField name="SUM of delivery_cost" numFmtId="166">
      <sharedItems containsSemiMixedTypes="0" containsString="0" containsNumber="1" containsInteger="1">
        <n v="236000.0"/>
        <n v="220000.0"/>
        <n v="464300.0"/>
        <n v="875800.0"/>
        <n v="646700.0"/>
        <n v="334000.0"/>
        <n v="140000.0"/>
        <n v="360000.0"/>
        <n v="344000.0"/>
        <n v="498800.0"/>
        <n v="785000.0"/>
        <n v="896800.0"/>
        <n v="677400.0"/>
        <n v="282000.0"/>
        <n v="648300.0"/>
        <n v="256000.0"/>
        <n v="270000.0"/>
        <n v="306000.0"/>
        <n v="420000.0"/>
        <n v="312000.0"/>
        <n v="707800.0"/>
        <n v="250000.0"/>
        <n v="254000.0"/>
        <n v="350000.0"/>
        <n v="1435700.0"/>
        <n v="813000.0"/>
        <n v="184000.0"/>
        <n v="873600.0"/>
        <n v="304000.0"/>
        <n v="376000.0"/>
        <n v="314000.0"/>
        <n v="669500.0"/>
        <n v="310000.0"/>
        <n v="448000.0"/>
        <n v="400000.0"/>
        <n v="452000.0"/>
        <n v="440000.0"/>
        <n v="240000.0"/>
        <n v="572100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19:E162" sheet="driver performance analysis"/>
  </cacheSource>
  <cacheFields>
    <cacheField name="driver_id" numFmtId="49">
      <sharedItems>
        <s v="d000dc28"/>
        <s v="d0095x63"/>
        <s v="d058da71"/>
        <s v="d064jh48"/>
        <s v="d095ns79"/>
        <s v="d119yw24"/>
        <s v="d156xg46"/>
        <s v="d173jf22"/>
        <s v="d232di22"/>
        <s v="d234da52"/>
        <s v="d244zx70"/>
        <s v="d263cc82"/>
        <s v="d293in45"/>
        <s v="d298zv28"/>
        <s v="d332xt54"/>
        <s v="d3582w57"/>
        <s v="d371yu31"/>
        <s v="d381in69"/>
        <s v="d418sm33"/>
        <s v="d4323027"/>
        <s v="d506ki34"/>
        <s v="d532pn52"/>
        <s v="d5863k83"/>
        <s v="d630cs24"/>
        <s v="d636kh58"/>
        <s v="d637ww68"/>
        <s v="d662l393"/>
        <s v="d669p400"/>
        <s v="d682x946"/>
        <s v="d685rx07"/>
        <s v="d689vb78"/>
        <s v="d696vl45"/>
        <s v="d7558x82"/>
        <s v="d790ei04"/>
        <s v="d796l251"/>
        <s v="d833of33"/>
        <s v="d8601561"/>
        <s v="d874jz12"/>
        <s v="d9198x07"/>
        <s v="d961zz31"/>
        <s v="d963f392"/>
        <s v="d9728z69"/>
        <s v="d9977s49"/>
      </sharedItems>
    </cacheField>
    <cacheField name="MIN of delivery_cost" numFmtId="166">
      <sharedItems containsSemiMixedTypes="0" containsString="0" containsNumber="1" containsInteger="1">
        <n v="12000.0"/>
        <n v="18000.0"/>
        <n v="50900.0"/>
        <n v="20000.0"/>
        <n v="50800.0"/>
        <n v="39200.0"/>
      </sharedItems>
    </cacheField>
    <cacheField name="MAX of delivery_cost" numFmtId="166">
      <sharedItems containsSemiMixedTypes="0" containsString="0" containsNumber="1" containsInteger="1">
        <n v="16000.0"/>
        <n v="34800.0"/>
        <n v="80800.0"/>
        <n v="36000.0"/>
        <n v="33100.0"/>
        <n v="34000.0"/>
        <n v="35700.0"/>
        <n v="82000.0"/>
        <n v="77400.0"/>
        <n v="34500.0"/>
        <n v="35100.0"/>
      </sharedItems>
    </cacheField>
    <cacheField name="AVERAGE of delivery_cost" numFmtId="166">
      <sharedItems containsSemiMixedTypes="0" containsString="0" containsNumber="1">
        <n v="13882.35294117647"/>
        <n v="14666.666666666666"/>
        <n v="27311.764705882353"/>
        <n v="62557.142857142855"/>
        <n v="25868.0"/>
        <n v="13916.666666666666"/>
        <n v="14000.0"/>
        <n v="13333.333333333334"/>
        <n v="13760.0"/>
        <n v="26252.63157894737"/>
        <n v="26166.666666666668"/>
        <n v="26376.470588235294"/>
        <n v="25088.88888888889"/>
        <n v="14100.0"/>
        <n v="64830.0"/>
        <n v="14222.222222222223"/>
        <n v="13500.0"/>
        <n v="14571.42857142857"/>
        <n v="14210.526315789473"/>
        <n v="13565.217391304348"/>
        <n v="27223.076923076922"/>
        <n v="13888.888888888889"/>
        <n v="14111.111111111111"/>
        <n v="13909.09090909091"/>
        <n v="59820.833333333336"/>
        <n v="26225.8064516129"/>
        <n v="14153.846153846154"/>
        <n v="26472.727272727272"/>
        <n v="14476.190476190477"/>
        <n v="14461.538461538461"/>
        <n v="14272.727272727272"/>
        <n v="23910.714285714286"/>
        <n v="13478.260869565218"/>
        <n v="14451.612903225807"/>
        <n v="14285.714285714286"/>
        <n v="14580.645161290322"/>
        <n v="14117.64705882353"/>
        <n v="24873.91304347826"/>
      </sharedItems>
    </cacheField>
    <cacheField name="MEDIAN of delivery_cost" numFmtId="166">
      <sharedItems containsSemiMixedTypes="0" containsString="0" containsNumber="1" containsInteger="1">
        <n v="14000.0"/>
        <n v="16000.0"/>
        <n v="28000.0"/>
        <n v="62700.0"/>
        <n v="26000.0"/>
        <n v="12000.0"/>
        <n v="24000.0"/>
        <n v="66750.0"/>
        <n v="62600.0"/>
        <n v="15000.0"/>
        <n v="23250.0"/>
        <n v="25700.0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20:L164" sheet="driver performance analysis"/>
  </cacheSource>
  <cacheFields>
    <cacheField name="driver_id" numFmtId="49">
      <sharedItems>
        <s v="d263cc82"/>
        <s v="d963f392"/>
        <s v="d689vb78"/>
        <s v="d961zz31"/>
        <s v="d874jz12"/>
        <s v="d682x946"/>
        <s v="d4323027"/>
        <s v="d244zx70"/>
        <s v="d9198x07"/>
        <s v="d833of33"/>
        <s v="d293in45"/>
        <s v="d173jf22"/>
        <s v="d7558x82"/>
        <s v="d532pn52"/>
        <s v="d637ww68"/>
        <s v="d232di22"/>
        <s v="d095ns79"/>
        <s v="d669p400"/>
        <s v="d119yw24"/>
        <s v="d9977s49"/>
        <s v="d8601561"/>
        <s v="d506ki34"/>
        <s v="d796l251"/>
        <s v="d790ei04"/>
        <s v="d636kh58"/>
        <s v="d696vl45"/>
        <s v="d381in69"/>
        <s v="d371yu31"/>
        <s v="d298zv28"/>
        <s v="d418sm33"/>
        <s v="d234da52"/>
        <s v="d662l393"/>
        <s v="d630cs24"/>
        <s v="d5863k83"/>
        <s v="d3582w57"/>
        <s v="d9728z69"/>
        <s v="d058da71"/>
        <s v="d000dc28"/>
        <s v="d0095x63"/>
        <s v="d064jh48"/>
        <s v="d685rx07"/>
        <s v="d332xt54"/>
        <s v="d156xg46"/>
        <s v="Grand Total"/>
      </sharedItems>
    </cacheField>
    <cacheField name="COUNTA of delivery_id" numFmtId="0">
      <sharedItems containsSemiMixedTypes="0" containsString="0" containsNumber="1" containsInteger="1">
        <n v="34.0"/>
        <n v="33.0"/>
        <n v="31.0"/>
        <n v="30.0"/>
        <n v="28.0"/>
        <n v="27.0"/>
        <n v="26.0"/>
        <n v="25.0"/>
        <n v="24.0"/>
        <n v="23.0"/>
        <n v="22.0"/>
        <n v="21.0"/>
        <n v="20.0"/>
        <n v="19.0"/>
        <n v="18.0"/>
        <n v="17.0"/>
        <n v="15.0"/>
        <n v="14.0"/>
        <n v="13.0"/>
        <n v="10.0"/>
        <n v="978.0"/>
      </sharedItems>
    </cacheField>
    <cacheField name="AVERAGE of delivery_rating" numFmtId="0">
      <sharedItems containsSemiMixedTypes="0" containsString="0" containsNumber="1">
        <n v="4.647058823529412"/>
        <n v="4.2727272727272725"/>
        <n v="4.575757575757576"/>
        <n v="4.451612903225806"/>
        <n v="4.67741935483871"/>
        <n v="4.533333333333333"/>
        <n v="4.433333333333334"/>
        <n v="4.642857142857143"/>
        <n v="4.464285714285714"/>
        <n v="4.481481481481482"/>
        <n v="4.444444444444445"/>
        <n v="4.615384615384615"/>
        <n v="4.461538461538462"/>
        <n v="4.36"/>
        <n v="4.56"/>
        <n v="4.458333333333333"/>
        <n v="4.5"/>
        <n v="4.478260869565218"/>
        <n v="4.3478260869565215"/>
        <n v="4.304347826086956"/>
        <n v="4.409090909090909"/>
        <n v="4.363636363636363"/>
        <n v="4.523809523809524"/>
        <n v="4.380952380952381"/>
        <n v="4.4"/>
        <n v="4.35"/>
        <n v="4.631578947368421"/>
        <n v="4.578947368421052"/>
        <n v="4.388888888888889"/>
        <n v="4.722222222222222"/>
        <n v="4.611111111111111"/>
        <n v="4.411764705882353"/>
        <n v="4.588235294117647"/>
        <n v="4.529411764705882"/>
        <n v="4.538461538461538"/>
        <n v="4.491820040899795"/>
      </sharedItems>
    </cacheField>
    <cacheField name="SUM of delivery_weight" numFmtId="0">
      <sharedItems containsSemiMixedTypes="0" containsString="0" containsNumber="1" containsInteger="1">
        <n v="243.0"/>
        <n v="55.0"/>
        <n v="237.0"/>
        <n v="71.0"/>
        <n v="69.0"/>
        <n v="211.0"/>
        <n v="60.0"/>
        <n v="208.0"/>
        <n v="176.0"/>
        <n v="174.0"/>
        <n v="45.0"/>
        <n v="58.0"/>
        <n v="193.0"/>
        <n v="50.0"/>
        <n v="47.0"/>
        <n v="170.0"/>
        <n v="439.0"/>
        <n v="152.0"/>
        <n v="40.0"/>
        <n v="41.0"/>
        <n v="43.0"/>
        <n v="48.0"/>
        <n v="35.0"/>
        <n v="125.0"/>
        <n v="37.0"/>
        <n v="38.0"/>
        <n v="126.0"/>
        <n v="33.0"/>
        <n v="256.0"/>
        <n v="27.0"/>
        <n v="187.0"/>
        <n v="20.0"/>
        <n v="4181.0"/>
      </sharedItems>
    </cacheField>
    <cacheField name="SUM of delivery_distance(KM)" numFmtId="0">
      <sharedItems containsSemiMixedTypes="0" containsString="0" containsNumber="1" containsInteger="1">
        <n v="440.0"/>
        <n v="126.0"/>
        <n v="443.0"/>
        <n v="105.0"/>
        <n v="102.0"/>
        <n v="430.0"/>
        <n v="103.0"/>
        <n v="401.0"/>
        <n v="100.0"/>
        <n v="355.0"/>
        <n v="379.0"/>
        <n v="84.0"/>
        <n v="97.0"/>
        <n v="353.0"/>
        <n v="83.0"/>
        <n v="88.0"/>
        <n v="323.0"/>
        <n v="1059.0"/>
        <n v="79.0"/>
        <n v="297.0"/>
        <n v="95.0"/>
        <n v="77.0"/>
        <n v="68.0"/>
        <n v="74.0"/>
        <n v="76.0"/>
        <n v="70.0"/>
        <n v="71.0"/>
        <n v="82.0"/>
        <n v="78.0"/>
        <n v="290.0"/>
        <n v="57.0"/>
        <n v="66.0"/>
        <n v="75.0"/>
        <n v="72.0"/>
        <n v="58.0"/>
        <n v="238.0"/>
        <n v="65.0"/>
        <n v="45.0"/>
        <n v="746.0"/>
        <n v="47.0"/>
        <n v="581.0"/>
        <n v="30.0"/>
        <n v="8578.0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987" sheet="delivery time analysis"/>
  </cacheSource>
  <cacheFields>
    <cacheField name="delivery_id" numFmtId="0">
      <sharedItems>
        <s v="d351sj64"/>
        <s v="d8386m83"/>
        <s v="d7740w54"/>
        <s v="d542bt15"/>
        <s v="d327dk59"/>
        <s v="d776lv44"/>
        <s v="d464as84"/>
        <s v="d715qm20"/>
        <s v="d444s321"/>
        <s v="d406qh87"/>
        <s v="d2271n35"/>
        <s v="d403wr57"/>
        <s v="d864a523"/>
        <s v="d440bj67"/>
        <s v="d381sw10"/>
        <s v="d958o483"/>
        <s v="d643vx65"/>
        <s v="d1369u62"/>
        <s v="d553me25"/>
        <s v="d0100i73"/>
        <s v="d970am30"/>
        <s v="d364nc61"/>
        <s v="d972tr93"/>
        <s v="d973lw24"/>
        <s v="d458ku87"/>
        <s v="d114fb08"/>
        <s v="d575a644"/>
        <s v="d521da19"/>
        <s v="d5944i27"/>
        <s v="d7581k20"/>
        <s v="d319qh12"/>
        <s v="d112w236"/>
        <s v="d269cv41"/>
        <s v="d222bu90"/>
        <s v="d2619555"/>
        <s v="d8011y21"/>
        <s v="d257ij65"/>
        <s v="d366k990"/>
        <s v="d8177950"/>
        <s v="d8000722"/>
        <s v="d311xp76"/>
        <s v="d630y262"/>
        <s v="d694tk29"/>
        <s v="d1427p51"/>
        <s v="d189b819"/>
        <s v="d1127t89"/>
        <s v="d259vr60"/>
        <s v="d751ws77"/>
        <s v="d765wu53"/>
        <s v="d572mw24"/>
        <s v="d269r157"/>
        <s v="d640or87"/>
        <s v="d117zr90"/>
        <s v="d498ym37"/>
        <s v="d0500795"/>
        <s v="d2793y09"/>
        <s v="d1692v11"/>
        <s v="d3544y15"/>
        <s v="d428rq28"/>
        <s v="d706xh23"/>
        <s v="d023kn10"/>
        <s v="d3299x21"/>
        <s v="d054lc39"/>
        <s v="d684r048"/>
        <s v="d5526v21"/>
        <s v="d2595q99"/>
        <s v="d4126y09"/>
        <s v="d637g605"/>
        <s v="d1585w80"/>
        <s v="d641ey71"/>
        <s v="d252zd35"/>
        <s v="d534qr73"/>
        <s v="d333dr06"/>
        <s v="d872ob52"/>
        <s v="d581cs29"/>
        <s v="d7343o59"/>
        <s v="d111in55"/>
        <s v="d3194r71"/>
        <s v="d8498175"/>
        <s v="d676r478"/>
        <s v="d6221d30"/>
        <s v="d668il17"/>
        <s v="d190xw40"/>
        <s v="d435k482"/>
        <s v="d674ke37"/>
        <s v="d8131d37"/>
        <s v="d666a168"/>
        <s v="d6131m70"/>
        <s v="d310id80"/>
        <s v="d033rv03"/>
        <s v="d7444b29"/>
        <s v="d943p807"/>
        <s v="d564i295"/>
        <s v="d649lu54"/>
        <s v="d5445y22"/>
        <s v="d7021k65"/>
        <s v="d151mh71"/>
        <s v="d219vp92"/>
        <s v="d491j050"/>
        <s v="d294w222"/>
        <s v="d275o074"/>
        <s v="d107hz52"/>
        <s v="d679ev16"/>
        <s v="d1607r54"/>
        <s v="d233ax06"/>
        <s v="d890fm94"/>
        <s v="d5403d96"/>
        <s v="d903af67"/>
        <s v="d778r615"/>
        <s v="d423yu27"/>
        <s v="d157fi72"/>
        <s v="d3501672"/>
        <s v="d515y192"/>
        <s v="d9928d17"/>
        <s v="d584lz61"/>
        <s v="d158up98"/>
        <s v="d564i419"/>
        <s v="d014rh96"/>
        <s v="d987p549"/>
        <s v="d175w493"/>
        <s v="d6694o36"/>
        <s v="d172xl65"/>
        <s v="d072er26"/>
        <s v="d210vf54"/>
        <s v="d054rc31"/>
        <s v="d299x451"/>
        <s v="d022qq33"/>
        <s v="d066a394"/>
        <s v="d356s256"/>
        <s v="d822oz95"/>
        <s v="d9767u72"/>
        <s v="d607bi27"/>
        <s v="d154nd35"/>
        <s v="d813js54"/>
        <s v="d221td17"/>
        <s v="d0347379"/>
        <s v="d2043a66"/>
        <s v="d6709a64"/>
        <s v="d535gv68"/>
        <s v="d319so27"/>
        <s v="d808t072"/>
        <s v="d714to22"/>
        <s v="d179l922"/>
        <s v="d473kv58"/>
        <s v="d260s282"/>
        <s v="d692ce16"/>
        <s v="d079h895"/>
        <s v="d608pa56"/>
        <s v="d206qt55"/>
        <s v="d925bm58"/>
        <s v="d671rk89"/>
        <s v="d0731437"/>
        <s v="d6769j32"/>
        <s v="d084cn69"/>
        <s v="d2236887"/>
        <s v="d153bp29"/>
        <s v="d9902233"/>
        <s v="d7822t81"/>
        <s v="d866ww77"/>
        <s v="d587ri96"/>
        <s v="d898i980"/>
        <s v="d645i658"/>
        <s v="d893tt74"/>
        <s v="d4215327"/>
        <s v="d349rd67"/>
        <s v="d827z233"/>
        <s v="d842kn11"/>
        <s v="d518ta57"/>
        <s v="d3423990"/>
        <s v="d149qu01"/>
        <s v="d969j659"/>
        <s v="d526n265"/>
        <s v="d510kv01"/>
        <s v="d354li33"/>
        <s v="d860sq91"/>
        <s v="d993wd31"/>
        <s v="d069v306"/>
        <s v="d3082v86"/>
        <s v="d919w224"/>
        <s v="d724u312"/>
        <s v="d3914e70"/>
        <s v="d2675v44"/>
        <s v="d6702x45"/>
        <s v="d880ku98"/>
        <s v="d991vw51"/>
        <s v="d573pe87"/>
        <s v="d354vc87"/>
        <s v="d739sp76"/>
        <s v="d445f415"/>
        <s v="d5687k01"/>
        <s v="d226fy20"/>
        <s v="d833lq90"/>
        <s v="d117u677"/>
        <s v="d787mz18"/>
        <s v="d2411q33"/>
        <s v="d5865r57"/>
        <s v="d666uc25"/>
        <s v="d660cc55"/>
        <s v="d158a229"/>
        <s v="d857tv33"/>
        <s v="d844pa71"/>
        <s v="d394ky44"/>
        <s v="d0117314"/>
        <s v="d4588561"/>
        <s v="d0010t69"/>
        <s v="d0275w24"/>
        <s v="d586ds39"/>
        <s v="d7347k36"/>
        <s v="d0356428"/>
        <s v="d937ie33"/>
        <s v="d650bf04"/>
        <s v="d305fy12"/>
        <s v="d337lh25"/>
        <s v="d511ss07"/>
        <s v="d076u065"/>
        <s v="d253c303"/>
        <s v="d3975696"/>
        <s v="d533p676"/>
        <s v="d485yg71"/>
        <s v="d742us85"/>
        <s v="d611yp63"/>
        <s v="d315ku74"/>
        <s v="d629p289"/>
        <s v="d4328848"/>
        <s v="d887fv52"/>
        <s v="d598gl34"/>
        <s v="d912c898"/>
        <s v="d4159i58"/>
        <s v="d050tk76"/>
        <s v="d251dp64"/>
        <s v="d201m269"/>
        <s v="d566pw96"/>
        <s v="d681g554"/>
        <s v="d543wm48"/>
        <s v="d105bm42"/>
        <s v="d599cc91"/>
        <s v="d625kb31"/>
        <s v="d659j927"/>
        <s v="d1591u44"/>
        <s v="d9200o01"/>
        <s v="d580yc07"/>
        <s v="d1879595"/>
        <s v="d356l280"/>
        <s v="d6650387"/>
        <s v="d403n205"/>
        <s v="d2215n86"/>
        <s v="d2933747"/>
        <s v="d948m761"/>
        <s v="d682tm90"/>
        <s v="d3700130"/>
        <s v="d691ut25"/>
        <s v="d3224a46"/>
        <s v="d013k260"/>
        <s v="d687br81"/>
        <s v="d6852w93"/>
        <s v="d700gd18"/>
        <s v="d508q175"/>
        <s v="d534s510"/>
        <s v="d8952e62"/>
        <s v="d512vy53"/>
        <s v="d170o214"/>
        <s v="d345ob53"/>
        <s v="d546g842"/>
        <s v="d281zv61"/>
        <s v="d328ju79"/>
        <s v="d120vo48"/>
        <s v="d910qq19"/>
        <s v="d151ak81"/>
        <s v="d795xp80"/>
        <s v="d622mp03"/>
        <s v="d468pw59"/>
        <s v="d267qx46"/>
        <s v="d5505g16"/>
        <s v="d400l761"/>
        <s v="d418t350"/>
        <s v="d659q645"/>
        <s v="d418x101"/>
        <s v="d393rl49"/>
        <s v="d988bx14"/>
        <s v="d9605s75"/>
        <s v="d6481l60"/>
        <s v="d766fy46"/>
        <s v="d355er74"/>
        <s v="d200mz36"/>
        <s v="d096lr77"/>
        <s v="d392lh84"/>
        <s v="d543d408"/>
        <s v="d102kg64"/>
        <s v="d809r804"/>
        <s v="d583lb60"/>
        <s v="d7680d03"/>
        <s v="d8805d97"/>
        <s v="d4311e62"/>
        <s v="d3047654"/>
        <s v="d7140g19"/>
        <s v="d578aq66"/>
        <s v="d549ja76"/>
        <s v="d261wc96"/>
        <s v="d433ey12"/>
        <s v="d0741d55"/>
        <s v="d548qh09"/>
        <s v="d450tm18"/>
        <s v="d4192s69"/>
        <s v="d611xq07"/>
        <s v="d211bp33"/>
        <s v="d213l258"/>
        <s v="d824w027"/>
        <s v="d109o390"/>
        <s v="d483tr92"/>
        <s v="d889ue72"/>
        <s v="d829e872"/>
        <s v="d4068o85"/>
        <s v="d010u317"/>
        <s v="d010y704"/>
        <s v="d0033x26"/>
        <s v="d346ye16"/>
        <s v="d871fs17"/>
        <s v="d2969k58"/>
        <s v="d2294p12"/>
        <s v="d0268895"/>
        <s v="d610h017"/>
        <s v="d299jo83"/>
        <s v="d421uy64"/>
        <s v="d7994i83"/>
        <s v="d8736z92"/>
        <s v="d048sn17"/>
        <s v="d6850r02"/>
        <s v="d163zi49"/>
        <s v="d4717831"/>
        <s v="d627o372"/>
        <s v="d295w251"/>
        <s v="d422b944"/>
        <s v="d427v958"/>
        <s v="d791cc84"/>
        <s v="d8191i60"/>
        <s v="d9608s89"/>
        <s v="d601gq89"/>
        <s v="d6547p30"/>
        <s v="d188vz63"/>
        <s v="d993uj58"/>
        <s v="d3391w38"/>
        <s v="d9253y31"/>
        <s v="d420ap07"/>
        <s v="d500ex96"/>
        <s v="d879xp25"/>
        <s v="d5464s36"/>
        <s v="d827rn78"/>
        <s v="d2445645"/>
        <s v="d759cz90"/>
        <s v="d6997g71"/>
        <s v="d296oh36"/>
        <s v="d890xp32"/>
        <s v="d087ri20"/>
        <s v="d685v091"/>
        <s v="d214ta20"/>
        <s v="d6864c05"/>
        <s v="d412j412"/>
        <s v="d480he69"/>
        <s v="d828tk13"/>
        <s v="d1708s54"/>
        <s v="d337gd04"/>
        <s v="d5713s76"/>
        <s v="d431gg05"/>
        <s v="d676g308"/>
        <s v="d085km74"/>
        <s v="d743el93"/>
        <s v="d009c505"/>
        <s v="d3902j35"/>
        <s v="d322yp36"/>
        <s v="d312at02"/>
        <s v="d9869q80"/>
        <s v="d2519354"/>
        <s v="d9559688"/>
        <s v="d859zx83"/>
        <s v="d215ho44"/>
        <s v="d4428v35"/>
        <s v="d495zw97"/>
        <s v="d409ue80"/>
        <s v="d4517564"/>
        <s v="d0106u70"/>
        <s v="d955og80"/>
        <s v="d8142j14"/>
        <s v="d507lv12"/>
        <s v="d660lb58"/>
        <s v="d500ow78"/>
        <s v="d100ro41"/>
        <s v="d884bu13"/>
        <s v="d496d256"/>
        <s v="d2749661"/>
        <s v="d2122v49"/>
        <s v="d431vc28"/>
        <s v="d7566v62"/>
        <s v="d923kn26"/>
        <s v="d170xf80"/>
        <s v="d559nz11"/>
        <s v="d739xk67"/>
        <s v="d555pp52"/>
        <s v="d6638z54"/>
        <s v="d929gg88"/>
        <s v="d1151577"/>
        <s v="d3636137"/>
        <s v="d1911322"/>
        <s v="d952te28"/>
        <s v="d2018q81"/>
        <s v="d228d083"/>
        <s v="d3440n00"/>
        <s v="d986to03"/>
        <s v="d8334155"/>
        <s v="d3121264"/>
        <s v="d537b376"/>
        <s v="d978xv62"/>
        <s v="d147q172"/>
        <s v="d867h078"/>
        <s v="d005x510"/>
        <s v="d044ds11"/>
        <s v="d2545j60"/>
        <s v="d733ae05"/>
        <s v="d946wd29"/>
        <s v="d768t808"/>
        <s v="d837iq07"/>
        <s v="d2507889"/>
        <s v="d489b328"/>
        <s v="d124qb71"/>
        <s v="d0574h92"/>
        <s v="d848i956"/>
        <s v="d3195976"/>
        <s v="d452qy77"/>
        <s v="d147ub90"/>
        <s v="d915pn61"/>
        <s v="d2170e30"/>
        <s v="d019vu70"/>
        <s v="d564jk06"/>
        <s v="d5071512"/>
        <s v="d4022743"/>
        <s v="d367os77"/>
        <s v="d687yz84"/>
        <s v="d418xa17"/>
        <s v="d651d585"/>
        <s v="d028ci04"/>
        <s v="d397zb27"/>
        <s v="d747y472"/>
        <s v="d671nj28"/>
        <s v="d6742t89"/>
        <s v="d699lu65"/>
        <s v="d868m446"/>
        <s v="d751dt21"/>
        <s v="d115ji16"/>
        <s v="d936fw34"/>
        <s v="d8499w21"/>
        <s v="d1047k76"/>
        <s v="d685ni96"/>
        <s v="d4624m80"/>
        <s v="d5851y86"/>
        <s v="d397w127"/>
        <s v="d690lr62"/>
        <s v="d9856y63"/>
        <s v="d628l761"/>
        <s v="d6215c47"/>
        <s v="d083rq59"/>
        <s v="d2445b92"/>
        <s v="d119f121"/>
        <s v="d585my42"/>
        <s v="d611up11"/>
        <s v="d9451a40"/>
        <s v="d7192620"/>
        <s v="d961p644"/>
        <s v="d131im20"/>
        <s v="d902ty08"/>
        <s v="d9723g23"/>
        <s v="d129ai78"/>
        <s v="d2158x89"/>
        <s v="d938fb88"/>
        <s v="d5455v71"/>
        <s v="d069a675"/>
        <s v="d341et51"/>
        <s v="d596of29"/>
        <s v="d638tf44"/>
        <s v="d743vg53"/>
        <s v="d442mh87"/>
        <s v="d7709r69"/>
        <s v="d654mf76"/>
        <s v="d4673u32"/>
        <s v="d537ia07"/>
        <s v="d719de86"/>
        <s v="d6901v25"/>
        <s v="d300zu11"/>
        <s v="d292oz41"/>
        <s v="d419v483"/>
        <s v="d300mk52"/>
        <s v="d555dm10"/>
        <s v="d207iq58"/>
        <s v="d906yh41"/>
        <s v="d272qf55"/>
        <s v="d181n140"/>
        <s v="d420s045"/>
        <s v="d033fm24"/>
        <s v="d185xy81"/>
        <s v="d643fn11"/>
        <s v="d158rf59"/>
        <s v="d321n044"/>
        <s v="d006as84"/>
        <s v="d815zl25"/>
        <s v="d9518867"/>
        <s v="d334ic95"/>
        <s v="d822pa86"/>
        <s v="d0712d03"/>
        <s v="d676v164"/>
        <s v="d046tp00"/>
        <s v="d685qg88"/>
        <s v="d698xo87"/>
        <s v="d935y596"/>
        <s v="d461me39"/>
        <s v="d165se63"/>
        <s v="d160ys70"/>
        <s v="d1066u70"/>
        <s v="d691em43"/>
        <s v="d655g108"/>
        <s v="d235rd55"/>
        <s v="d382ii73"/>
        <s v="d203wh43"/>
        <s v="d906ot38"/>
        <s v="d625dq59"/>
        <s v="d013bo31"/>
        <s v="d842ex99"/>
        <s v="d208yi02"/>
        <s v="d491kj45"/>
        <s v="d458ig79"/>
        <s v="d608s936"/>
        <s v="d168ll99"/>
        <s v="d9540s61"/>
        <s v="d047o714"/>
        <s v="d485mz47"/>
        <s v="d760vh01"/>
        <s v="d3437605"/>
        <s v="d4750p19"/>
        <s v="d6107k39"/>
        <s v="d897le37"/>
        <s v="d535qz23"/>
        <s v="d062i955"/>
        <s v="d266dk57"/>
        <s v="d989nm27"/>
        <s v="d289f809"/>
        <s v="d176gg39"/>
        <s v="d036ax89"/>
        <s v="d688f744"/>
        <s v="d321ce08"/>
        <s v="d767go33"/>
        <s v="d953of18"/>
        <s v="d425k873"/>
        <s v="d812ab32"/>
        <s v="d159jh16"/>
        <s v="d538uh82"/>
        <s v="d5028043"/>
        <s v="d132lw49"/>
        <s v="d6091p98"/>
        <s v="d116ws31"/>
        <s v="d4364b02"/>
        <s v="d153h436"/>
        <s v="d577ed61"/>
        <s v="d990b268"/>
        <s v="d5433t92"/>
        <s v="d8824m48"/>
        <s v="d352gg78"/>
        <s v="d5463d88"/>
        <s v="d915o729"/>
        <s v="d742m856"/>
        <s v="d795d562"/>
        <s v="d715hb95"/>
        <s v="d5889944"/>
        <s v="d7958q25"/>
        <s v="d669yv62"/>
        <s v="d3029m12"/>
        <s v="d051cw29"/>
        <s v="d747sv62"/>
        <s v="d278x895"/>
        <s v="d801zo43"/>
        <s v="d6567308"/>
        <s v="d5610r99"/>
        <s v="d5748943"/>
        <s v="d861aj49"/>
        <s v="d003bl19"/>
        <s v="d772vo17"/>
        <s v="d527aw62"/>
        <s v="d994lc00"/>
        <s v="d126j800"/>
        <s v="d3199q86"/>
        <s v="d988s547"/>
        <s v="d952vc64"/>
        <s v="d006b058"/>
        <s v="d6360792"/>
        <s v="d274pb24"/>
        <s v="d4123h93"/>
        <s v="d854n850"/>
        <s v="d271ra24"/>
        <s v="d795qt18"/>
        <s v="d221ul90"/>
        <s v="d072kr34"/>
        <s v="d882ce51"/>
        <s v="d205nq70"/>
        <s v="d0083979"/>
        <s v="d6279n92"/>
        <s v="d1004l35"/>
        <s v="d908vg18"/>
        <s v="d860ly66"/>
        <s v="d7450190"/>
        <s v="d750kr76"/>
        <s v="d6219r46"/>
        <s v="d957cq65"/>
        <s v="d870em53"/>
        <s v="d566en75"/>
        <s v="d498e431"/>
        <s v="d995aa82"/>
        <s v="d6306r54"/>
        <s v="d001x238"/>
        <s v="d552ph64"/>
        <s v="d7376f03"/>
        <s v="d301gk56"/>
        <s v="d092xm96"/>
        <s v="d072ud11"/>
        <s v="d5521y10"/>
        <s v="d004cl27"/>
        <s v="d2999f02"/>
        <s v="d166gf40"/>
        <s v="d620vw69"/>
        <s v="d527ix79"/>
        <s v="d466ea62"/>
        <s v="d441qt81"/>
        <s v="d744wc42"/>
        <s v="d939d161"/>
        <s v="d2905l65"/>
        <s v="d284iq25"/>
        <s v="d5836t16"/>
        <s v="d093h651"/>
        <s v="d509nk93"/>
        <s v="d396l099"/>
        <s v="d0180082"/>
        <s v="d788fw23"/>
        <s v="d973d532"/>
        <s v="d554xt29"/>
        <s v="d4073215"/>
        <s v="d581du64"/>
        <s v="d661n169"/>
        <s v="d094cm40"/>
        <s v="d563ks76"/>
        <s v="d312ns73"/>
        <s v="d402em68"/>
        <s v="d039zh03"/>
        <s v="d198xy36"/>
        <s v="d113v975"/>
        <s v="d643r272"/>
        <s v="d625qu22"/>
        <s v="d521zv60"/>
        <s v="d991gn22"/>
        <s v="d3582x49"/>
        <s v="d192ud61"/>
        <s v="d670z267"/>
        <s v="d0043l41"/>
        <s v="d972bn17"/>
        <s v="d284uw55"/>
        <s v="d411jc57"/>
        <s v="d594ry90"/>
        <s v="d984w127"/>
        <s v="d258o895"/>
        <s v="d5979s18"/>
        <s v="d963z704"/>
        <s v="d858h796"/>
        <s v="d8874o89"/>
        <s v="d859h630"/>
        <s v="d5173k22"/>
        <s v="d734zz15"/>
        <s v="d504nt92"/>
        <s v="d3412b53"/>
        <s v="d780o460"/>
        <s v="d467sh65"/>
        <s v="d047im29"/>
        <s v="d396hz26"/>
        <s v="d304o466"/>
        <s v="d8192a35"/>
        <s v="d6863899"/>
        <s v="d590wa90"/>
        <s v="d784ki88"/>
        <s v="d6881y66"/>
        <s v="d477zf73"/>
        <s v="d637b349"/>
        <s v="d884d015"/>
        <s v="d1140j30"/>
        <s v="d781so03"/>
        <s v="d379fe65"/>
        <s v="d8930249"/>
        <s v="d749q676"/>
        <s v="d3050443"/>
        <s v="d897db92"/>
        <s v="d293r110"/>
        <s v="d474d034"/>
        <s v="d340z078"/>
        <s v="d051mt87"/>
        <s v="d449wj34"/>
        <s v="d1260w91"/>
        <s v="d103pt16"/>
        <s v="d080e016"/>
        <s v="d410cy92"/>
        <s v="d437ek63"/>
        <s v="d735og31"/>
        <s v="d879rf13"/>
        <s v="d409d161"/>
        <s v="d065fx39"/>
        <s v="d863s333"/>
        <s v="d986l839"/>
        <s v="d2276p10"/>
        <s v="d5578k64"/>
        <s v="d8369n05"/>
        <s v="d7837s30"/>
        <s v="d529u337"/>
        <s v="d553zk95"/>
        <s v="d156s740"/>
        <s v="d310zv35"/>
        <s v="d007yc21"/>
        <s v="d662w378"/>
        <s v="d5042i47"/>
        <s v="d738dk36"/>
        <s v="d157ad24"/>
        <s v="d241oe25"/>
        <s v="d800yv31"/>
        <s v="d474pk88"/>
        <s v="d064mx64"/>
        <s v="d389yp57"/>
        <s v="d0548s96"/>
        <s v="d166a457"/>
        <s v="d764uo06"/>
        <s v="d503km90"/>
        <s v="d4581513"/>
        <s v="d311mh74"/>
        <s v="d9678m96"/>
        <s v="d7735b59"/>
        <s v="d3235n00"/>
        <s v="d966wu18"/>
        <s v="d4168u08"/>
        <s v="d357pj38"/>
        <s v="d381ja21"/>
        <s v="d997m694"/>
        <s v="d018wu02"/>
        <s v="d143pk40"/>
        <s v="d9081600"/>
        <s v="d037xi19"/>
        <s v="d895pg04"/>
        <s v="d744xx64"/>
        <s v="d2724d94"/>
        <s v="d3181e46"/>
        <s v="d457qh60"/>
        <s v="d319gm53"/>
        <s v="d237jd04"/>
        <s v="d369qn02"/>
        <s v="d5038p42"/>
        <s v="d030o029"/>
        <s v="d360lf55"/>
        <s v="d824dt41"/>
        <s v="d1534w11"/>
        <s v="d819dm86"/>
        <s v="d147g817"/>
        <s v="d2640914"/>
        <s v="d780gv03"/>
        <s v="d396c694"/>
        <s v="d9254z68"/>
        <s v="d096ia65"/>
        <s v="d364he35"/>
        <s v="d912k531"/>
        <s v="d672mz09"/>
        <s v="d994cc10"/>
        <s v="d5451e99"/>
        <s v="d512uf06"/>
        <s v="d133wy34"/>
        <s v="d6376d92"/>
        <s v="d6102l95"/>
        <s v="d983os43"/>
        <s v="d660yz52"/>
        <s v="d7342t21"/>
        <s v="d768pl34"/>
        <s v="d3115w31"/>
        <s v="d1220d03"/>
        <s v="d789x167"/>
        <s v="d126ql37"/>
        <s v="d7969047"/>
        <s v="d107gy49"/>
        <s v="d316r634"/>
        <s v="d4227f44"/>
        <s v="d3852x96"/>
        <s v="d6758p20"/>
        <s v="d629nq42"/>
        <s v="d809jt85"/>
        <s v="d043uq27"/>
        <s v="d322t264"/>
        <s v="d922cx24"/>
        <s v="d0714261"/>
        <s v="d3428z67"/>
        <s v="d922zp98"/>
        <s v="d376yp75"/>
        <s v="d294vd10"/>
        <s v="d025eq60"/>
        <s v="d103nc17"/>
        <s v="d626h453"/>
        <s v="d5593w23"/>
        <s v="d783ss50"/>
        <s v="d316vb78"/>
        <s v="d2036c32"/>
        <s v="d3905w99"/>
        <s v="d150r325"/>
        <s v="d236kb22"/>
        <s v="d973fk82"/>
        <s v="d1360q86"/>
        <s v="d041ij35"/>
        <s v="d7816n93"/>
        <s v="d914y124"/>
        <s v="d0994252"/>
        <s v="d5034889"/>
        <s v="d761cu18"/>
        <s v="d860x542"/>
        <s v="d011bs65"/>
        <s v="d4745y84"/>
        <s v="d296ou17"/>
        <s v="d003gd66"/>
        <s v="d028oz58"/>
        <s v="d2961e27"/>
        <s v="d752oi35"/>
        <s v="d424jy55"/>
        <s v="d333ml80"/>
        <s v="d597pg45"/>
        <s v="d7182087"/>
        <s v="d621jy47"/>
        <s v="d888qu71"/>
        <s v="d9860b25"/>
        <s v="d376fg86"/>
        <s v="d200t022"/>
        <s v="d858ti23"/>
        <s v="d8259d37"/>
        <s v="d296j021"/>
        <s v="d058s006"/>
        <s v="d472v747"/>
        <s v="d680q456"/>
        <s v="d1154r91"/>
        <s v="d180lz50"/>
        <s v="d002wi01"/>
        <s v="d402vk52"/>
        <s v="d5122552"/>
        <s v="d213w259"/>
        <s v="d8389768"/>
        <s v="d578xz17"/>
        <s v="d371c512"/>
        <s v="d401zx26"/>
        <s v="d988l829"/>
        <s v="d515uw59"/>
        <s v="d242jp32"/>
        <s v="d438k637"/>
        <s v="d830w212"/>
        <s v="d4450283"/>
        <s v="d498tr19"/>
        <s v="d021k493"/>
        <s v="d0607x36"/>
        <s v="d147d513"/>
        <s v="d348rm61"/>
        <s v="d1436z43"/>
        <s v="d886c015"/>
        <s v="d1867k59"/>
        <s v="d995wt88"/>
        <s v="d6014590"/>
        <s v="d1213590"/>
        <s v="d779gi38"/>
        <s v="d266gz35"/>
        <s v="d1116k90"/>
        <s v="d700a260"/>
        <s v="d381a927"/>
        <s v="d916hc63"/>
        <s v="d104tu05"/>
        <s v="d6286i40"/>
        <s v="d9648198"/>
        <s v="d496i751"/>
        <s v="d332y741"/>
        <s v="d078nv45"/>
        <s v="d634oh87"/>
        <s v="d851oc64"/>
        <s v="d544wj43"/>
        <s v="d238fe90"/>
        <s v="d766s173"/>
        <s v="d5756i66"/>
        <s v="d8325g39"/>
        <s v="d6985w97"/>
        <s v="d4295m92"/>
        <s v="d047h688"/>
        <s v="d344cl86"/>
        <s v="d726zq25"/>
        <s v="d5134947"/>
        <s v="d7951g84"/>
        <s v="d749yr87"/>
        <s v="d429v314"/>
        <s v="d942fy84"/>
        <s v="d828jy63"/>
        <s v="d537qn68"/>
        <s v="d283ty84"/>
        <s v="d574tm80"/>
        <s v="d366l228"/>
        <s v="d527e525"/>
        <s v="d789ld63"/>
        <s v="d7619906"/>
        <s v="d4797421"/>
        <s v="d750nx02"/>
        <s v="d652bb30"/>
        <s v="d603kb83"/>
        <s v="d794bb28"/>
        <s v="d5247h04"/>
        <s v="d9637w07"/>
        <s v="d064uo21"/>
        <s v="d324q165"/>
        <s v="d366dk29"/>
        <s v="d858ir05"/>
        <s v="d8045563"/>
        <s v="d877sr48"/>
        <s v="d024z992"/>
        <s v="d495ny56"/>
        <s v="d241li62"/>
        <s v="d213c655"/>
        <s v="d0475j39"/>
        <s v="d919q144"/>
        <s v="d324nq26"/>
        <s v="d1946c79"/>
        <s v="d416pu83"/>
        <s v="d640wu39"/>
        <s v="d949p040"/>
        <s v="d432b834"/>
        <s v="d388bm13"/>
        <s v="d663yf22"/>
        <s v="d071fm87"/>
        <s v="d1734l26"/>
        <s v="d643oc11"/>
        <s v="d213ei22"/>
        <s v="d528xj05"/>
        <s v="d133gd12"/>
        <s v="d552t557"/>
        <s v="d785pl98"/>
        <s v="d978tm46"/>
        <s v="d799nm62"/>
        <s v="d529mo74"/>
        <s v="d049mf94"/>
        <s v="d134vb81"/>
        <s v="d253i063"/>
        <s v="d2992v19"/>
        <s v="d504fu44"/>
        <s v="d0640751"/>
        <s v="d867bj72"/>
        <s v="d5251f11"/>
        <s v="d196f713"/>
        <s v="d158sw90"/>
        <s v="d703l753"/>
        <s v="d7898s50"/>
        <s v="d348ql95"/>
        <s v="d804t115"/>
        <s v="d1993t40"/>
        <s v="d377s752"/>
        <s v="d352z597"/>
        <s v="d9483l43"/>
        <s v="d754ij84"/>
        <s v="d000lp74"/>
        <s v="d423ev20"/>
        <s v="d057eo54"/>
        <s v="d386c122"/>
        <s v="d3661l77"/>
        <s v="d8354l17"/>
        <s v="d8725u96"/>
        <s v="d0751922"/>
        <s v="d2643l31"/>
        <s v="d033ug08"/>
        <s v="d104lw09"/>
        <s v="d018rn76"/>
        <s v="d2150e33"/>
        <s v="d496yk40"/>
        <s v="d101db60"/>
        <s v="d4320895"/>
        <s v="d929sg83"/>
        <s v="d775a349"/>
        <s v="d659mo61"/>
        <s v="d3107o77"/>
        <s v="d283cn80"/>
        <s v="d203p733"/>
        <s v="d249a341"/>
        <s v="d037ri54"/>
        <s v="d7589t56"/>
        <s v="d278b176"/>
        <s v="d473mi30"/>
      </sharedItems>
    </cacheField>
    <cacheField name="delivery_start" numFmtId="165">
      <sharedItems containsSemiMixedTypes="0" containsDate="1" containsString="0"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6-30T00:00:00Z"/>
      </sharedItems>
    </cacheField>
    <cacheField name="delivery_end" numFmtId="165">
      <sharedItems containsSemiMixedTypes="0" containsDate="1" containsString="0">
        <d v="2023-06-02T00:00:00Z"/>
        <d v="2023-06-03T00:00:00Z"/>
        <d v="2023-06-06T00:00:00Z"/>
        <d v="2023-06-04T00:00:00Z"/>
        <d v="2023-06-05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7-01T00:00:00Z"/>
        <d v="2023-06-30T00:00:00Z"/>
        <d v="2023-07-02T00:00:00Z"/>
        <d v="2023-07-03T00:00:00Z"/>
        <d v="2023-07-04T00:00:00Z"/>
        <d v="2023-07-05T00:00:00Z"/>
      </sharedItems>
    </cacheField>
    <cacheField name="delivery_distance(KM)" numFmtId="0">
      <sharedItems containsSemiMixedTypes="0" containsString="0" containsNumber="1" containsInteger="1">
        <n v="5.0"/>
        <n v="15.0"/>
        <n v="8.0"/>
        <n v="4.0"/>
        <n v="60.0"/>
        <n v="7.0"/>
        <n v="17.0"/>
        <n v="36.0"/>
        <n v="1.0"/>
        <n v="3.0"/>
        <n v="76.0"/>
        <n v="21.0"/>
        <n v="61.0"/>
        <n v="6.0"/>
        <n v="33.0"/>
        <n v="11.0"/>
        <n v="2.0"/>
        <n v="13.0"/>
        <n v="14.0"/>
        <n v="9.0"/>
        <n v="10.0"/>
        <n v="56.0"/>
        <n v="19.0"/>
        <n v="49.0"/>
        <n v="65.0"/>
        <n v="38.0"/>
        <n v="39.0"/>
        <n v="22.0"/>
        <n v="34.0"/>
        <n v="48.0"/>
        <n v="28.0"/>
        <n v="29.0"/>
        <n v="20.0"/>
        <n v="16.0"/>
        <n v="18.0"/>
        <n v="12.0"/>
        <n v="35.0"/>
        <n v="43.0"/>
        <n v="58.0"/>
        <n v="24.0"/>
        <n v="77.0"/>
        <n v="73.0"/>
        <n v="59.0"/>
        <n v="70.0"/>
        <n v="63.0"/>
        <n v="72.0"/>
        <n v="25.0"/>
        <n v="27.0"/>
        <n v="41.0"/>
        <n v="78.0"/>
        <n v="54.0"/>
        <n v="64.0"/>
      </sharedItems>
    </cacheField>
    <cacheField name="delivery_weight" numFmtId="0">
      <sharedItems containsSemiMixedTypes="0" containsString="0" containsNumber="1" containsInteger="1">
        <n v="3.0"/>
        <n v="4.0"/>
        <n v="2.0"/>
        <n v="24.0"/>
        <n v="10.0"/>
        <n v="17.0"/>
        <n v="1.0"/>
        <n v="20.0"/>
        <n v="12.0"/>
        <n v="22.0"/>
        <n v="18.0"/>
        <n v="9.0"/>
        <n v="8.0"/>
        <n v="6.0"/>
        <n v="7.0"/>
        <n v="5.0"/>
        <n v="15.0"/>
        <n v="19.0"/>
        <n v="11.0"/>
        <n v="26.0"/>
        <n v="16.0"/>
        <n v="27.0"/>
        <n v="14.0"/>
        <n v="21.0"/>
        <n v="13.0"/>
      </sharedItems>
    </cacheField>
    <cacheField name="delivery_time" numFmtId="0">
      <sharedItems containsSemiMixedTypes="0" containsString="0" containsNumber="1" containsInteger="1">
        <n v="1.0"/>
        <n v="2.0"/>
        <n v="5.0"/>
        <n v="3.0"/>
        <n v="4.0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987" sheet="delivery time analysis"/>
  </cacheSource>
  <cacheFields>
    <cacheField name="delivery_id" numFmtId="0">
      <sharedItems>
        <s v="d351sj64"/>
        <s v="d8386m83"/>
        <s v="d7740w54"/>
        <s v="d542bt15"/>
        <s v="d327dk59"/>
        <s v="d776lv44"/>
        <s v="d464as84"/>
        <s v="d715qm20"/>
        <s v="d444s321"/>
        <s v="d406qh87"/>
        <s v="d2271n35"/>
        <s v="d403wr57"/>
        <s v="d864a523"/>
        <s v="d440bj67"/>
        <s v="d381sw10"/>
        <s v="d958o483"/>
        <s v="d643vx65"/>
        <s v="d1369u62"/>
        <s v="d553me25"/>
        <s v="d0100i73"/>
        <s v="d970am30"/>
        <s v="d364nc61"/>
        <s v="d972tr93"/>
        <s v="d973lw24"/>
        <s v="d458ku87"/>
        <s v="d114fb08"/>
        <s v="d575a644"/>
        <s v="d521da19"/>
        <s v="d5944i27"/>
        <s v="d7581k20"/>
        <s v="d319qh12"/>
        <s v="d112w236"/>
        <s v="d269cv41"/>
        <s v="d222bu90"/>
        <s v="d2619555"/>
        <s v="d8011y21"/>
        <s v="d257ij65"/>
        <s v="d366k990"/>
        <s v="d8177950"/>
        <s v="d8000722"/>
        <s v="d311xp76"/>
        <s v="d630y262"/>
        <s v="d694tk29"/>
        <s v="d1427p51"/>
        <s v="d189b819"/>
        <s v="d1127t89"/>
        <s v="d259vr60"/>
        <s v="d751ws77"/>
        <s v="d765wu53"/>
        <s v="d572mw24"/>
        <s v="d269r157"/>
        <s v="d640or87"/>
        <s v="d117zr90"/>
        <s v="d498ym37"/>
        <s v="d0500795"/>
        <s v="d2793y09"/>
        <s v="d1692v11"/>
        <s v="d3544y15"/>
        <s v="d428rq28"/>
        <s v="d706xh23"/>
        <s v="d023kn10"/>
        <s v="d3299x21"/>
        <s v="d054lc39"/>
        <s v="d684r048"/>
        <s v="d5526v21"/>
        <s v="d2595q99"/>
        <s v="d4126y09"/>
        <s v="d637g605"/>
        <s v="d1585w80"/>
        <s v="d641ey71"/>
        <s v="d252zd35"/>
        <s v="d534qr73"/>
        <s v="d333dr06"/>
        <s v="d872ob52"/>
        <s v="d581cs29"/>
        <s v="d7343o59"/>
        <s v="d111in55"/>
        <s v="d3194r71"/>
        <s v="d8498175"/>
        <s v="d676r478"/>
        <s v="d6221d30"/>
        <s v="d668il17"/>
        <s v="d190xw40"/>
        <s v="d435k482"/>
        <s v="d674ke37"/>
        <s v="d8131d37"/>
        <s v="d666a168"/>
        <s v="d6131m70"/>
        <s v="d310id80"/>
        <s v="d033rv03"/>
        <s v="d7444b29"/>
        <s v="d943p807"/>
        <s v="d564i295"/>
        <s v="d649lu54"/>
        <s v="d5445y22"/>
        <s v="d7021k65"/>
        <s v="d151mh71"/>
        <s v="d219vp92"/>
        <s v="d491j050"/>
        <s v="d294w222"/>
        <s v="d275o074"/>
        <s v="d107hz52"/>
        <s v="d679ev16"/>
        <s v="d1607r54"/>
        <s v="d233ax06"/>
        <s v="d890fm94"/>
        <s v="d5403d96"/>
        <s v="d903af67"/>
        <s v="d778r615"/>
        <s v="d423yu27"/>
        <s v="d157fi72"/>
        <s v="d3501672"/>
        <s v="d515y192"/>
        <s v="d9928d17"/>
        <s v="d584lz61"/>
        <s v="d158up98"/>
        <s v="d564i419"/>
        <s v="d014rh96"/>
        <s v="d987p549"/>
        <s v="d175w493"/>
        <s v="d6694o36"/>
        <s v="d172xl65"/>
        <s v="d072er26"/>
        <s v="d210vf54"/>
        <s v="d054rc31"/>
        <s v="d299x451"/>
        <s v="d022qq33"/>
        <s v="d066a394"/>
        <s v="d356s256"/>
        <s v="d822oz95"/>
        <s v="d9767u72"/>
        <s v="d607bi27"/>
        <s v="d154nd35"/>
        <s v="d813js54"/>
        <s v="d221td17"/>
        <s v="d0347379"/>
        <s v="d2043a66"/>
        <s v="d6709a64"/>
        <s v="d535gv68"/>
        <s v="d319so27"/>
        <s v="d808t072"/>
        <s v="d714to22"/>
        <s v="d179l922"/>
        <s v="d473kv58"/>
        <s v="d260s282"/>
        <s v="d692ce16"/>
        <s v="d079h895"/>
        <s v="d608pa56"/>
        <s v="d206qt55"/>
        <s v="d925bm58"/>
        <s v="d671rk89"/>
        <s v="d0731437"/>
        <s v="d6769j32"/>
        <s v="d084cn69"/>
        <s v="d2236887"/>
        <s v="d153bp29"/>
        <s v="d9902233"/>
        <s v="d7822t81"/>
        <s v="d866ww77"/>
        <s v="d587ri96"/>
        <s v="d898i980"/>
        <s v="d645i658"/>
        <s v="d893tt74"/>
        <s v="d4215327"/>
        <s v="d349rd67"/>
        <s v="d827z233"/>
        <s v="d842kn11"/>
        <s v="d518ta57"/>
        <s v="d3423990"/>
        <s v="d149qu01"/>
        <s v="d969j659"/>
        <s v="d526n265"/>
        <s v="d510kv01"/>
        <s v="d354li33"/>
        <s v="d860sq91"/>
        <s v="d993wd31"/>
        <s v="d069v306"/>
        <s v="d3082v86"/>
        <s v="d919w224"/>
        <s v="d724u312"/>
        <s v="d3914e70"/>
        <s v="d2675v44"/>
        <s v="d6702x45"/>
        <s v="d880ku98"/>
        <s v="d991vw51"/>
        <s v="d573pe87"/>
        <s v="d354vc87"/>
        <s v="d739sp76"/>
        <s v="d445f415"/>
        <s v="d5687k01"/>
        <s v="d226fy20"/>
        <s v="d833lq90"/>
        <s v="d117u677"/>
        <s v="d787mz18"/>
        <s v="d2411q33"/>
        <s v="d5865r57"/>
        <s v="d666uc25"/>
        <s v="d660cc55"/>
        <s v="d158a229"/>
        <s v="d857tv33"/>
        <s v="d844pa71"/>
        <s v="d394ky44"/>
        <s v="d0117314"/>
        <s v="d4588561"/>
        <s v="d0010t69"/>
        <s v="d0275w24"/>
        <s v="d586ds39"/>
        <s v="d7347k36"/>
        <s v="d0356428"/>
        <s v="d937ie33"/>
        <s v="d650bf04"/>
        <s v="d305fy12"/>
        <s v="d337lh25"/>
        <s v="d511ss07"/>
        <s v="d076u065"/>
        <s v="d253c303"/>
        <s v="d3975696"/>
        <s v="d533p676"/>
        <s v="d485yg71"/>
        <s v="d742us85"/>
        <s v="d611yp63"/>
        <s v="d315ku74"/>
        <s v="d629p289"/>
        <s v="d4328848"/>
        <s v="d887fv52"/>
        <s v="d598gl34"/>
        <s v="d912c898"/>
        <s v="d4159i58"/>
        <s v="d050tk76"/>
        <s v="d251dp64"/>
        <s v="d201m269"/>
        <s v="d566pw96"/>
        <s v="d681g554"/>
        <s v="d543wm48"/>
        <s v="d105bm42"/>
        <s v="d599cc91"/>
        <s v="d625kb31"/>
        <s v="d659j927"/>
        <s v="d1591u44"/>
        <s v="d9200o01"/>
        <s v="d580yc07"/>
        <s v="d1879595"/>
        <s v="d356l280"/>
        <s v="d6650387"/>
        <s v="d403n205"/>
        <s v="d2215n86"/>
        <s v="d2933747"/>
        <s v="d948m761"/>
        <s v="d682tm90"/>
        <s v="d3700130"/>
        <s v="d691ut25"/>
        <s v="d3224a46"/>
        <s v="d013k260"/>
        <s v="d687br81"/>
        <s v="d6852w93"/>
        <s v="d700gd18"/>
        <s v="d508q175"/>
        <s v="d534s510"/>
        <s v="d8952e62"/>
        <s v="d512vy53"/>
        <s v="d170o214"/>
        <s v="d345ob53"/>
        <s v="d546g842"/>
        <s v="d281zv61"/>
        <s v="d328ju79"/>
        <s v="d120vo48"/>
        <s v="d910qq19"/>
        <s v="d151ak81"/>
        <s v="d795xp80"/>
        <s v="d622mp03"/>
        <s v="d468pw59"/>
        <s v="d267qx46"/>
        <s v="d5505g16"/>
        <s v="d400l761"/>
        <s v="d418t350"/>
        <s v="d659q645"/>
        <s v="d418x101"/>
        <s v="d393rl49"/>
        <s v="d988bx14"/>
        <s v="d9605s75"/>
        <s v="d6481l60"/>
        <s v="d766fy46"/>
        <s v="d355er74"/>
        <s v="d200mz36"/>
        <s v="d096lr77"/>
        <s v="d392lh84"/>
        <s v="d543d408"/>
        <s v="d102kg64"/>
        <s v="d809r804"/>
        <s v="d583lb60"/>
        <s v="d7680d03"/>
        <s v="d8805d97"/>
        <s v="d4311e62"/>
        <s v="d3047654"/>
        <s v="d7140g19"/>
        <s v="d578aq66"/>
        <s v="d549ja76"/>
        <s v="d261wc96"/>
        <s v="d433ey12"/>
        <s v="d0741d55"/>
        <s v="d548qh09"/>
        <s v="d450tm18"/>
        <s v="d4192s69"/>
        <s v="d611xq07"/>
        <s v="d211bp33"/>
        <s v="d213l258"/>
        <s v="d824w027"/>
        <s v="d109o390"/>
        <s v="d483tr92"/>
        <s v="d889ue72"/>
        <s v="d829e872"/>
        <s v="d4068o85"/>
        <s v="d010u317"/>
        <s v="d010y704"/>
        <s v="d0033x26"/>
        <s v="d346ye16"/>
        <s v="d871fs17"/>
        <s v="d2969k58"/>
        <s v="d2294p12"/>
        <s v="d0268895"/>
        <s v="d610h017"/>
        <s v="d299jo83"/>
        <s v="d421uy64"/>
        <s v="d7994i83"/>
        <s v="d8736z92"/>
        <s v="d048sn17"/>
        <s v="d6850r02"/>
        <s v="d163zi49"/>
        <s v="d4717831"/>
        <s v="d627o372"/>
        <s v="d295w251"/>
        <s v="d422b944"/>
        <s v="d427v958"/>
        <s v="d791cc84"/>
        <s v="d8191i60"/>
        <s v="d9608s89"/>
        <s v="d601gq89"/>
        <s v="d6547p30"/>
        <s v="d188vz63"/>
        <s v="d993uj58"/>
        <s v="d3391w38"/>
        <s v="d9253y31"/>
        <s v="d420ap07"/>
        <s v="d500ex96"/>
        <s v="d879xp25"/>
        <s v="d5464s36"/>
        <s v="d827rn78"/>
        <s v="d2445645"/>
        <s v="d759cz90"/>
        <s v="d6997g71"/>
        <s v="d296oh36"/>
        <s v="d890xp32"/>
        <s v="d087ri20"/>
        <s v="d685v091"/>
        <s v="d214ta20"/>
        <s v="d6864c05"/>
        <s v="d412j412"/>
        <s v="d480he69"/>
        <s v="d828tk13"/>
        <s v="d1708s54"/>
        <s v="d337gd04"/>
        <s v="d5713s76"/>
        <s v="d431gg05"/>
        <s v="d676g308"/>
        <s v="d085km74"/>
        <s v="d743el93"/>
        <s v="d009c505"/>
        <s v="d3902j35"/>
        <s v="d322yp36"/>
        <s v="d312at02"/>
        <s v="d9869q80"/>
        <s v="d2519354"/>
        <s v="d9559688"/>
        <s v="d859zx83"/>
        <s v="d215ho44"/>
        <s v="d4428v35"/>
        <s v="d495zw97"/>
        <s v="d409ue80"/>
        <s v="d4517564"/>
        <s v="d0106u70"/>
        <s v="d955og80"/>
        <s v="d8142j14"/>
        <s v="d507lv12"/>
        <s v="d660lb58"/>
        <s v="d500ow78"/>
        <s v="d100ro41"/>
        <s v="d884bu13"/>
        <s v="d496d256"/>
        <s v="d2749661"/>
        <s v="d2122v49"/>
        <s v="d431vc28"/>
        <s v="d7566v62"/>
        <s v="d923kn26"/>
        <s v="d170xf80"/>
        <s v="d559nz11"/>
        <s v="d739xk67"/>
        <s v="d555pp52"/>
        <s v="d6638z54"/>
        <s v="d929gg88"/>
        <s v="d1151577"/>
        <s v="d3636137"/>
        <s v="d1911322"/>
        <s v="d952te28"/>
        <s v="d2018q81"/>
        <s v="d228d083"/>
        <s v="d3440n00"/>
        <s v="d986to03"/>
        <s v="d8334155"/>
        <s v="d3121264"/>
        <s v="d537b376"/>
        <s v="d978xv62"/>
        <s v="d147q172"/>
        <s v="d867h078"/>
        <s v="d005x510"/>
        <s v="d044ds11"/>
        <s v="d2545j60"/>
        <s v="d733ae05"/>
        <s v="d946wd29"/>
        <s v="d768t808"/>
        <s v="d837iq07"/>
        <s v="d2507889"/>
        <s v="d489b328"/>
        <s v="d124qb71"/>
        <s v="d0574h92"/>
        <s v="d848i956"/>
        <s v="d3195976"/>
        <s v="d452qy77"/>
        <s v="d147ub90"/>
        <s v="d915pn61"/>
        <s v="d2170e30"/>
        <s v="d019vu70"/>
        <s v="d564jk06"/>
        <s v="d5071512"/>
        <s v="d4022743"/>
        <s v="d367os77"/>
        <s v="d687yz84"/>
        <s v="d418xa17"/>
        <s v="d651d585"/>
        <s v="d028ci04"/>
        <s v="d397zb27"/>
        <s v="d747y472"/>
        <s v="d671nj28"/>
        <s v="d6742t89"/>
        <s v="d699lu65"/>
        <s v="d868m446"/>
        <s v="d751dt21"/>
        <s v="d115ji16"/>
        <s v="d936fw34"/>
        <s v="d8499w21"/>
        <s v="d1047k76"/>
        <s v="d685ni96"/>
        <s v="d4624m80"/>
        <s v="d5851y86"/>
        <s v="d397w127"/>
        <s v="d690lr62"/>
        <s v="d9856y63"/>
        <s v="d628l761"/>
        <s v="d6215c47"/>
        <s v="d083rq59"/>
        <s v="d2445b92"/>
        <s v="d119f121"/>
        <s v="d585my42"/>
        <s v="d611up11"/>
        <s v="d9451a40"/>
        <s v="d7192620"/>
        <s v="d961p644"/>
        <s v="d131im20"/>
        <s v="d902ty08"/>
        <s v="d9723g23"/>
        <s v="d129ai78"/>
        <s v="d2158x89"/>
        <s v="d938fb88"/>
        <s v="d5455v71"/>
        <s v="d069a675"/>
        <s v="d341et51"/>
        <s v="d596of29"/>
        <s v="d638tf44"/>
        <s v="d743vg53"/>
        <s v="d442mh87"/>
        <s v="d7709r69"/>
        <s v="d654mf76"/>
        <s v="d4673u32"/>
        <s v="d537ia07"/>
        <s v="d719de86"/>
        <s v="d6901v25"/>
        <s v="d300zu11"/>
        <s v="d292oz41"/>
        <s v="d419v483"/>
        <s v="d300mk52"/>
        <s v="d555dm10"/>
        <s v="d207iq58"/>
        <s v="d906yh41"/>
        <s v="d272qf55"/>
        <s v="d181n140"/>
        <s v="d420s045"/>
        <s v="d033fm24"/>
        <s v="d185xy81"/>
        <s v="d643fn11"/>
        <s v="d158rf59"/>
        <s v="d321n044"/>
        <s v="d006as84"/>
        <s v="d815zl25"/>
        <s v="d9518867"/>
        <s v="d334ic95"/>
        <s v="d822pa86"/>
        <s v="d0712d03"/>
        <s v="d676v164"/>
        <s v="d046tp00"/>
        <s v="d685qg88"/>
        <s v="d698xo87"/>
        <s v="d935y596"/>
        <s v="d461me39"/>
        <s v="d165se63"/>
        <s v="d160ys70"/>
        <s v="d1066u70"/>
        <s v="d691em43"/>
        <s v="d655g108"/>
        <s v="d235rd55"/>
        <s v="d382ii73"/>
        <s v="d203wh43"/>
        <s v="d906ot38"/>
        <s v="d625dq59"/>
        <s v="d013bo31"/>
        <s v="d842ex99"/>
        <s v="d208yi02"/>
        <s v="d491kj45"/>
        <s v="d458ig79"/>
        <s v="d608s936"/>
        <s v="d168ll99"/>
        <s v="d9540s61"/>
        <s v="d047o714"/>
        <s v="d485mz47"/>
        <s v="d760vh01"/>
        <s v="d3437605"/>
        <s v="d4750p19"/>
        <s v="d6107k39"/>
        <s v="d897le37"/>
        <s v="d535qz23"/>
        <s v="d062i955"/>
        <s v="d266dk57"/>
        <s v="d989nm27"/>
        <s v="d289f809"/>
        <s v="d176gg39"/>
        <s v="d036ax89"/>
        <s v="d688f744"/>
        <s v="d321ce08"/>
        <s v="d767go33"/>
        <s v="d953of18"/>
        <s v="d425k873"/>
        <s v="d812ab32"/>
        <s v="d159jh16"/>
        <s v="d538uh82"/>
        <s v="d5028043"/>
        <s v="d132lw49"/>
        <s v="d6091p98"/>
        <s v="d116ws31"/>
        <s v="d4364b02"/>
        <s v="d153h436"/>
        <s v="d577ed61"/>
        <s v="d990b268"/>
        <s v="d5433t92"/>
        <s v="d8824m48"/>
        <s v="d352gg78"/>
        <s v="d5463d88"/>
        <s v="d915o729"/>
        <s v="d742m856"/>
        <s v="d795d562"/>
        <s v="d715hb95"/>
        <s v="d5889944"/>
        <s v="d7958q25"/>
        <s v="d669yv62"/>
        <s v="d3029m12"/>
        <s v="d051cw29"/>
        <s v="d747sv62"/>
        <s v="d278x895"/>
        <s v="d801zo43"/>
        <s v="d6567308"/>
        <s v="d5610r99"/>
        <s v="d5748943"/>
        <s v="d861aj49"/>
        <s v="d003bl19"/>
        <s v="d772vo17"/>
        <s v="d527aw62"/>
        <s v="d994lc00"/>
        <s v="d126j800"/>
        <s v="d3199q86"/>
        <s v="d988s547"/>
        <s v="d952vc64"/>
        <s v="d006b058"/>
        <s v="d6360792"/>
        <s v="d274pb24"/>
        <s v="d4123h93"/>
        <s v="d854n850"/>
        <s v="d271ra24"/>
        <s v="d795qt18"/>
        <s v="d221ul90"/>
        <s v="d072kr34"/>
        <s v="d882ce51"/>
        <s v="d205nq70"/>
        <s v="d0083979"/>
        <s v="d6279n92"/>
        <s v="d1004l35"/>
        <s v="d908vg18"/>
        <s v="d860ly66"/>
        <s v="d7450190"/>
        <s v="d750kr76"/>
        <s v="d6219r46"/>
        <s v="d957cq65"/>
        <s v="d870em53"/>
        <s v="d566en75"/>
        <s v="d498e431"/>
        <s v="d995aa82"/>
        <s v="d6306r54"/>
        <s v="d001x238"/>
        <s v="d552ph64"/>
        <s v="d7376f03"/>
        <s v="d301gk56"/>
        <s v="d092xm96"/>
        <s v="d072ud11"/>
        <s v="d5521y10"/>
        <s v="d004cl27"/>
        <s v="d2999f02"/>
        <s v="d166gf40"/>
        <s v="d620vw69"/>
        <s v="d527ix79"/>
        <s v="d466ea62"/>
        <s v="d441qt81"/>
        <s v="d744wc42"/>
        <s v="d939d161"/>
        <s v="d2905l65"/>
        <s v="d284iq25"/>
        <s v="d5836t16"/>
        <s v="d093h651"/>
        <s v="d509nk93"/>
        <s v="d396l099"/>
        <s v="d0180082"/>
        <s v="d788fw23"/>
        <s v="d973d532"/>
        <s v="d554xt29"/>
        <s v="d4073215"/>
        <s v="d581du64"/>
        <s v="d661n169"/>
        <s v="d094cm40"/>
        <s v="d563ks76"/>
        <s v="d312ns73"/>
        <s v="d402em68"/>
        <s v="d039zh03"/>
        <s v="d198xy36"/>
        <s v="d113v975"/>
        <s v="d643r272"/>
        <s v="d625qu22"/>
        <s v="d521zv60"/>
        <s v="d991gn22"/>
        <s v="d3582x49"/>
        <s v="d192ud61"/>
        <s v="d670z267"/>
        <s v="d0043l41"/>
        <s v="d972bn17"/>
        <s v="d284uw55"/>
        <s v="d411jc57"/>
        <s v="d594ry90"/>
        <s v="d984w127"/>
        <s v="d258o895"/>
        <s v="d5979s18"/>
        <s v="d963z704"/>
        <s v="d858h796"/>
        <s v="d8874o89"/>
        <s v="d859h630"/>
        <s v="d5173k22"/>
        <s v="d734zz15"/>
        <s v="d504nt92"/>
        <s v="d3412b53"/>
        <s v="d780o460"/>
        <s v="d467sh65"/>
        <s v="d047im29"/>
        <s v="d396hz26"/>
        <s v="d304o466"/>
        <s v="d8192a35"/>
        <s v="d6863899"/>
        <s v="d590wa90"/>
        <s v="d784ki88"/>
        <s v="d6881y66"/>
        <s v="d477zf73"/>
        <s v="d637b349"/>
        <s v="d884d015"/>
        <s v="d1140j30"/>
        <s v="d781so03"/>
        <s v="d379fe65"/>
        <s v="d8930249"/>
        <s v="d749q676"/>
        <s v="d3050443"/>
        <s v="d897db92"/>
        <s v="d293r110"/>
        <s v="d474d034"/>
        <s v="d340z078"/>
        <s v="d051mt87"/>
        <s v="d449wj34"/>
        <s v="d1260w91"/>
        <s v="d103pt16"/>
        <s v="d080e016"/>
        <s v="d410cy92"/>
        <s v="d437ek63"/>
        <s v="d735og31"/>
        <s v="d879rf13"/>
        <s v="d409d161"/>
        <s v="d065fx39"/>
        <s v="d863s333"/>
        <s v="d986l839"/>
        <s v="d2276p10"/>
        <s v="d5578k64"/>
        <s v="d8369n05"/>
        <s v="d7837s30"/>
        <s v="d529u337"/>
        <s v="d553zk95"/>
        <s v="d156s740"/>
        <s v="d310zv35"/>
        <s v="d007yc21"/>
        <s v="d662w378"/>
        <s v="d5042i47"/>
        <s v="d738dk36"/>
        <s v="d157ad24"/>
        <s v="d241oe25"/>
        <s v="d800yv31"/>
        <s v="d474pk88"/>
        <s v="d064mx64"/>
        <s v="d389yp57"/>
        <s v="d0548s96"/>
        <s v="d166a457"/>
        <s v="d764uo06"/>
        <s v="d503km90"/>
        <s v="d4581513"/>
        <s v="d311mh74"/>
        <s v="d9678m96"/>
        <s v="d7735b59"/>
        <s v="d3235n00"/>
        <s v="d966wu18"/>
        <s v="d4168u08"/>
        <s v="d357pj38"/>
        <s v="d381ja21"/>
        <s v="d997m694"/>
        <s v="d018wu02"/>
        <s v="d143pk40"/>
        <s v="d9081600"/>
        <s v="d037xi19"/>
        <s v="d895pg04"/>
        <s v="d744xx64"/>
        <s v="d2724d94"/>
        <s v="d3181e46"/>
        <s v="d457qh60"/>
        <s v="d319gm53"/>
        <s v="d237jd04"/>
        <s v="d369qn02"/>
        <s v="d5038p42"/>
        <s v="d030o029"/>
        <s v="d360lf55"/>
        <s v="d824dt41"/>
        <s v="d1534w11"/>
        <s v="d819dm86"/>
        <s v="d147g817"/>
        <s v="d2640914"/>
        <s v="d780gv03"/>
        <s v="d396c694"/>
        <s v="d9254z68"/>
        <s v="d096ia65"/>
        <s v="d364he35"/>
        <s v="d912k531"/>
        <s v="d672mz09"/>
        <s v="d994cc10"/>
        <s v="d5451e99"/>
        <s v="d512uf06"/>
        <s v="d133wy34"/>
        <s v="d6376d92"/>
        <s v="d6102l95"/>
        <s v="d983os43"/>
        <s v="d660yz52"/>
        <s v="d7342t21"/>
        <s v="d768pl34"/>
        <s v="d3115w31"/>
        <s v="d1220d03"/>
        <s v="d789x167"/>
        <s v="d126ql37"/>
        <s v="d7969047"/>
        <s v="d107gy49"/>
        <s v="d316r634"/>
        <s v="d4227f44"/>
        <s v="d3852x96"/>
        <s v="d6758p20"/>
        <s v="d629nq42"/>
        <s v="d809jt85"/>
        <s v="d043uq27"/>
        <s v="d322t264"/>
        <s v="d922cx24"/>
        <s v="d0714261"/>
        <s v="d3428z67"/>
        <s v="d922zp98"/>
        <s v="d376yp75"/>
        <s v="d294vd10"/>
        <s v="d025eq60"/>
        <s v="d103nc17"/>
        <s v="d626h453"/>
        <s v="d5593w23"/>
        <s v="d783ss50"/>
        <s v="d316vb78"/>
        <s v="d2036c32"/>
        <s v="d3905w99"/>
        <s v="d150r325"/>
        <s v="d236kb22"/>
        <s v="d973fk82"/>
        <s v="d1360q86"/>
        <s v="d041ij35"/>
        <s v="d7816n93"/>
        <s v="d914y124"/>
        <s v="d0994252"/>
        <s v="d5034889"/>
        <s v="d761cu18"/>
        <s v="d860x542"/>
        <s v="d011bs65"/>
        <s v="d4745y84"/>
        <s v="d296ou17"/>
        <s v="d003gd66"/>
        <s v="d028oz58"/>
        <s v="d2961e27"/>
        <s v="d752oi35"/>
        <s v="d424jy55"/>
        <s v="d333ml80"/>
        <s v="d597pg45"/>
        <s v="d7182087"/>
        <s v="d621jy47"/>
        <s v="d888qu71"/>
        <s v="d9860b25"/>
        <s v="d376fg86"/>
        <s v="d200t022"/>
        <s v="d858ti23"/>
        <s v="d8259d37"/>
        <s v="d296j021"/>
        <s v="d058s006"/>
        <s v="d472v747"/>
        <s v="d680q456"/>
        <s v="d1154r91"/>
        <s v="d180lz50"/>
        <s v="d002wi01"/>
        <s v="d402vk52"/>
        <s v="d5122552"/>
        <s v="d213w259"/>
        <s v="d8389768"/>
        <s v="d578xz17"/>
        <s v="d371c512"/>
        <s v="d401zx26"/>
        <s v="d988l829"/>
        <s v="d515uw59"/>
        <s v="d242jp32"/>
        <s v="d438k637"/>
        <s v="d830w212"/>
        <s v="d4450283"/>
        <s v="d498tr19"/>
        <s v="d021k493"/>
        <s v="d0607x36"/>
        <s v="d147d513"/>
        <s v="d348rm61"/>
        <s v="d1436z43"/>
        <s v="d886c015"/>
        <s v="d1867k59"/>
        <s v="d995wt88"/>
        <s v="d6014590"/>
        <s v="d1213590"/>
        <s v="d779gi38"/>
        <s v="d266gz35"/>
        <s v="d1116k90"/>
        <s v="d700a260"/>
        <s v="d381a927"/>
        <s v="d916hc63"/>
        <s v="d104tu05"/>
        <s v="d6286i40"/>
        <s v="d9648198"/>
        <s v="d496i751"/>
        <s v="d332y741"/>
        <s v="d078nv45"/>
        <s v="d634oh87"/>
        <s v="d851oc64"/>
        <s v="d544wj43"/>
        <s v="d238fe90"/>
        <s v="d766s173"/>
        <s v="d5756i66"/>
        <s v="d8325g39"/>
        <s v="d6985w97"/>
        <s v="d4295m92"/>
        <s v="d047h688"/>
        <s v="d344cl86"/>
        <s v="d726zq25"/>
        <s v="d5134947"/>
        <s v="d7951g84"/>
        <s v="d749yr87"/>
        <s v="d429v314"/>
        <s v="d942fy84"/>
        <s v="d828jy63"/>
        <s v="d537qn68"/>
        <s v="d283ty84"/>
        <s v="d574tm80"/>
        <s v="d366l228"/>
        <s v="d527e525"/>
        <s v="d789ld63"/>
        <s v="d7619906"/>
        <s v="d4797421"/>
        <s v="d750nx02"/>
        <s v="d652bb30"/>
        <s v="d603kb83"/>
        <s v="d794bb28"/>
        <s v="d5247h04"/>
        <s v="d9637w07"/>
        <s v="d064uo21"/>
        <s v="d324q165"/>
        <s v="d366dk29"/>
        <s v="d858ir05"/>
        <s v="d8045563"/>
        <s v="d877sr48"/>
        <s v="d024z992"/>
        <s v="d495ny56"/>
        <s v="d241li62"/>
        <s v="d213c655"/>
        <s v="d0475j39"/>
        <s v="d919q144"/>
        <s v="d324nq26"/>
        <s v="d1946c79"/>
        <s v="d416pu83"/>
        <s v="d640wu39"/>
        <s v="d949p040"/>
        <s v="d432b834"/>
        <s v="d388bm13"/>
        <s v="d663yf22"/>
        <s v="d071fm87"/>
        <s v="d1734l26"/>
        <s v="d643oc11"/>
        <s v="d213ei22"/>
        <s v="d528xj05"/>
        <s v="d133gd12"/>
        <s v="d552t557"/>
        <s v="d785pl98"/>
        <s v="d978tm46"/>
        <s v="d799nm62"/>
        <s v="d529mo74"/>
        <s v="d049mf94"/>
        <s v="d134vb81"/>
        <s v="d253i063"/>
        <s v="d2992v19"/>
        <s v="d504fu44"/>
        <s v="d0640751"/>
        <s v="d867bj72"/>
        <s v="d5251f11"/>
        <s v="d196f713"/>
        <s v="d158sw90"/>
        <s v="d703l753"/>
        <s v="d7898s50"/>
        <s v="d348ql95"/>
        <s v="d804t115"/>
        <s v="d1993t40"/>
        <s v="d377s752"/>
        <s v="d352z597"/>
        <s v="d9483l43"/>
        <s v="d754ij84"/>
        <s v="d000lp74"/>
        <s v="d423ev20"/>
        <s v="d057eo54"/>
        <s v="d386c122"/>
        <s v="d3661l77"/>
        <s v="d8354l17"/>
        <s v="d8725u96"/>
        <s v="d0751922"/>
        <s v="d2643l31"/>
        <s v="d033ug08"/>
        <s v="d104lw09"/>
        <s v="d018rn76"/>
        <s v="d2150e33"/>
        <s v="d496yk40"/>
        <s v="d101db60"/>
        <s v="d4320895"/>
        <s v="d929sg83"/>
        <s v="d775a349"/>
        <s v="d659mo61"/>
        <s v="d3107o77"/>
        <s v="d283cn80"/>
        <s v="d203p733"/>
        <s v="d249a341"/>
        <s v="d037ri54"/>
        <s v="d7589t56"/>
        <s v="d278b176"/>
        <s v="d473mi30"/>
      </sharedItems>
    </cacheField>
    <cacheField name="delivery_start" numFmtId="165">
      <sharedItems containsSemiMixedTypes="0" containsDate="1" containsString="0"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6-30T00:00:00Z"/>
      </sharedItems>
    </cacheField>
    <cacheField name="delivery_end" numFmtId="165">
      <sharedItems containsSemiMixedTypes="0" containsDate="1" containsString="0">
        <d v="2023-06-02T00:00:00Z"/>
        <d v="2023-06-03T00:00:00Z"/>
        <d v="2023-06-06T00:00:00Z"/>
        <d v="2023-06-04T00:00:00Z"/>
        <d v="2023-06-05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6-29T00:00:00Z"/>
        <d v="2023-07-01T00:00:00Z"/>
        <d v="2023-06-30T00:00:00Z"/>
        <d v="2023-07-02T00:00:00Z"/>
        <d v="2023-07-03T00:00:00Z"/>
        <d v="2023-07-04T00:00:00Z"/>
        <d v="2023-07-05T00:00:00Z"/>
      </sharedItems>
    </cacheField>
    <cacheField name="delivery_distance(KM)" numFmtId="0">
      <sharedItems containsSemiMixedTypes="0" containsString="0" containsNumber="1" containsInteger="1">
        <n v="5.0"/>
        <n v="15.0"/>
        <n v="8.0"/>
        <n v="4.0"/>
        <n v="60.0"/>
        <n v="7.0"/>
        <n v="17.0"/>
        <n v="36.0"/>
        <n v="1.0"/>
        <n v="3.0"/>
        <n v="76.0"/>
        <n v="21.0"/>
        <n v="61.0"/>
        <n v="6.0"/>
        <n v="33.0"/>
        <n v="11.0"/>
        <n v="2.0"/>
        <n v="13.0"/>
        <n v="14.0"/>
        <n v="9.0"/>
        <n v="10.0"/>
        <n v="56.0"/>
        <n v="19.0"/>
        <n v="49.0"/>
        <n v="65.0"/>
        <n v="38.0"/>
        <n v="39.0"/>
        <n v="22.0"/>
        <n v="34.0"/>
        <n v="48.0"/>
        <n v="28.0"/>
        <n v="29.0"/>
        <n v="20.0"/>
        <n v="16.0"/>
        <n v="18.0"/>
        <n v="12.0"/>
        <n v="35.0"/>
        <n v="43.0"/>
        <n v="58.0"/>
        <n v="24.0"/>
        <n v="77.0"/>
        <n v="73.0"/>
        <n v="59.0"/>
        <n v="70.0"/>
        <n v="63.0"/>
        <n v="72.0"/>
        <n v="25.0"/>
        <n v="27.0"/>
        <n v="41.0"/>
        <n v="78.0"/>
        <n v="54.0"/>
        <n v="64.0"/>
      </sharedItems>
    </cacheField>
    <cacheField name="delivery_weight" numFmtId="0">
      <sharedItems containsSemiMixedTypes="0" containsString="0" containsNumber="1" containsInteger="1">
        <n v="3.0"/>
        <n v="4.0"/>
        <n v="2.0"/>
        <n v="24.0"/>
        <n v="10.0"/>
        <n v="17.0"/>
        <n v="1.0"/>
        <n v="20.0"/>
        <n v="12.0"/>
        <n v="22.0"/>
        <n v="18.0"/>
        <n v="9.0"/>
        <n v="8.0"/>
        <n v="6.0"/>
        <n v="7.0"/>
        <n v="5.0"/>
        <n v="15.0"/>
        <n v="19.0"/>
        <n v="11.0"/>
        <n v="26.0"/>
        <n v="16.0"/>
        <n v="27.0"/>
        <n v="14.0"/>
        <n v="21.0"/>
        <n v="13.0"/>
      </sharedItems>
    </cacheField>
    <cacheField name="delivery_time" numFmtId="0">
      <sharedItems containsSemiMixedTypes="0" containsString="0" containsNumber="1" containsInteger="1">
        <n v="1.0"/>
        <n v="2.0"/>
        <n v="5.0"/>
        <n v="3.0"/>
        <n v="4.0"/>
      </sharedItems>
    </cacheField>
    <cacheField name="driver_id" numFmtId="49">
      <sharedItems>
        <s v="d7558x82"/>
        <s v="d234da52"/>
        <s v="d293in45"/>
        <s v="d636kh58"/>
        <s v="d064jh48"/>
        <s v="d263cc82"/>
        <s v="d682x946"/>
        <s v="d662l393"/>
        <s v="d9728z69"/>
        <s v="d8601561"/>
        <s v="d506ki34"/>
        <s v="d9198x07"/>
        <s v="d796l251"/>
        <s v="d689vb78"/>
        <s v="d532pn52"/>
        <s v="d963f392"/>
        <s v="d156xg46"/>
        <s v="d833of33"/>
        <s v="d874jz12"/>
        <s v="d244zx70"/>
        <s v="d418sm33"/>
        <s v="d696vl45"/>
        <s v="d9977s49"/>
        <s v="d332xt54"/>
        <s v="d0095x63"/>
        <s v="d232di22"/>
        <s v="d173jf22"/>
        <s v="d5863k83"/>
        <s v="d630cs24"/>
        <s v="d790ei04"/>
        <s v="d961zz31"/>
        <s v="d381in69"/>
        <s v="d371yu31"/>
        <s v="d4323027"/>
        <s v="d669p400"/>
        <s v="d095ns79"/>
        <s v="d000dc28"/>
        <s v="d3582w57"/>
        <s v="d119yw24"/>
        <s v="d637ww68"/>
        <s v="d298zv28"/>
        <s v="d685rx07"/>
        <s v="d058da71"/>
      </sharedItems>
    </cacheField>
    <cacheField name="vehicle_type" numFmtId="0">
      <sharedItems>
        <s v="Bike"/>
        <s v="Van"/>
        <s v="Truck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elivery status &amp; cost analysis" cacheId="0" dataCaption="" compact="0" compactData="0">
  <location ref="A2:C5" firstHeaderRow="0" firstDataRow="2" firstDataCol="0"/>
  <pivotFields>
    <pivotField name="deliver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delivery_star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elivery_en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delivery_status" axis="axisRow" compact="0" outline="0" multipleItemSelectionAllowed="1" showAll="0" sortType="ascending">
      <items>
        <item x="0"/>
        <item x="1"/>
        <item t="default"/>
      </items>
    </pivotField>
    <pivotField name="delivery_rating" compact="0" outline="0" multipleItemSelectionAllowed="1" showAll="0">
      <items>
        <item x="0"/>
        <item x="1"/>
        <item x="2"/>
        <item x="3"/>
        <item t="default"/>
      </items>
    </pivotField>
    <pivotField name="cus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t="default"/>
      </items>
    </pivotField>
    <pivotField name="driver_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6"/>
  </rowFields>
  <colFields>
    <field x="-2"/>
  </colFields>
  <dataFields>
    <dataField name="Total" fld="0" subtotal="count" baseField="0"/>
    <dataField name="Percentage" fld="0" subtotal="count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driver performance analysis" cacheId="2" dataCaption="" rowGrandTotals="0" compact="0" compactData="0">
  <location ref="B3:C9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axis="axisPage" dataField="1" compact="0" outline="0" multipleItemSelectionAllowed="1" showAll="0">
      <items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0"/>
  </rowFields>
  <pageFields>
    <pageField fld="1"/>
  </pageFields>
  <dataFields>
    <dataField name="total deliveries" fld="1" baseField="0"/>
  </dataFields>
</pivotTableDefinition>
</file>

<file path=xl/pivotTables/pivotTable3.xml><?xml version="1.0" encoding="utf-8"?>
<pivotTableDefinition xmlns="http://schemas.openxmlformats.org/spreadsheetml/2006/main" name="driver performance analysis 2" cacheId="2" dataCaption="" rowGrandTotals="0" compact="0" compactData="0">
  <location ref="F3:G8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AVERAGE of delivery_rating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0"/>
  </rowFields>
  <pageFields>
    <pageField fld="2"/>
  </pageFields>
  <dataFields>
    <dataField name="average rating" fld="2" baseField="0"/>
  </dataFields>
</pivotTableDefinition>
</file>

<file path=xl/pivotTables/pivotTable4.xml><?xml version="1.0" encoding="utf-8"?>
<pivotTableDefinition xmlns="http://schemas.openxmlformats.org/spreadsheetml/2006/main" name="driver performance analysis 3" cacheId="3" dataCaption="" rowGrandTotals="0" compact="0" compactData="0">
  <location ref="J3:K8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IN of delivery_cost" compact="0" numFmtId="166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X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VERAGE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MEDIAN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UM of delivery_cost" axis="axisPage" dataField="1" compact="0" numFmtId="166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t="default"/>
      </items>
    </pivotField>
  </pivotFields>
  <rowFields>
    <field x="0"/>
  </rowFields>
  <pageFields>
    <pageField fld="5"/>
  </pageFields>
  <dataFields>
    <dataField name="total delivery_cost" fld="5" baseField="0"/>
  </dataFields>
</pivotTableDefinition>
</file>

<file path=xl/pivotTables/pivotTable5.xml><?xml version="1.0" encoding="utf-8"?>
<pivotTableDefinition xmlns="http://schemas.openxmlformats.org/spreadsheetml/2006/main" name="driver performance analysis 4" cacheId="4" dataCaption="" rowGrandTotals="0" compact="0" compactData="0">
  <location ref="B12:C17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IN of delivery_cost" compact="0" numFmtId="166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X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VERAGE of delivery_cost" axis="axisPage" dataField="1" compact="0" numFmtId="166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t="default"/>
      </items>
    </pivotField>
    <pivotField name="MEDIAN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pageFields>
    <pageField fld="3"/>
  </pageFields>
  <dataFields>
    <dataField name="average delivery_cost" fld="3" baseField="0"/>
  </dataFields>
</pivotTableDefinition>
</file>

<file path=xl/pivotTables/pivotTable6.xml><?xml version="1.0" encoding="utf-8"?>
<pivotTableDefinition xmlns="http://schemas.openxmlformats.org/spreadsheetml/2006/main" name="driver performance analysis 5" cacheId="2" dataCaption="" rowGrandTotals="0" compact="0" compactData="0">
  <location ref="F12:G17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SUM of delivery_weight" axis="axisPage" dataField="1" compact="0" outline="0" multipleItemSelectionAllowed="1" showAll="0">
      <items>
        <item x="0"/>
        <item h="1" x="1"/>
        <item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0"/>
  </rowFields>
  <pageFields>
    <pageField fld="3"/>
  </pageFields>
  <dataFields>
    <dataField name="total delivery_weight" fld="3" baseField="0"/>
  </dataFields>
</pivotTableDefinition>
</file>

<file path=xl/pivotTables/pivotTable7.xml><?xml version="1.0" encoding="utf-8"?>
<pivotTableDefinition xmlns="http://schemas.openxmlformats.org/spreadsheetml/2006/main" name="driver performance analysis 6" cacheId="2" dataCaption="" rowGrandTotals="0" compact="0" compactData="0">
  <location ref="J12:K17" firstHeaderRow="0" firstDataRow="1" firstDataCol="0" rowPageCount="1" colPageCount="1"/>
  <pivotFields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M of delivery_distance(KM)" axis="axisPage" dataField="1" compact="0" outline="0" multipleItemSelectionAllowed="1" showAll="0">
      <items>
        <item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x="38"/>
        <item h="1" x="39"/>
        <item x="40"/>
        <item h="1" x="41"/>
        <item t="default"/>
      </items>
    </pivotField>
  </pivotFields>
  <rowFields>
    <field x="0"/>
  </rowFields>
  <pageFields>
    <pageField fld="4"/>
  </pageFields>
  <dataFields>
    <dataField name="total delivery distance (KM)" fld="4" baseField="0"/>
  </dataFields>
</pivotTableDefinition>
</file>

<file path=xl/pivotTables/pivotTable8.xml><?xml version="1.0" encoding="utf-8"?>
<pivotTableDefinition xmlns="http://schemas.openxmlformats.org/spreadsheetml/2006/main" name="driver performance analysis 7" cacheId="5" dataCaption="" rowGrandTotals="0" compact="0" compactData="0">
  <location ref="B40:C45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x="17"/>
        <item x="18"/>
        <item x="19"/>
        <item h="1" x="20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0"/>
  </rowFields>
  <pageFields>
    <pageField fld="1"/>
  </pageFields>
  <dataFields>
    <dataField name="total deliveries" fld="1" baseField="0"/>
  </dataFields>
</pivotTableDefinition>
</file>

<file path=xl/pivotTables/pivotTable9.xml><?xml version="1.0" encoding="utf-8"?>
<pivotTableDefinition xmlns="http://schemas.openxmlformats.org/spreadsheetml/2006/main" name="driver performance analysis 8" cacheId="5" dataCaption="" rowGrandTotals="0" compact="0" compactData="0">
  <location ref="F40:G45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AVERAGE of delivery_rating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0"/>
  </rowFields>
  <pageFields>
    <pageField fld="2"/>
  </pageFields>
  <dataFields>
    <dataField name="average rating" fld="2" subtotal="average" baseField="0"/>
  </dataFields>
</pivotTableDefinition>
</file>

<file path=xl/pivotTables/pivotTable10.xml><?xml version="1.0" encoding="utf-8"?>
<pivotTableDefinition xmlns="http://schemas.openxmlformats.org/spreadsheetml/2006/main" name="driver performance analysis 9" cacheId="3" dataCaption="" rowGrandTotals="0" compact="0" compactData="0">
  <location ref="J40:K45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MIN of delivery_cost" compact="0" numFmtId="166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X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VERAGE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MEDIAN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UM of delivery_cost" axis="axisPage" dataField="1" compact="0" numFmtId="166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t="default"/>
      </items>
    </pivotField>
  </pivotFields>
  <rowFields>
    <field x="0"/>
  </rowFields>
  <pageFields>
    <pageField fld="5"/>
  </pageFields>
  <dataFields>
    <dataField name="total delivery_cost" fld="5" baseField="0"/>
  </dataFields>
</pivotTableDefinition>
</file>

<file path=xl/pivotTables/pivotTable11.xml><?xml version="1.0" encoding="utf-8"?>
<pivotTableDefinition xmlns="http://schemas.openxmlformats.org/spreadsheetml/2006/main" name="driver performance analysis 10" cacheId="3" dataCaption="" rowGrandTotals="0" compact="0" compactData="0">
  <location ref="B49:C54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MIN of delivery_cost" compact="0" numFmtId="166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X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AVERAGE of delivery_cost" axis="axisPage" dataField="1" compact="0" numFmtId="166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t="default"/>
      </items>
    </pivotField>
    <pivotField name="MEDIAN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UM of 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0"/>
  </rowFields>
  <pageFields>
    <pageField fld="3"/>
  </pageFields>
  <dataFields>
    <dataField name="average delivery_cost" fld="3" baseField="0"/>
  </dataFields>
</pivotTableDefinition>
</file>

<file path=xl/pivotTables/pivotTable12.xml><?xml version="1.0" encoding="utf-8"?>
<pivotTableDefinition xmlns="http://schemas.openxmlformats.org/spreadsheetml/2006/main" name="driver performance analysis 11" cacheId="2" dataCaption="" rowGrandTotals="0" compact="0" compactData="0">
  <location ref="F49:G56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SUM of delivery_weight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h="1" x="24"/>
        <item h="1" x="25"/>
        <item h="1" x="26"/>
        <item x="27"/>
        <item h="1" x="28"/>
        <item x="29"/>
        <item h="1" x="30"/>
        <item x="31"/>
        <item t="default"/>
      </items>
    </pivotField>
    <pivotField name="SUM of delivery_distance(K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>
    <field x="0"/>
  </rowFields>
  <pageFields>
    <pageField fld="3"/>
  </pageFields>
  <dataFields>
    <dataField name="total delivery_weight" fld="3" baseField="0"/>
  </dataFields>
</pivotTableDefinition>
</file>

<file path=xl/pivotTables/pivotTable13.xml><?xml version="1.0" encoding="utf-8"?>
<pivotTableDefinition xmlns="http://schemas.openxmlformats.org/spreadsheetml/2006/main" name="driver performance analysis 12" cacheId="5" dataCaption="" rowGrandTotals="0" compact="0" compactData="0">
  <location ref="J49:K54" firstHeaderRow="0" firstDataRow="1" firstDataCol="0" rowPageCount="1" colPageCount="1"/>
  <pivotFields>
    <pivotField name="driver_id" axis="axisRow" compact="0" numFmtId="49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UNTA of deliver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AVERAGE of delivery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UM of delivery_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UM of delivery_distance(KM)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x="31"/>
        <item h="1" x="32"/>
        <item h="1" x="33"/>
        <item x="34"/>
        <item h="1" x="35"/>
        <item h="1" x="36"/>
        <item x="37"/>
        <item h="1" x="38"/>
        <item x="39"/>
        <item h="1" x="40"/>
        <item x="41"/>
        <item h="1" x="42"/>
        <item t="default"/>
      </items>
    </pivotField>
  </pivotFields>
  <rowFields>
    <field x="0"/>
  </rowFields>
  <pageFields>
    <pageField fld="4"/>
  </pageFields>
  <dataFields>
    <dataField name="total delivery distance (KM)" fld="4" baseField="0"/>
  </dataFields>
</pivotTableDefinition>
</file>

<file path=xl/pivotTables/pivotTable14.xml><?xml version="1.0" encoding="utf-8"?>
<pivotTableDefinition xmlns="http://schemas.openxmlformats.org/spreadsheetml/2006/main" name="driver performance analysis 13" cacheId="1" dataCaption="" compact="0" compactData="0">
  <location ref="H120:L164" firstHeaderRow="0" firstDataRow="2" firstDataCol="0" rowPageCount="1" colPageCount="1"/>
  <pivotFields>
    <pivotField name="deliver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delivery_star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elivery_en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delivery_distance(K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delivery_we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livery_cost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delivery_status" axis="axisPage" compact="0" outline="0" multipleItemSelectionAllowed="1" showAll="0">
      <items>
        <item x="0"/>
        <item h="1" x="1"/>
        <item t="default"/>
      </items>
    </pivotField>
    <pivotField name="delivery_rating" dataField="1" compact="0" outline="0" multipleItemSelectionAllowed="1" showAll="0">
      <items>
        <item x="0"/>
        <item x="1"/>
        <item x="2"/>
        <item x="3"/>
        <item t="default"/>
      </items>
    </pivotField>
    <pivotField name="cus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t="default"/>
      </items>
    </pivotField>
    <pivotField name="driver_id" axis="axisRow" compact="0" numFmtId="49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9"/>
  </rowFields>
  <colFields>
    <field x="-2"/>
  </colFields>
  <pageFields>
    <pageField fld="6"/>
  </pageFields>
  <dataFields>
    <dataField name="COUNTA of delivery_id" fld="0" subtotal="count" baseField="0"/>
    <dataField name="AVERAGE of delivery_rating" fld="7" subtotal="average" baseField="0"/>
    <dataField name="SUM of delivery_weight" fld="4" baseField="0"/>
    <dataField name="SUM of delivery_distance(KM)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pivotTable" Target="../pivotTables/pivotTable12.xml"/><Relationship Id="rId10" Type="http://schemas.openxmlformats.org/officeDocument/2006/relationships/pivotTable" Target="../pivotTables/pivotTable11.xml"/><Relationship Id="rId13" Type="http://schemas.openxmlformats.org/officeDocument/2006/relationships/pivotTable" Target="../pivotTables/pivotTable14.xml"/><Relationship Id="rId12" Type="http://schemas.openxmlformats.org/officeDocument/2006/relationships/pivotTable" Target="../pivotTables/pivotTable13.xml"/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pivotTable" Target="../pivotTables/pivotTable4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Relationship Id="rId14" Type="http://schemas.openxmlformats.org/officeDocument/2006/relationships/drawing" Target="../drawings/drawing8.xml"/><Relationship Id="rId5" Type="http://schemas.openxmlformats.org/officeDocument/2006/relationships/pivotTable" Target="../pivotTables/pivotTable6.xml"/><Relationship Id="rId6" Type="http://schemas.openxmlformats.org/officeDocument/2006/relationships/pivotTable" Target="../pivotTables/pivotTable7.xml"/><Relationship Id="rId7" Type="http://schemas.openxmlformats.org/officeDocument/2006/relationships/pivotTable" Target="../pivotTables/pivotTable8.xml"/><Relationship Id="rId8" Type="http://schemas.openxmlformats.org/officeDocument/2006/relationships/pivotTable" Target="../pivotTables/pivot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88"/>
    <col customWidth="1" min="3" max="3" width="28.38"/>
    <col customWidth="1" min="4" max="4" width="17.5"/>
    <col customWidth="1" min="5" max="5" width="27.25"/>
    <col customWidth="1" min="6" max="6" width="9.7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4">
        <v>6.231164092654E12</v>
      </c>
      <c r="E2" s="3" t="s">
        <v>9</v>
      </c>
      <c r="F2" s="3">
        <v>40251.0</v>
      </c>
    </row>
    <row r="3" ht="14.25" customHeight="1">
      <c r="A3" s="3" t="s">
        <v>10</v>
      </c>
      <c r="B3" s="3" t="s">
        <v>11</v>
      </c>
      <c r="C3" s="3" t="s">
        <v>12</v>
      </c>
      <c r="D3" s="4">
        <v>6.291399253064E12</v>
      </c>
      <c r="E3" s="3" t="s">
        <v>13</v>
      </c>
      <c r="F3" s="3">
        <v>40141.0</v>
      </c>
    </row>
    <row r="4" ht="14.25" customHeight="1">
      <c r="A4" s="3" t="s">
        <v>14</v>
      </c>
      <c r="B4" s="3" t="s">
        <v>15</v>
      </c>
      <c r="C4" s="3" t="s">
        <v>16</v>
      </c>
      <c r="D4" s="4">
        <v>6.24671531463E12</v>
      </c>
      <c r="E4" s="3" t="s">
        <v>17</v>
      </c>
      <c r="F4" s="3">
        <v>40256.0</v>
      </c>
    </row>
    <row r="5" ht="14.25" customHeight="1">
      <c r="A5" s="3" t="s">
        <v>18</v>
      </c>
      <c r="B5" s="3" t="s">
        <v>19</v>
      </c>
      <c r="C5" s="3" t="s">
        <v>20</v>
      </c>
      <c r="D5" s="4">
        <v>6.290912892493E12</v>
      </c>
      <c r="E5" s="3" t="s">
        <v>21</v>
      </c>
      <c r="F5" s="3">
        <v>40149.0</v>
      </c>
    </row>
    <row r="6" ht="14.25" customHeight="1">
      <c r="A6" s="3" t="s">
        <v>22</v>
      </c>
      <c r="B6" s="3" t="s">
        <v>23</v>
      </c>
      <c r="C6" s="3" t="s">
        <v>24</v>
      </c>
      <c r="D6" s="4">
        <v>6.243942745992E12</v>
      </c>
      <c r="E6" s="3" t="s">
        <v>25</v>
      </c>
      <c r="F6" s="3">
        <v>40128.0</v>
      </c>
    </row>
    <row r="7" ht="14.25" customHeight="1">
      <c r="A7" s="3" t="s">
        <v>26</v>
      </c>
      <c r="B7" s="3" t="s">
        <v>27</v>
      </c>
      <c r="C7" s="3" t="s">
        <v>28</v>
      </c>
      <c r="D7" s="4">
        <v>6.242638962716E12</v>
      </c>
      <c r="E7" s="3" t="s">
        <v>29</v>
      </c>
      <c r="F7" s="3">
        <v>40231.0</v>
      </c>
    </row>
    <row r="8" ht="14.25" customHeight="1">
      <c r="A8" s="3" t="s">
        <v>30</v>
      </c>
      <c r="B8" s="3" t="s">
        <v>31</v>
      </c>
      <c r="C8" s="3" t="s">
        <v>32</v>
      </c>
      <c r="D8" s="4">
        <v>6.211646888619E12</v>
      </c>
      <c r="E8" s="3" t="s">
        <v>33</v>
      </c>
      <c r="F8" s="3">
        <v>40185.0</v>
      </c>
    </row>
    <row r="9" ht="14.25" customHeight="1">
      <c r="A9" s="3" t="s">
        <v>34</v>
      </c>
      <c r="B9" s="3" t="s">
        <v>35</v>
      </c>
      <c r="C9" s="3" t="s">
        <v>36</v>
      </c>
      <c r="D9" s="4">
        <v>6.291458733869E12</v>
      </c>
      <c r="E9" s="3" t="s">
        <v>37</v>
      </c>
      <c r="F9" s="3">
        <v>40227.0</v>
      </c>
    </row>
    <row r="10" ht="14.25" customHeight="1">
      <c r="A10" s="3" t="s">
        <v>38</v>
      </c>
      <c r="B10" s="3" t="s">
        <v>39</v>
      </c>
      <c r="C10" s="3" t="s">
        <v>40</v>
      </c>
      <c r="D10" s="4">
        <v>6.22954393602E12</v>
      </c>
      <c r="E10" s="3" t="s">
        <v>41</v>
      </c>
      <c r="F10" s="3">
        <v>40111.0</v>
      </c>
    </row>
    <row r="11" ht="14.25" customHeight="1">
      <c r="A11" s="3" t="s">
        <v>42</v>
      </c>
      <c r="B11" s="3" t="s">
        <v>43</v>
      </c>
      <c r="C11" s="3" t="s">
        <v>44</v>
      </c>
      <c r="D11" s="4">
        <v>6.227080715317E12</v>
      </c>
      <c r="E11" s="3" t="s">
        <v>45</v>
      </c>
      <c r="F11" s="3">
        <v>40256.0</v>
      </c>
    </row>
    <row r="12" ht="14.25" customHeight="1">
      <c r="A12" s="3" t="s">
        <v>46</v>
      </c>
      <c r="B12" s="3" t="s">
        <v>47</v>
      </c>
      <c r="C12" s="3" t="s">
        <v>48</v>
      </c>
      <c r="D12" s="4">
        <v>6.239795674356E12</v>
      </c>
      <c r="E12" s="3" t="s">
        <v>49</v>
      </c>
      <c r="F12" s="3">
        <v>40211.0</v>
      </c>
    </row>
    <row r="13" ht="14.25" customHeight="1">
      <c r="A13" s="3" t="s">
        <v>50</v>
      </c>
      <c r="B13" s="3" t="s">
        <v>51</v>
      </c>
      <c r="C13" s="3" t="s">
        <v>52</v>
      </c>
      <c r="D13" s="4">
        <v>6.22511371278E12</v>
      </c>
      <c r="E13" s="3" t="s">
        <v>53</v>
      </c>
      <c r="F13" s="3">
        <v>40162.0</v>
      </c>
    </row>
    <row r="14" ht="14.25" customHeight="1">
      <c r="A14" s="3" t="s">
        <v>54</v>
      </c>
      <c r="B14" s="3" t="s">
        <v>55</v>
      </c>
      <c r="C14" s="3" t="s">
        <v>56</v>
      </c>
      <c r="D14" s="4">
        <v>6.203161617563E12</v>
      </c>
      <c r="E14" s="3" t="s">
        <v>57</v>
      </c>
      <c r="F14" s="3">
        <v>40240.0</v>
      </c>
    </row>
    <row r="15" ht="14.25" customHeight="1">
      <c r="A15" s="3" t="s">
        <v>58</v>
      </c>
      <c r="B15" s="3" t="s">
        <v>59</v>
      </c>
      <c r="C15" s="3" t="s">
        <v>60</v>
      </c>
      <c r="D15" s="4">
        <v>6.239744105636E12</v>
      </c>
      <c r="E15" s="3" t="s">
        <v>61</v>
      </c>
      <c r="F15" s="3">
        <v>40151.0</v>
      </c>
    </row>
    <row r="16" ht="14.25" customHeight="1">
      <c r="A16" s="3" t="s">
        <v>62</v>
      </c>
      <c r="B16" s="3" t="s">
        <v>63</v>
      </c>
      <c r="C16" s="3" t="s">
        <v>64</v>
      </c>
      <c r="D16" s="4">
        <v>6.297274478091E12</v>
      </c>
      <c r="E16" s="3" t="s">
        <v>65</v>
      </c>
      <c r="F16" s="3">
        <v>40244.0</v>
      </c>
    </row>
    <row r="17" ht="14.25" customHeight="1">
      <c r="A17" s="3" t="s">
        <v>66</v>
      </c>
      <c r="B17" s="3" t="s">
        <v>67</v>
      </c>
      <c r="C17" s="3" t="s">
        <v>68</v>
      </c>
      <c r="D17" s="4">
        <v>6.273970015334E12</v>
      </c>
      <c r="E17" s="3" t="s">
        <v>69</v>
      </c>
      <c r="F17" s="3">
        <v>40142.0</v>
      </c>
    </row>
    <row r="18" ht="14.25" customHeight="1">
      <c r="A18" s="3" t="s">
        <v>70</v>
      </c>
      <c r="B18" s="3" t="s">
        <v>71</v>
      </c>
      <c r="C18" s="3" t="s">
        <v>72</v>
      </c>
      <c r="D18" s="4">
        <v>6.234140687605E12</v>
      </c>
      <c r="E18" s="3" t="s">
        <v>73</v>
      </c>
      <c r="F18" s="3">
        <v>40153.0</v>
      </c>
    </row>
    <row r="19" ht="14.25" customHeight="1">
      <c r="A19" s="3" t="s">
        <v>74</v>
      </c>
      <c r="B19" s="3" t="s">
        <v>75</v>
      </c>
      <c r="C19" s="3" t="s">
        <v>76</v>
      </c>
      <c r="D19" s="4">
        <v>6.247288750735E12</v>
      </c>
      <c r="E19" s="3" t="s">
        <v>77</v>
      </c>
      <c r="F19" s="3">
        <v>40136.0</v>
      </c>
    </row>
    <row r="20" ht="14.25" customHeight="1">
      <c r="A20" s="3" t="s">
        <v>78</v>
      </c>
      <c r="B20" s="3" t="s">
        <v>79</v>
      </c>
      <c r="C20" s="3" t="s">
        <v>80</v>
      </c>
      <c r="D20" s="4">
        <v>6.235574800658E12</v>
      </c>
      <c r="E20" s="3" t="s">
        <v>81</v>
      </c>
      <c r="F20" s="3">
        <v>40237.0</v>
      </c>
    </row>
    <row r="21" ht="14.25" customHeight="1">
      <c r="A21" s="3" t="s">
        <v>82</v>
      </c>
      <c r="B21" s="3" t="s">
        <v>83</v>
      </c>
      <c r="C21" s="3" t="s">
        <v>84</v>
      </c>
      <c r="D21" s="4">
        <v>6.212915089986E12</v>
      </c>
      <c r="E21" s="3" t="s">
        <v>85</v>
      </c>
      <c r="F21" s="3">
        <v>40227.0</v>
      </c>
    </row>
    <row r="22" ht="14.25" customHeight="1">
      <c r="A22" s="3" t="s">
        <v>86</v>
      </c>
      <c r="B22" s="3" t="s">
        <v>87</v>
      </c>
      <c r="C22" s="3" t="s">
        <v>88</v>
      </c>
      <c r="D22" s="4">
        <v>6.256280085675E12</v>
      </c>
      <c r="E22" s="3" t="s">
        <v>89</v>
      </c>
      <c r="F22" s="3">
        <v>40122.0</v>
      </c>
    </row>
    <row r="23" ht="14.25" customHeight="1">
      <c r="A23" s="3" t="s">
        <v>90</v>
      </c>
      <c r="B23" s="3" t="s">
        <v>91</v>
      </c>
      <c r="C23" s="3" t="s">
        <v>92</v>
      </c>
      <c r="D23" s="4">
        <v>6.245397963244E12</v>
      </c>
      <c r="E23" s="3" t="s">
        <v>93</v>
      </c>
      <c r="F23" s="3">
        <v>40139.0</v>
      </c>
    </row>
    <row r="24" ht="14.25" customHeight="1">
      <c r="A24" s="3" t="s">
        <v>94</v>
      </c>
      <c r="B24" s="3" t="s">
        <v>95</v>
      </c>
      <c r="C24" s="3" t="s">
        <v>96</v>
      </c>
      <c r="D24" s="4">
        <v>6.296768449312E12</v>
      </c>
      <c r="E24" s="3" t="s">
        <v>97</v>
      </c>
      <c r="F24" s="3">
        <v>40229.0</v>
      </c>
    </row>
    <row r="25" ht="14.25" customHeight="1">
      <c r="A25" s="3" t="s">
        <v>98</v>
      </c>
      <c r="B25" s="3" t="s">
        <v>99</v>
      </c>
      <c r="C25" s="3" t="s">
        <v>100</v>
      </c>
      <c r="D25" s="4">
        <v>6.230008062595E12</v>
      </c>
      <c r="E25" s="3" t="s">
        <v>101</v>
      </c>
      <c r="F25" s="3">
        <v>40158.0</v>
      </c>
    </row>
    <row r="26" ht="14.25" customHeight="1">
      <c r="A26" s="3" t="s">
        <v>102</v>
      </c>
      <c r="B26" s="3" t="s">
        <v>103</v>
      </c>
      <c r="C26" s="3" t="s">
        <v>104</v>
      </c>
      <c r="D26" s="4">
        <v>6.230911045996E12</v>
      </c>
      <c r="E26" s="3" t="s">
        <v>105</v>
      </c>
      <c r="F26" s="3">
        <v>40250.0</v>
      </c>
    </row>
    <row r="27" ht="14.25" customHeight="1">
      <c r="A27" s="3" t="s">
        <v>106</v>
      </c>
      <c r="B27" s="3" t="s">
        <v>107</v>
      </c>
      <c r="C27" s="3" t="s">
        <v>108</v>
      </c>
      <c r="D27" s="4">
        <v>6.293282203219E12</v>
      </c>
      <c r="E27" s="3" t="s">
        <v>109</v>
      </c>
      <c r="F27" s="3">
        <v>40166.0</v>
      </c>
    </row>
    <row r="28" ht="14.25" customHeight="1">
      <c r="A28" s="3" t="s">
        <v>110</v>
      </c>
      <c r="B28" s="3" t="s">
        <v>111</v>
      </c>
      <c r="C28" s="3" t="s">
        <v>112</v>
      </c>
      <c r="D28" s="4">
        <v>6.245210917851E12</v>
      </c>
      <c r="E28" s="3" t="s">
        <v>113</v>
      </c>
      <c r="F28" s="3">
        <v>40169.0</v>
      </c>
    </row>
    <row r="29" ht="14.25" customHeight="1">
      <c r="A29" s="3" t="s">
        <v>114</v>
      </c>
      <c r="B29" s="3" t="s">
        <v>115</v>
      </c>
      <c r="C29" s="3" t="s">
        <v>116</v>
      </c>
      <c r="D29" s="4">
        <v>6.292425497377E12</v>
      </c>
      <c r="E29" s="3" t="s">
        <v>117</v>
      </c>
      <c r="F29" s="3">
        <v>40126.0</v>
      </c>
    </row>
    <row r="30" ht="14.25" customHeight="1">
      <c r="A30" s="3" t="s">
        <v>118</v>
      </c>
      <c r="B30" s="3" t="s">
        <v>119</v>
      </c>
      <c r="C30" s="3" t="s">
        <v>120</v>
      </c>
      <c r="D30" s="4">
        <v>6.240906256112E12</v>
      </c>
      <c r="E30" s="3" t="s">
        <v>121</v>
      </c>
      <c r="F30" s="3">
        <v>40256.0</v>
      </c>
    </row>
    <row r="31" ht="14.25" customHeight="1">
      <c r="A31" s="3" t="s">
        <v>122</v>
      </c>
      <c r="B31" s="3" t="s">
        <v>123</v>
      </c>
      <c r="C31" s="3" t="s">
        <v>124</v>
      </c>
      <c r="D31" s="4">
        <v>6.215813980946E12</v>
      </c>
      <c r="E31" s="3" t="s">
        <v>125</v>
      </c>
      <c r="F31" s="3">
        <v>40189.0</v>
      </c>
    </row>
    <row r="32" ht="14.25" customHeight="1">
      <c r="A32" s="3" t="s">
        <v>126</v>
      </c>
      <c r="B32" s="3" t="s">
        <v>127</v>
      </c>
      <c r="C32" s="3" t="s">
        <v>128</v>
      </c>
      <c r="D32" s="4">
        <v>6.255939421432E12</v>
      </c>
      <c r="E32" s="3" t="s">
        <v>129</v>
      </c>
      <c r="F32" s="3">
        <v>40175.0</v>
      </c>
    </row>
    <row r="33" ht="14.25" customHeight="1">
      <c r="A33" s="3" t="s">
        <v>130</v>
      </c>
      <c r="B33" s="3" t="s">
        <v>131</v>
      </c>
      <c r="C33" s="3" t="s">
        <v>132</v>
      </c>
      <c r="D33" s="4">
        <v>6.251553581663E12</v>
      </c>
      <c r="E33" s="3" t="s">
        <v>133</v>
      </c>
      <c r="F33" s="3">
        <v>40194.0</v>
      </c>
    </row>
    <row r="34" ht="14.25" customHeight="1">
      <c r="A34" s="3" t="s">
        <v>134</v>
      </c>
      <c r="B34" s="3" t="s">
        <v>135</v>
      </c>
      <c r="C34" s="3" t="s">
        <v>136</v>
      </c>
      <c r="D34" s="4">
        <v>6.235976064219E12</v>
      </c>
      <c r="E34" s="3" t="s">
        <v>137</v>
      </c>
      <c r="F34" s="3">
        <v>40257.0</v>
      </c>
    </row>
    <row r="35" ht="14.25" customHeight="1">
      <c r="A35" s="3" t="s">
        <v>138</v>
      </c>
      <c r="B35" s="3" t="s">
        <v>139</v>
      </c>
      <c r="C35" s="3" t="s">
        <v>140</v>
      </c>
      <c r="D35" s="4">
        <v>6.264788391803E12</v>
      </c>
      <c r="E35" s="3" t="s">
        <v>141</v>
      </c>
      <c r="F35" s="3">
        <v>40125.0</v>
      </c>
    </row>
    <row r="36" ht="14.25" customHeight="1">
      <c r="A36" s="3" t="s">
        <v>142</v>
      </c>
      <c r="B36" s="3" t="s">
        <v>143</v>
      </c>
      <c r="C36" s="3" t="s">
        <v>144</v>
      </c>
      <c r="D36" s="4">
        <v>6.217452030556E12</v>
      </c>
      <c r="E36" s="3" t="s">
        <v>145</v>
      </c>
      <c r="F36" s="3">
        <v>40248.0</v>
      </c>
    </row>
    <row r="37" ht="14.25" customHeight="1">
      <c r="A37" s="3" t="s">
        <v>146</v>
      </c>
      <c r="B37" s="3" t="s">
        <v>147</v>
      </c>
      <c r="C37" s="3" t="s">
        <v>148</v>
      </c>
      <c r="D37" s="4">
        <v>6.216567372656E12</v>
      </c>
      <c r="E37" s="3" t="s">
        <v>149</v>
      </c>
      <c r="F37" s="3">
        <v>40234.0</v>
      </c>
    </row>
    <row r="38" ht="14.25" customHeight="1">
      <c r="A38" s="3" t="s">
        <v>150</v>
      </c>
      <c r="B38" s="3" t="s">
        <v>151</v>
      </c>
      <c r="C38" s="3" t="s">
        <v>152</v>
      </c>
      <c r="D38" s="4">
        <v>6.249115046025E12</v>
      </c>
      <c r="E38" s="3" t="s">
        <v>153</v>
      </c>
      <c r="F38" s="3">
        <v>40177.0</v>
      </c>
    </row>
    <row r="39" ht="14.25" customHeight="1">
      <c r="A39" s="3" t="s">
        <v>154</v>
      </c>
      <c r="B39" s="3" t="s">
        <v>155</v>
      </c>
      <c r="C39" s="3" t="s">
        <v>156</v>
      </c>
      <c r="D39" s="4">
        <v>6.250258139727E12</v>
      </c>
      <c r="E39" s="3" t="s">
        <v>157</v>
      </c>
      <c r="F39" s="3">
        <v>40257.0</v>
      </c>
    </row>
    <row r="40" ht="14.25" customHeight="1">
      <c r="A40" s="3" t="s">
        <v>158</v>
      </c>
      <c r="B40" s="3" t="s">
        <v>159</v>
      </c>
      <c r="C40" s="3" t="s">
        <v>160</v>
      </c>
      <c r="D40" s="4">
        <v>6.219044330847E12</v>
      </c>
      <c r="E40" s="3" t="s">
        <v>161</v>
      </c>
      <c r="F40" s="3">
        <v>40200.0</v>
      </c>
    </row>
    <row r="41" ht="14.25" customHeight="1">
      <c r="A41" s="3" t="s">
        <v>162</v>
      </c>
      <c r="B41" s="3" t="s">
        <v>163</v>
      </c>
      <c r="C41" s="3" t="s">
        <v>164</v>
      </c>
      <c r="D41" s="4">
        <v>6.220335052857E12</v>
      </c>
      <c r="E41" s="3" t="s">
        <v>165</v>
      </c>
      <c r="F41" s="3">
        <v>40234.0</v>
      </c>
    </row>
    <row r="42" ht="14.25" customHeight="1">
      <c r="A42" s="3" t="s">
        <v>166</v>
      </c>
      <c r="B42" s="3" t="s">
        <v>167</v>
      </c>
      <c r="C42" s="3" t="s">
        <v>168</v>
      </c>
      <c r="D42" s="4">
        <v>6.247423612445E12</v>
      </c>
      <c r="E42" s="3" t="s">
        <v>169</v>
      </c>
      <c r="F42" s="3">
        <v>40255.0</v>
      </c>
    </row>
    <row r="43" ht="14.25" customHeight="1">
      <c r="A43" s="3" t="s">
        <v>170</v>
      </c>
      <c r="B43" s="3" t="s">
        <v>171</v>
      </c>
      <c r="C43" s="3" t="s">
        <v>172</v>
      </c>
      <c r="D43" s="4">
        <v>6.236013484521E12</v>
      </c>
      <c r="E43" s="3" t="s">
        <v>173</v>
      </c>
      <c r="F43" s="3">
        <v>40223.0</v>
      </c>
    </row>
    <row r="44" ht="14.25" customHeight="1">
      <c r="A44" s="3" t="s">
        <v>174</v>
      </c>
      <c r="B44" s="3" t="s">
        <v>175</v>
      </c>
      <c r="C44" s="3" t="s">
        <v>176</v>
      </c>
      <c r="D44" s="4">
        <v>6.239134655332E12</v>
      </c>
      <c r="E44" s="3" t="s">
        <v>177</v>
      </c>
      <c r="F44" s="3">
        <v>40199.0</v>
      </c>
    </row>
    <row r="45" ht="14.25" customHeight="1">
      <c r="A45" s="3" t="s">
        <v>178</v>
      </c>
      <c r="B45" s="3" t="s">
        <v>179</v>
      </c>
      <c r="C45" s="3" t="s">
        <v>180</v>
      </c>
      <c r="D45" s="4">
        <v>6.269262526851E12</v>
      </c>
      <c r="E45" s="3" t="s">
        <v>181</v>
      </c>
      <c r="F45" s="3">
        <v>40148.0</v>
      </c>
    </row>
    <row r="46" ht="14.25" customHeight="1">
      <c r="A46" s="3" t="s">
        <v>182</v>
      </c>
      <c r="B46" s="3" t="s">
        <v>183</v>
      </c>
      <c r="C46" s="3" t="s">
        <v>184</v>
      </c>
      <c r="D46" s="4">
        <v>6.235223748726E12</v>
      </c>
      <c r="E46" s="3" t="s">
        <v>185</v>
      </c>
      <c r="F46" s="3">
        <v>40129.0</v>
      </c>
    </row>
    <row r="47" ht="14.25" customHeight="1">
      <c r="A47" s="3" t="s">
        <v>186</v>
      </c>
      <c r="B47" s="3" t="s">
        <v>187</v>
      </c>
      <c r="C47" s="3" t="s">
        <v>188</v>
      </c>
      <c r="D47" s="4">
        <v>6.262829315513E12</v>
      </c>
      <c r="E47" s="3" t="s">
        <v>189</v>
      </c>
      <c r="F47" s="3">
        <v>40164.0</v>
      </c>
    </row>
    <row r="48" ht="14.25" customHeight="1">
      <c r="A48" s="3" t="s">
        <v>190</v>
      </c>
      <c r="B48" s="3" t="s">
        <v>191</v>
      </c>
      <c r="C48" s="3" t="s">
        <v>192</v>
      </c>
      <c r="D48" s="4">
        <v>6.204428987298E12</v>
      </c>
      <c r="E48" s="3" t="s">
        <v>193</v>
      </c>
      <c r="F48" s="3">
        <v>40218.0</v>
      </c>
    </row>
    <row r="49" ht="14.25" customHeight="1">
      <c r="A49" s="3" t="s">
        <v>194</v>
      </c>
      <c r="B49" s="3" t="s">
        <v>195</v>
      </c>
      <c r="C49" s="3" t="s">
        <v>196</v>
      </c>
      <c r="D49" s="4">
        <v>6.221412287028E12</v>
      </c>
      <c r="E49" s="3" t="s">
        <v>197</v>
      </c>
      <c r="F49" s="3">
        <v>40111.0</v>
      </c>
    </row>
    <row r="50" ht="14.25" customHeight="1">
      <c r="A50" s="3" t="s">
        <v>198</v>
      </c>
      <c r="B50" s="3" t="s">
        <v>199</v>
      </c>
      <c r="C50" s="3" t="s">
        <v>200</v>
      </c>
      <c r="D50" s="4">
        <v>6.294832576091E12</v>
      </c>
      <c r="E50" s="3" t="s">
        <v>201</v>
      </c>
      <c r="F50" s="3">
        <v>40167.0</v>
      </c>
    </row>
    <row r="51" ht="14.25" customHeight="1">
      <c r="A51" s="3" t="s">
        <v>202</v>
      </c>
      <c r="B51" s="3" t="s">
        <v>203</v>
      </c>
      <c r="C51" s="3" t="s">
        <v>204</v>
      </c>
      <c r="D51" s="4">
        <v>6.231786875894E12</v>
      </c>
      <c r="E51" s="3" t="s">
        <v>205</v>
      </c>
      <c r="F51" s="3">
        <v>40223.0</v>
      </c>
    </row>
    <row r="52" ht="14.25" customHeight="1">
      <c r="A52" s="3" t="s">
        <v>206</v>
      </c>
      <c r="B52" s="3" t="s">
        <v>207</v>
      </c>
      <c r="C52" s="3" t="s">
        <v>208</v>
      </c>
      <c r="D52" s="4">
        <v>6.281401211973E12</v>
      </c>
      <c r="E52" s="3" t="s">
        <v>209</v>
      </c>
      <c r="F52" s="3">
        <v>40147.0</v>
      </c>
    </row>
    <row r="53" ht="14.25" customHeight="1">
      <c r="A53" s="3" t="s">
        <v>210</v>
      </c>
      <c r="B53" s="3" t="s">
        <v>211</v>
      </c>
      <c r="C53" s="3" t="s">
        <v>212</v>
      </c>
      <c r="D53" s="4">
        <v>6.290067165472E12</v>
      </c>
      <c r="E53" s="3" t="s">
        <v>213</v>
      </c>
      <c r="F53" s="3">
        <v>40192.0</v>
      </c>
    </row>
    <row r="54" ht="14.25" customHeight="1">
      <c r="A54" s="3" t="s">
        <v>214</v>
      </c>
      <c r="B54" s="3" t="s">
        <v>215</v>
      </c>
      <c r="C54" s="3" t="s">
        <v>216</v>
      </c>
      <c r="D54" s="4">
        <v>6.293830341632E12</v>
      </c>
      <c r="E54" s="3" t="s">
        <v>217</v>
      </c>
      <c r="F54" s="3">
        <v>40252.0</v>
      </c>
    </row>
    <row r="55" ht="14.25" customHeight="1">
      <c r="A55" s="3" t="s">
        <v>218</v>
      </c>
      <c r="B55" s="3" t="s">
        <v>219</v>
      </c>
      <c r="C55" s="3" t="s">
        <v>220</v>
      </c>
      <c r="D55" s="4">
        <v>6.264915304454E12</v>
      </c>
      <c r="E55" s="3" t="s">
        <v>221</v>
      </c>
      <c r="F55" s="3">
        <v>40179.0</v>
      </c>
    </row>
    <row r="56" ht="14.25" customHeight="1">
      <c r="A56" s="3" t="s">
        <v>222</v>
      </c>
      <c r="B56" s="3" t="s">
        <v>223</v>
      </c>
      <c r="C56" s="3" t="s">
        <v>224</v>
      </c>
      <c r="D56" s="4">
        <v>6.269033894429E12</v>
      </c>
      <c r="E56" s="3" t="s">
        <v>225</v>
      </c>
      <c r="F56" s="3">
        <v>40162.0</v>
      </c>
    </row>
    <row r="57" ht="14.25" customHeight="1">
      <c r="A57" s="3" t="s">
        <v>226</v>
      </c>
      <c r="B57" s="3" t="s">
        <v>227</v>
      </c>
      <c r="C57" s="3" t="s">
        <v>228</v>
      </c>
      <c r="D57" s="4">
        <v>6.298911134105E12</v>
      </c>
      <c r="E57" s="3" t="s">
        <v>229</v>
      </c>
      <c r="F57" s="3">
        <v>40205.0</v>
      </c>
    </row>
    <row r="58" ht="14.25" customHeight="1">
      <c r="A58" s="3" t="s">
        <v>230</v>
      </c>
      <c r="B58" s="3" t="s">
        <v>231</v>
      </c>
      <c r="C58" s="3" t="s">
        <v>232</v>
      </c>
      <c r="D58" s="4">
        <v>6.218825909991E12</v>
      </c>
      <c r="E58" s="3" t="s">
        <v>233</v>
      </c>
      <c r="F58" s="3">
        <v>40170.0</v>
      </c>
    </row>
    <row r="59" ht="14.25" customHeight="1">
      <c r="A59" s="3" t="s">
        <v>234</v>
      </c>
      <c r="B59" s="3" t="s">
        <v>235</v>
      </c>
      <c r="C59" s="3" t="s">
        <v>236</v>
      </c>
      <c r="D59" s="4">
        <v>6.228664416318E12</v>
      </c>
      <c r="E59" s="3" t="s">
        <v>237</v>
      </c>
      <c r="F59" s="3">
        <v>40206.0</v>
      </c>
    </row>
    <row r="60" ht="14.25" customHeight="1">
      <c r="A60" s="3" t="s">
        <v>238</v>
      </c>
      <c r="B60" s="3" t="s">
        <v>239</v>
      </c>
      <c r="C60" s="3" t="s">
        <v>240</v>
      </c>
      <c r="D60" s="4">
        <v>6.241857855141E12</v>
      </c>
      <c r="E60" s="3" t="s">
        <v>241</v>
      </c>
      <c r="F60" s="3">
        <v>40192.0</v>
      </c>
    </row>
    <row r="61" ht="14.25" customHeight="1">
      <c r="A61" s="3" t="s">
        <v>242</v>
      </c>
      <c r="B61" s="3" t="s">
        <v>243</v>
      </c>
      <c r="C61" s="3" t="s">
        <v>244</v>
      </c>
      <c r="D61" s="4">
        <v>6.246054401588E12</v>
      </c>
      <c r="E61" s="3" t="s">
        <v>245</v>
      </c>
      <c r="F61" s="3">
        <v>40207.0</v>
      </c>
    </row>
    <row r="62" ht="14.25" customHeight="1">
      <c r="A62" s="3" t="s">
        <v>246</v>
      </c>
      <c r="B62" s="3" t="s">
        <v>247</v>
      </c>
      <c r="C62" s="3" t="s">
        <v>248</v>
      </c>
      <c r="D62" s="4">
        <v>6.230450361649E12</v>
      </c>
      <c r="E62" s="3" t="s">
        <v>249</v>
      </c>
      <c r="F62" s="3">
        <v>40168.0</v>
      </c>
    </row>
    <row r="63" ht="14.25" customHeight="1">
      <c r="A63" s="3" t="s">
        <v>250</v>
      </c>
      <c r="B63" s="3" t="s">
        <v>251</v>
      </c>
      <c r="C63" s="3" t="s">
        <v>252</v>
      </c>
      <c r="D63" s="4">
        <v>6.220969706732E12</v>
      </c>
      <c r="E63" s="3" t="s">
        <v>253</v>
      </c>
      <c r="F63" s="3">
        <v>40119.0</v>
      </c>
    </row>
    <row r="64" ht="14.25" customHeight="1">
      <c r="A64" s="3" t="s">
        <v>254</v>
      </c>
      <c r="B64" s="3" t="s">
        <v>255</v>
      </c>
      <c r="C64" s="3" t="s">
        <v>256</v>
      </c>
      <c r="D64" s="4">
        <v>6.214574157714E12</v>
      </c>
      <c r="E64" s="3" t="s">
        <v>257</v>
      </c>
      <c r="F64" s="3">
        <v>40150.0</v>
      </c>
    </row>
    <row r="65" ht="14.25" customHeight="1">
      <c r="A65" s="3" t="s">
        <v>258</v>
      </c>
      <c r="B65" s="3" t="s">
        <v>259</v>
      </c>
      <c r="C65" s="3" t="s">
        <v>260</v>
      </c>
      <c r="D65" s="4">
        <v>6.207605848112E12</v>
      </c>
      <c r="E65" s="3" t="s">
        <v>261</v>
      </c>
      <c r="F65" s="3">
        <v>40200.0</v>
      </c>
    </row>
    <row r="66" ht="14.25" customHeight="1">
      <c r="A66" s="3" t="s">
        <v>262</v>
      </c>
      <c r="B66" s="3" t="s">
        <v>263</v>
      </c>
      <c r="C66" s="3" t="s">
        <v>264</v>
      </c>
      <c r="D66" s="4">
        <v>6.223935361813E12</v>
      </c>
      <c r="E66" s="3" t="s">
        <v>265</v>
      </c>
      <c r="F66" s="3">
        <v>40247.0</v>
      </c>
    </row>
    <row r="67" ht="14.25" customHeight="1">
      <c r="A67" s="3" t="s">
        <v>266</v>
      </c>
      <c r="B67" s="3" t="s">
        <v>267</v>
      </c>
      <c r="C67" s="3" t="s">
        <v>268</v>
      </c>
      <c r="D67" s="4">
        <v>6.287297703746E12</v>
      </c>
      <c r="E67" s="3" t="s">
        <v>269</v>
      </c>
      <c r="F67" s="3">
        <v>40231.0</v>
      </c>
    </row>
    <row r="68" ht="14.25" customHeight="1">
      <c r="A68" s="3" t="s">
        <v>270</v>
      </c>
      <c r="B68" s="3" t="s">
        <v>271</v>
      </c>
      <c r="C68" s="3" t="s">
        <v>272</v>
      </c>
      <c r="D68" s="4">
        <v>6.216524318153E12</v>
      </c>
      <c r="E68" s="3" t="s">
        <v>273</v>
      </c>
      <c r="F68" s="3">
        <v>40142.0</v>
      </c>
    </row>
    <row r="69" ht="14.25" customHeight="1">
      <c r="A69" s="3" t="s">
        <v>274</v>
      </c>
      <c r="B69" s="3" t="s">
        <v>275</v>
      </c>
      <c r="C69" s="3" t="s">
        <v>276</v>
      </c>
      <c r="D69" s="4">
        <v>6.209599106079E12</v>
      </c>
      <c r="E69" s="3" t="s">
        <v>277</v>
      </c>
      <c r="F69" s="3">
        <v>40174.0</v>
      </c>
    </row>
    <row r="70" ht="14.25" customHeight="1">
      <c r="A70" s="3" t="s">
        <v>278</v>
      </c>
      <c r="B70" s="3" t="s">
        <v>279</v>
      </c>
      <c r="C70" s="3" t="s">
        <v>280</v>
      </c>
      <c r="D70" s="4">
        <v>6.29805665849E12</v>
      </c>
      <c r="E70" s="3" t="s">
        <v>281</v>
      </c>
      <c r="F70" s="3">
        <v>40137.0</v>
      </c>
    </row>
    <row r="71" ht="14.25" customHeight="1">
      <c r="A71" s="3" t="s">
        <v>282</v>
      </c>
      <c r="B71" s="3" t="s">
        <v>283</v>
      </c>
      <c r="C71" s="3" t="s">
        <v>284</v>
      </c>
      <c r="D71" s="4">
        <v>6.245089501688E12</v>
      </c>
      <c r="E71" s="3" t="s">
        <v>285</v>
      </c>
      <c r="F71" s="3">
        <v>40222.0</v>
      </c>
    </row>
    <row r="72" ht="14.25" customHeight="1">
      <c r="A72" s="3" t="s">
        <v>286</v>
      </c>
      <c r="B72" s="3" t="s">
        <v>287</v>
      </c>
      <c r="C72" s="3" t="s">
        <v>288</v>
      </c>
      <c r="D72" s="4">
        <v>6.243595564609E12</v>
      </c>
      <c r="E72" s="3" t="s">
        <v>289</v>
      </c>
      <c r="F72" s="3">
        <v>40241.0</v>
      </c>
    </row>
    <row r="73" ht="14.25" customHeight="1">
      <c r="A73" s="3" t="s">
        <v>290</v>
      </c>
      <c r="B73" s="3" t="s">
        <v>291</v>
      </c>
      <c r="C73" s="3" t="s">
        <v>292</v>
      </c>
      <c r="D73" s="4">
        <v>6.263399213367E12</v>
      </c>
      <c r="E73" s="3" t="s">
        <v>293</v>
      </c>
      <c r="F73" s="3">
        <v>40176.0</v>
      </c>
    </row>
    <row r="74" ht="14.25" customHeight="1">
      <c r="A74" s="3" t="s">
        <v>294</v>
      </c>
      <c r="B74" s="3" t="s">
        <v>295</v>
      </c>
      <c r="C74" s="3" t="s">
        <v>296</v>
      </c>
      <c r="D74" s="4">
        <v>6.294272717995E12</v>
      </c>
      <c r="E74" s="3" t="s">
        <v>297</v>
      </c>
      <c r="F74" s="3">
        <v>40230.0</v>
      </c>
    </row>
    <row r="75" ht="14.25" customHeight="1">
      <c r="A75" s="3" t="s">
        <v>298</v>
      </c>
      <c r="B75" s="3" t="s">
        <v>299</v>
      </c>
      <c r="C75" s="3" t="s">
        <v>300</v>
      </c>
      <c r="D75" s="4">
        <v>6.221273232633E12</v>
      </c>
      <c r="E75" s="3" t="s">
        <v>301</v>
      </c>
      <c r="F75" s="3">
        <v>40255.0</v>
      </c>
    </row>
    <row r="76" ht="14.25" customHeight="1">
      <c r="A76" s="3" t="s">
        <v>302</v>
      </c>
      <c r="B76" s="3" t="s">
        <v>303</v>
      </c>
      <c r="C76" s="3" t="s">
        <v>304</v>
      </c>
      <c r="D76" s="4">
        <v>6.231558761305E12</v>
      </c>
      <c r="E76" s="3" t="s">
        <v>305</v>
      </c>
      <c r="F76" s="3">
        <v>40158.0</v>
      </c>
    </row>
    <row r="77" ht="14.25" customHeight="1">
      <c r="A77" s="3" t="s">
        <v>306</v>
      </c>
      <c r="B77" s="3" t="s">
        <v>307</v>
      </c>
      <c r="C77" s="3" t="s">
        <v>308</v>
      </c>
      <c r="D77" s="4">
        <v>6.204413859395E12</v>
      </c>
      <c r="E77" s="3" t="s">
        <v>309</v>
      </c>
      <c r="F77" s="3">
        <v>40249.0</v>
      </c>
    </row>
    <row r="78" ht="14.25" customHeight="1">
      <c r="A78" s="3" t="s">
        <v>310</v>
      </c>
      <c r="B78" s="3" t="s">
        <v>311</v>
      </c>
      <c r="C78" s="3" t="s">
        <v>312</v>
      </c>
      <c r="D78" s="4">
        <v>6.209952085007E12</v>
      </c>
      <c r="E78" s="3" t="s">
        <v>313</v>
      </c>
      <c r="F78" s="3">
        <v>40192.0</v>
      </c>
    </row>
    <row r="79" ht="14.25" customHeight="1">
      <c r="A79" s="3" t="s">
        <v>314</v>
      </c>
      <c r="B79" s="3" t="s">
        <v>315</v>
      </c>
      <c r="C79" s="3" t="s">
        <v>316</v>
      </c>
      <c r="D79" s="4">
        <v>6.234969809229E12</v>
      </c>
      <c r="E79" s="3" t="s">
        <v>317</v>
      </c>
      <c r="F79" s="3">
        <v>40177.0</v>
      </c>
    </row>
    <row r="80" ht="14.25" customHeight="1">
      <c r="A80" s="3" t="s">
        <v>318</v>
      </c>
      <c r="B80" s="3" t="s">
        <v>319</v>
      </c>
      <c r="C80" s="3" t="s">
        <v>320</v>
      </c>
      <c r="D80" s="4">
        <v>6.256714604079E12</v>
      </c>
      <c r="E80" s="3" t="s">
        <v>321</v>
      </c>
      <c r="F80" s="3">
        <v>40223.0</v>
      </c>
    </row>
    <row r="81" ht="14.25" customHeight="1">
      <c r="A81" s="3" t="s">
        <v>322</v>
      </c>
      <c r="B81" s="3" t="s">
        <v>323</v>
      </c>
      <c r="C81" s="3" t="s">
        <v>324</v>
      </c>
      <c r="D81" s="4">
        <v>6.288397112493E12</v>
      </c>
      <c r="E81" s="3" t="s">
        <v>325</v>
      </c>
      <c r="F81" s="3">
        <v>40220.0</v>
      </c>
    </row>
    <row r="82" ht="14.25" customHeight="1">
      <c r="A82" s="3" t="s">
        <v>326</v>
      </c>
      <c r="B82" s="3" t="s">
        <v>327</v>
      </c>
      <c r="C82" s="3" t="s">
        <v>328</v>
      </c>
      <c r="D82" s="4">
        <v>6.250352037119E12</v>
      </c>
      <c r="E82" s="3" t="s">
        <v>329</v>
      </c>
      <c r="F82" s="3">
        <v>40129.0</v>
      </c>
    </row>
    <row r="83" ht="14.25" customHeight="1">
      <c r="A83" s="3" t="s">
        <v>330</v>
      </c>
      <c r="B83" s="3" t="s">
        <v>331</v>
      </c>
      <c r="C83" s="3" t="s">
        <v>332</v>
      </c>
      <c r="D83" s="4">
        <v>6.281814759653E12</v>
      </c>
      <c r="E83" s="3" t="s">
        <v>333</v>
      </c>
      <c r="F83" s="3">
        <v>40223.0</v>
      </c>
    </row>
    <row r="84" ht="14.25" customHeight="1">
      <c r="A84" s="3" t="s">
        <v>334</v>
      </c>
      <c r="B84" s="3" t="s">
        <v>335</v>
      </c>
      <c r="C84" s="3" t="s">
        <v>336</v>
      </c>
      <c r="D84" s="4">
        <v>6.284065241045E12</v>
      </c>
      <c r="E84" s="3" t="s">
        <v>337</v>
      </c>
      <c r="F84" s="3">
        <v>40141.0</v>
      </c>
    </row>
    <row r="85" ht="14.25" customHeight="1">
      <c r="A85" s="3" t="s">
        <v>338</v>
      </c>
      <c r="B85" s="3" t="s">
        <v>339</v>
      </c>
      <c r="C85" s="3" t="s">
        <v>340</v>
      </c>
      <c r="D85" s="4">
        <v>6.224133893827E12</v>
      </c>
      <c r="E85" s="3" t="s">
        <v>341</v>
      </c>
      <c r="F85" s="3">
        <v>40210.0</v>
      </c>
    </row>
    <row r="86" ht="14.25" customHeight="1">
      <c r="A86" s="3" t="s">
        <v>342</v>
      </c>
      <c r="B86" s="3" t="s">
        <v>343</v>
      </c>
      <c r="C86" s="3" t="s">
        <v>344</v>
      </c>
      <c r="D86" s="4">
        <v>6.262642331163E12</v>
      </c>
      <c r="E86" s="3" t="s">
        <v>345</v>
      </c>
      <c r="F86" s="3">
        <v>40238.0</v>
      </c>
    </row>
    <row r="87" ht="14.25" customHeight="1">
      <c r="A87" s="3" t="s">
        <v>346</v>
      </c>
      <c r="B87" s="3" t="s">
        <v>347</v>
      </c>
      <c r="C87" s="3" t="s">
        <v>348</v>
      </c>
      <c r="D87" s="4">
        <v>6.262523473208E12</v>
      </c>
      <c r="E87" s="3" t="s">
        <v>349</v>
      </c>
      <c r="F87" s="3">
        <v>40193.0</v>
      </c>
    </row>
    <row r="88" ht="14.25" customHeight="1">
      <c r="A88" s="3" t="s">
        <v>350</v>
      </c>
      <c r="B88" s="3" t="s">
        <v>351</v>
      </c>
      <c r="C88" s="3" t="s">
        <v>352</v>
      </c>
      <c r="D88" s="4">
        <v>6.271948811971E12</v>
      </c>
      <c r="E88" s="3" t="s">
        <v>353</v>
      </c>
      <c r="F88" s="3">
        <v>40217.0</v>
      </c>
    </row>
    <row r="89" ht="14.25" customHeight="1">
      <c r="A89" s="3" t="s">
        <v>354</v>
      </c>
      <c r="B89" s="3" t="s">
        <v>355</v>
      </c>
      <c r="C89" s="3" t="s">
        <v>356</v>
      </c>
      <c r="D89" s="4">
        <v>6.268451995743E12</v>
      </c>
      <c r="E89" s="3" t="s">
        <v>357</v>
      </c>
      <c r="F89" s="3">
        <v>40157.0</v>
      </c>
    </row>
    <row r="90" ht="14.25" customHeight="1">
      <c r="A90" s="3" t="s">
        <v>358</v>
      </c>
      <c r="B90" s="3" t="s">
        <v>359</v>
      </c>
      <c r="C90" s="3" t="s">
        <v>360</v>
      </c>
      <c r="D90" s="4">
        <v>6.200160006702E12</v>
      </c>
      <c r="E90" s="3" t="s">
        <v>361</v>
      </c>
      <c r="F90" s="3">
        <v>40183.0</v>
      </c>
    </row>
    <row r="91" ht="14.25" customHeight="1">
      <c r="A91" s="3" t="s">
        <v>362</v>
      </c>
      <c r="B91" s="3" t="s">
        <v>363</v>
      </c>
      <c r="C91" s="3" t="s">
        <v>364</v>
      </c>
      <c r="D91" s="4">
        <v>6.210472751271E12</v>
      </c>
      <c r="E91" s="3" t="s">
        <v>365</v>
      </c>
      <c r="F91" s="3">
        <v>40139.0</v>
      </c>
    </row>
    <row r="92" ht="14.25" customHeight="1">
      <c r="A92" s="3" t="s">
        <v>366</v>
      </c>
      <c r="B92" s="3" t="s">
        <v>367</v>
      </c>
      <c r="C92" s="3" t="s">
        <v>368</v>
      </c>
      <c r="D92" s="4">
        <v>6.288045942228E12</v>
      </c>
      <c r="E92" s="3" t="s">
        <v>369</v>
      </c>
      <c r="F92" s="3">
        <v>40205.0</v>
      </c>
    </row>
    <row r="93" ht="14.25" customHeight="1">
      <c r="A93" s="3" t="s">
        <v>370</v>
      </c>
      <c r="B93" s="3" t="s">
        <v>371</v>
      </c>
      <c r="C93" s="3" t="s">
        <v>372</v>
      </c>
      <c r="D93" s="4">
        <v>6.295532961562E12</v>
      </c>
      <c r="E93" s="3" t="s">
        <v>373</v>
      </c>
      <c r="F93" s="3">
        <v>40164.0</v>
      </c>
    </row>
    <row r="94" ht="14.25" customHeight="1">
      <c r="A94" s="3" t="s">
        <v>374</v>
      </c>
      <c r="B94" s="3" t="s">
        <v>375</v>
      </c>
      <c r="C94" s="3" t="s">
        <v>376</v>
      </c>
      <c r="D94" s="4">
        <v>6.268946556741E12</v>
      </c>
      <c r="E94" s="3" t="s">
        <v>377</v>
      </c>
      <c r="F94" s="3">
        <v>40161.0</v>
      </c>
    </row>
    <row r="95" ht="14.25" customHeight="1">
      <c r="A95" s="3" t="s">
        <v>378</v>
      </c>
      <c r="B95" s="3" t="s">
        <v>379</v>
      </c>
      <c r="C95" s="3" t="s">
        <v>380</v>
      </c>
      <c r="D95" s="4">
        <v>6.292791572521E12</v>
      </c>
      <c r="E95" s="3" t="s">
        <v>381</v>
      </c>
      <c r="F95" s="3">
        <v>40121.0</v>
      </c>
    </row>
    <row r="96" ht="14.25" customHeight="1">
      <c r="A96" s="3" t="s">
        <v>382</v>
      </c>
      <c r="B96" s="3" t="s">
        <v>383</v>
      </c>
      <c r="C96" s="3" t="s">
        <v>384</v>
      </c>
      <c r="D96" s="4">
        <v>6.292266047626E12</v>
      </c>
      <c r="E96" s="3" t="s">
        <v>385</v>
      </c>
      <c r="F96" s="3">
        <v>40137.0</v>
      </c>
    </row>
    <row r="97" ht="14.25" customHeight="1">
      <c r="A97" s="3" t="s">
        <v>386</v>
      </c>
      <c r="B97" s="3" t="s">
        <v>387</v>
      </c>
      <c r="C97" s="3" t="s">
        <v>388</v>
      </c>
      <c r="D97" s="4">
        <v>6.233343074005E12</v>
      </c>
      <c r="E97" s="3" t="s">
        <v>389</v>
      </c>
      <c r="F97" s="3">
        <v>40226.0</v>
      </c>
    </row>
    <row r="98" ht="14.25" customHeight="1">
      <c r="A98" s="3" t="s">
        <v>390</v>
      </c>
      <c r="B98" s="3" t="s">
        <v>391</v>
      </c>
      <c r="C98" s="3" t="s">
        <v>392</v>
      </c>
      <c r="D98" s="4">
        <v>6.253621756891E12</v>
      </c>
      <c r="E98" s="3" t="s">
        <v>393</v>
      </c>
      <c r="F98" s="3">
        <v>40139.0</v>
      </c>
    </row>
    <row r="99" ht="14.25" customHeight="1">
      <c r="A99" s="3" t="s">
        <v>394</v>
      </c>
      <c r="B99" s="3" t="s">
        <v>395</v>
      </c>
      <c r="C99" s="3" t="s">
        <v>396</v>
      </c>
      <c r="D99" s="4">
        <v>6.247458850392E12</v>
      </c>
      <c r="E99" s="3" t="s">
        <v>397</v>
      </c>
      <c r="F99" s="3">
        <v>40163.0</v>
      </c>
    </row>
    <row r="100" ht="14.25" customHeight="1">
      <c r="A100" s="3" t="s">
        <v>398</v>
      </c>
      <c r="B100" s="3" t="s">
        <v>399</v>
      </c>
      <c r="C100" s="3" t="s">
        <v>400</v>
      </c>
      <c r="D100" s="4">
        <v>6.243567106704E12</v>
      </c>
      <c r="E100" s="3" t="s">
        <v>401</v>
      </c>
      <c r="F100" s="3">
        <v>40227.0</v>
      </c>
    </row>
    <row r="101" ht="14.25" customHeight="1">
      <c r="A101" s="3" t="s">
        <v>402</v>
      </c>
      <c r="B101" s="3" t="s">
        <v>403</v>
      </c>
      <c r="C101" s="3" t="s">
        <v>404</v>
      </c>
      <c r="D101" s="4">
        <v>6.230667507895E12</v>
      </c>
      <c r="E101" s="3" t="s">
        <v>405</v>
      </c>
      <c r="F101" s="3">
        <v>40205.0</v>
      </c>
    </row>
    <row r="102" ht="14.25" customHeight="1">
      <c r="A102" s="3" t="s">
        <v>406</v>
      </c>
      <c r="B102" s="3" t="s">
        <v>407</v>
      </c>
      <c r="C102" s="3" t="s">
        <v>408</v>
      </c>
      <c r="D102" s="4">
        <v>6.211751304157E12</v>
      </c>
      <c r="E102" s="3" t="s">
        <v>409</v>
      </c>
      <c r="F102" s="3">
        <v>40193.0</v>
      </c>
    </row>
    <row r="103" ht="14.25" customHeight="1">
      <c r="A103" s="3" t="s">
        <v>410</v>
      </c>
      <c r="B103" s="3" t="s">
        <v>411</v>
      </c>
      <c r="C103" s="3" t="s">
        <v>412</v>
      </c>
      <c r="D103" s="4">
        <v>6.298345481382E12</v>
      </c>
      <c r="E103" s="3" t="s">
        <v>413</v>
      </c>
      <c r="F103" s="3">
        <v>40178.0</v>
      </c>
    </row>
    <row r="104" ht="14.25" customHeight="1">
      <c r="A104" s="3" t="s">
        <v>414</v>
      </c>
      <c r="B104" s="3" t="s">
        <v>415</v>
      </c>
      <c r="C104" s="3" t="s">
        <v>416</v>
      </c>
      <c r="D104" s="4">
        <v>6.227131135623E12</v>
      </c>
      <c r="E104" s="3" t="s">
        <v>417</v>
      </c>
      <c r="F104" s="3">
        <v>40202.0</v>
      </c>
    </row>
    <row r="105" ht="14.25" customHeight="1">
      <c r="A105" s="3" t="s">
        <v>418</v>
      </c>
      <c r="B105" s="3" t="s">
        <v>419</v>
      </c>
      <c r="C105" s="3" t="s">
        <v>420</v>
      </c>
      <c r="D105" s="4">
        <v>6.296958579208E12</v>
      </c>
      <c r="E105" s="3" t="s">
        <v>421</v>
      </c>
      <c r="F105" s="3">
        <v>40190.0</v>
      </c>
    </row>
    <row r="106" ht="14.25" customHeight="1">
      <c r="A106" s="3" t="s">
        <v>422</v>
      </c>
      <c r="B106" s="3" t="s">
        <v>423</v>
      </c>
      <c r="C106" s="3" t="s">
        <v>424</v>
      </c>
      <c r="D106" s="4">
        <v>6.200250559575E12</v>
      </c>
      <c r="E106" s="3" t="s">
        <v>425</v>
      </c>
      <c r="F106" s="3">
        <v>40139.0</v>
      </c>
    </row>
    <row r="107" ht="14.25" customHeight="1">
      <c r="A107" s="3" t="s">
        <v>426</v>
      </c>
      <c r="B107" s="3" t="s">
        <v>427</v>
      </c>
      <c r="C107" s="3" t="s">
        <v>428</v>
      </c>
      <c r="D107" s="4">
        <v>6.219809068463E12</v>
      </c>
      <c r="E107" s="3" t="s">
        <v>429</v>
      </c>
      <c r="F107" s="3">
        <v>40153.0</v>
      </c>
    </row>
    <row r="108" ht="14.25" customHeight="1">
      <c r="A108" s="3" t="s">
        <v>430</v>
      </c>
      <c r="B108" s="3" t="s">
        <v>431</v>
      </c>
      <c r="C108" s="3" t="s">
        <v>432</v>
      </c>
      <c r="D108" s="4">
        <v>6.296986796239E12</v>
      </c>
      <c r="E108" s="3" t="s">
        <v>433</v>
      </c>
      <c r="F108" s="3">
        <v>40166.0</v>
      </c>
    </row>
    <row r="109" ht="14.25" customHeight="1">
      <c r="A109" s="3" t="s">
        <v>434</v>
      </c>
      <c r="B109" s="3" t="s">
        <v>435</v>
      </c>
      <c r="C109" s="3" t="s">
        <v>436</v>
      </c>
      <c r="D109" s="4">
        <v>6.244683580151E12</v>
      </c>
      <c r="E109" s="3" t="s">
        <v>437</v>
      </c>
      <c r="F109" s="3">
        <v>40128.0</v>
      </c>
    </row>
    <row r="110" ht="14.25" customHeight="1">
      <c r="A110" s="3" t="s">
        <v>438</v>
      </c>
      <c r="B110" s="3" t="s">
        <v>439</v>
      </c>
      <c r="C110" s="3" t="s">
        <v>440</v>
      </c>
      <c r="D110" s="4">
        <v>6.266097197942E12</v>
      </c>
      <c r="E110" s="3" t="s">
        <v>441</v>
      </c>
      <c r="F110" s="3">
        <v>40150.0</v>
      </c>
    </row>
    <row r="111" ht="14.25" customHeight="1">
      <c r="A111" s="3" t="s">
        <v>442</v>
      </c>
      <c r="B111" s="3" t="s">
        <v>443</v>
      </c>
      <c r="C111" s="3" t="s">
        <v>444</v>
      </c>
      <c r="D111" s="4">
        <v>6.250475325083E12</v>
      </c>
      <c r="E111" s="3" t="s">
        <v>445</v>
      </c>
      <c r="F111" s="3">
        <v>40113.0</v>
      </c>
    </row>
    <row r="112" ht="14.25" customHeight="1">
      <c r="A112" s="3" t="s">
        <v>446</v>
      </c>
      <c r="B112" s="3" t="s">
        <v>447</v>
      </c>
      <c r="C112" s="3" t="s">
        <v>448</v>
      </c>
      <c r="D112" s="4">
        <v>6.296899422418E12</v>
      </c>
      <c r="E112" s="3" t="s">
        <v>449</v>
      </c>
      <c r="F112" s="3">
        <v>40117.0</v>
      </c>
    </row>
    <row r="113" ht="14.25" customHeight="1">
      <c r="A113" s="3" t="s">
        <v>450</v>
      </c>
      <c r="B113" s="3" t="s">
        <v>451</v>
      </c>
      <c r="C113" s="3" t="s">
        <v>452</v>
      </c>
      <c r="D113" s="4">
        <v>6.294510815651E12</v>
      </c>
      <c r="E113" s="3" t="s">
        <v>453</v>
      </c>
      <c r="F113" s="3">
        <v>40199.0</v>
      </c>
    </row>
    <row r="114" ht="14.25" customHeight="1">
      <c r="A114" s="3" t="s">
        <v>454</v>
      </c>
      <c r="B114" s="3" t="s">
        <v>455</v>
      </c>
      <c r="C114" s="3" t="s">
        <v>456</v>
      </c>
      <c r="D114" s="4">
        <v>6.254522313619E12</v>
      </c>
      <c r="E114" s="3" t="s">
        <v>457</v>
      </c>
      <c r="F114" s="3">
        <v>40172.0</v>
      </c>
    </row>
    <row r="115" ht="14.25" customHeight="1">
      <c r="A115" s="3" t="s">
        <v>458</v>
      </c>
      <c r="B115" s="3" t="s">
        <v>459</v>
      </c>
      <c r="C115" s="3" t="s">
        <v>460</v>
      </c>
      <c r="D115" s="4">
        <v>6.213455731322E12</v>
      </c>
      <c r="E115" s="3" t="s">
        <v>461</v>
      </c>
      <c r="F115" s="3">
        <v>40114.0</v>
      </c>
    </row>
    <row r="116" ht="14.25" customHeight="1">
      <c r="A116" s="3" t="s">
        <v>462</v>
      </c>
      <c r="B116" s="3" t="s">
        <v>463</v>
      </c>
      <c r="C116" s="3" t="s">
        <v>464</v>
      </c>
      <c r="D116" s="4">
        <v>6.259709397154E12</v>
      </c>
      <c r="E116" s="3" t="s">
        <v>465</v>
      </c>
      <c r="F116" s="3">
        <v>40168.0</v>
      </c>
    </row>
    <row r="117" ht="14.25" customHeight="1">
      <c r="A117" s="3" t="s">
        <v>466</v>
      </c>
      <c r="B117" s="3" t="s">
        <v>467</v>
      </c>
      <c r="C117" s="3" t="s">
        <v>468</v>
      </c>
      <c r="D117" s="4">
        <v>6.230657836661E12</v>
      </c>
      <c r="E117" s="3" t="s">
        <v>469</v>
      </c>
      <c r="F117" s="3">
        <v>40147.0</v>
      </c>
    </row>
    <row r="118" ht="14.25" customHeight="1">
      <c r="A118" s="3" t="s">
        <v>470</v>
      </c>
      <c r="B118" s="3" t="s">
        <v>471</v>
      </c>
      <c r="C118" s="3" t="s">
        <v>472</v>
      </c>
      <c r="D118" s="4">
        <v>6.284484614169E12</v>
      </c>
      <c r="E118" s="3" t="s">
        <v>473</v>
      </c>
      <c r="F118" s="3">
        <v>40237.0</v>
      </c>
    </row>
    <row r="119" ht="14.25" customHeight="1">
      <c r="A119" s="3" t="s">
        <v>474</v>
      </c>
      <c r="B119" s="3" t="s">
        <v>475</v>
      </c>
      <c r="C119" s="3" t="s">
        <v>476</v>
      </c>
      <c r="D119" s="4">
        <v>6.26111006969E12</v>
      </c>
      <c r="E119" s="3" t="s">
        <v>477</v>
      </c>
      <c r="F119" s="3">
        <v>40179.0</v>
      </c>
    </row>
    <row r="120" ht="14.25" customHeight="1">
      <c r="A120" s="3" t="s">
        <v>478</v>
      </c>
      <c r="B120" s="3" t="s">
        <v>479</v>
      </c>
      <c r="C120" s="3" t="s">
        <v>480</v>
      </c>
      <c r="D120" s="4">
        <v>6.232210412499E12</v>
      </c>
      <c r="E120" s="3" t="s">
        <v>481</v>
      </c>
      <c r="F120" s="3">
        <v>40201.0</v>
      </c>
    </row>
    <row r="121" ht="14.25" customHeight="1">
      <c r="A121" s="3" t="s">
        <v>482</v>
      </c>
      <c r="B121" s="3" t="s">
        <v>483</v>
      </c>
      <c r="C121" s="3" t="s">
        <v>484</v>
      </c>
      <c r="D121" s="4">
        <v>6.262484705429E12</v>
      </c>
      <c r="E121" s="3" t="s">
        <v>485</v>
      </c>
      <c r="F121" s="3">
        <v>40127.0</v>
      </c>
    </row>
    <row r="122" ht="14.25" customHeight="1">
      <c r="A122" s="3" t="s">
        <v>486</v>
      </c>
      <c r="B122" s="3" t="s">
        <v>487</v>
      </c>
      <c r="C122" s="3" t="s">
        <v>488</v>
      </c>
      <c r="D122" s="4">
        <v>6.245700615187E12</v>
      </c>
      <c r="E122" s="3" t="s">
        <v>489</v>
      </c>
      <c r="F122" s="3">
        <v>40227.0</v>
      </c>
    </row>
    <row r="123" ht="14.25" customHeight="1">
      <c r="A123" s="3" t="s">
        <v>490</v>
      </c>
      <c r="B123" s="3" t="s">
        <v>491</v>
      </c>
      <c r="C123" s="3" t="s">
        <v>492</v>
      </c>
      <c r="D123" s="4">
        <v>6.295463083583E12</v>
      </c>
      <c r="E123" s="3" t="s">
        <v>493</v>
      </c>
      <c r="F123" s="3">
        <v>40253.0</v>
      </c>
    </row>
    <row r="124" ht="14.25" customHeight="1">
      <c r="A124" s="3" t="s">
        <v>494</v>
      </c>
      <c r="B124" s="3" t="s">
        <v>495</v>
      </c>
      <c r="C124" s="3" t="s">
        <v>496</v>
      </c>
      <c r="D124" s="4">
        <v>6.259138634344E12</v>
      </c>
      <c r="E124" s="3" t="s">
        <v>497</v>
      </c>
      <c r="F124" s="3">
        <v>40162.0</v>
      </c>
    </row>
    <row r="125" ht="14.25" customHeight="1">
      <c r="A125" s="3" t="s">
        <v>498</v>
      </c>
      <c r="B125" s="3" t="s">
        <v>499</v>
      </c>
      <c r="C125" s="3" t="s">
        <v>500</v>
      </c>
      <c r="D125" s="4">
        <v>6.220850420848E12</v>
      </c>
      <c r="E125" s="3" t="s">
        <v>501</v>
      </c>
      <c r="F125" s="3">
        <v>40240.0</v>
      </c>
    </row>
    <row r="126" ht="14.25" customHeight="1">
      <c r="A126" s="3" t="s">
        <v>502</v>
      </c>
      <c r="B126" s="3" t="s">
        <v>503</v>
      </c>
      <c r="C126" s="3" t="s">
        <v>504</v>
      </c>
      <c r="D126" s="4">
        <v>6.264082415777E12</v>
      </c>
      <c r="E126" s="3" t="s">
        <v>505</v>
      </c>
      <c r="F126" s="3">
        <v>40170.0</v>
      </c>
    </row>
    <row r="127" ht="14.25" customHeight="1">
      <c r="A127" s="3" t="s">
        <v>506</v>
      </c>
      <c r="B127" s="3" t="s">
        <v>507</v>
      </c>
      <c r="C127" s="3" t="s">
        <v>508</v>
      </c>
      <c r="D127" s="4">
        <v>6.20381576773E12</v>
      </c>
      <c r="E127" s="3" t="s">
        <v>509</v>
      </c>
      <c r="F127" s="3">
        <v>40150.0</v>
      </c>
    </row>
    <row r="128" ht="14.25" customHeight="1">
      <c r="A128" s="3" t="s">
        <v>510</v>
      </c>
      <c r="B128" s="3" t="s">
        <v>511</v>
      </c>
      <c r="C128" s="3" t="s">
        <v>512</v>
      </c>
      <c r="D128" s="4">
        <v>6.210245910622E12</v>
      </c>
      <c r="E128" s="3" t="s">
        <v>513</v>
      </c>
      <c r="F128" s="3">
        <v>40224.0</v>
      </c>
    </row>
    <row r="129" ht="14.25" customHeight="1">
      <c r="A129" s="3" t="s">
        <v>514</v>
      </c>
      <c r="B129" s="3" t="s">
        <v>515</v>
      </c>
      <c r="C129" s="3" t="s">
        <v>516</v>
      </c>
      <c r="D129" s="4">
        <v>6.22291063999E12</v>
      </c>
      <c r="E129" s="3" t="s">
        <v>517</v>
      </c>
      <c r="F129" s="3">
        <v>40138.0</v>
      </c>
    </row>
    <row r="130" ht="14.25" customHeight="1">
      <c r="A130" s="3" t="s">
        <v>518</v>
      </c>
      <c r="B130" s="3" t="s">
        <v>519</v>
      </c>
      <c r="C130" s="3" t="s">
        <v>520</v>
      </c>
      <c r="D130" s="4">
        <v>6.202502575305E12</v>
      </c>
      <c r="E130" s="3" t="s">
        <v>521</v>
      </c>
      <c r="F130" s="3">
        <v>40181.0</v>
      </c>
    </row>
    <row r="131" ht="14.25" customHeight="1">
      <c r="A131" s="3" t="s">
        <v>522</v>
      </c>
      <c r="B131" s="3" t="s">
        <v>523</v>
      </c>
      <c r="C131" s="3" t="s">
        <v>524</v>
      </c>
      <c r="D131" s="4">
        <v>6.254806449634E12</v>
      </c>
      <c r="E131" s="3" t="s">
        <v>525</v>
      </c>
      <c r="F131" s="3">
        <v>40189.0</v>
      </c>
    </row>
    <row r="132" ht="14.25" customHeight="1">
      <c r="A132" s="3" t="s">
        <v>526</v>
      </c>
      <c r="B132" s="3" t="s">
        <v>143</v>
      </c>
      <c r="C132" s="3" t="s">
        <v>527</v>
      </c>
      <c r="D132" s="4">
        <v>6.262079227805E12</v>
      </c>
      <c r="E132" s="3" t="s">
        <v>528</v>
      </c>
      <c r="F132" s="3">
        <v>40256.0</v>
      </c>
    </row>
    <row r="133" ht="14.25" customHeight="1">
      <c r="A133" s="3" t="s">
        <v>529</v>
      </c>
      <c r="B133" s="3" t="s">
        <v>530</v>
      </c>
      <c r="C133" s="3" t="s">
        <v>531</v>
      </c>
      <c r="D133" s="4">
        <v>6.232541709878E12</v>
      </c>
      <c r="E133" s="3" t="s">
        <v>532</v>
      </c>
      <c r="F133" s="3">
        <v>40250.0</v>
      </c>
    </row>
    <row r="134" ht="14.25" customHeight="1">
      <c r="A134" s="3" t="s">
        <v>533</v>
      </c>
      <c r="B134" s="3" t="s">
        <v>534</v>
      </c>
      <c r="C134" s="3" t="s">
        <v>535</v>
      </c>
      <c r="D134" s="4">
        <v>6.269812306022E12</v>
      </c>
      <c r="E134" s="3" t="s">
        <v>536</v>
      </c>
      <c r="F134" s="3">
        <v>40232.0</v>
      </c>
    </row>
    <row r="135" ht="14.25" customHeight="1">
      <c r="A135" s="3" t="s">
        <v>537</v>
      </c>
      <c r="B135" s="3" t="s">
        <v>538</v>
      </c>
      <c r="C135" s="3" t="s">
        <v>539</v>
      </c>
      <c r="D135" s="4">
        <v>6.217417098534E12</v>
      </c>
      <c r="E135" s="3" t="s">
        <v>540</v>
      </c>
      <c r="F135" s="3">
        <v>40224.0</v>
      </c>
    </row>
    <row r="136" ht="14.25" customHeight="1">
      <c r="A136" s="3" t="s">
        <v>541</v>
      </c>
      <c r="B136" s="3" t="s">
        <v>542</v>
      </c>
      <c r="C136" s="3" t="s">
        <v>543</v>
      </c>
      <c r="D136" s="4">
        <v>6.227302395857E12</v>
      </c>
      <c r="E136" s="3" t="s">
        <v>544</v>
      </c>
      <c r="F136" s="3">
        <v>40247.0</v>
      </c>
    </row>
    <row r="137" ht="14.25" customHeight="1">
      <c r="A137" s="3" t="s">
        <v>545</v>
      </c>
      <c r="B137" s="3" t="s">
        <v>546</v>
      </c>
      <c r="C137" s="3" t="s">
        <v>547</v>
      </c>
      <c r="D137" s="4">
        <v>6.28177344466E12</v>
      </c>
      <c r="E137" s="3" t="s">
        <v>548</v>
      </c>
      <c r="F137" s="3">
        <v>40115.0</v>
      </c>
    </row>
    <row r="138" ht="14.25" customHeight="1">
      <c r="A138" s="3" t="s">
        <v>549</v>
      </c>
      <c r="B138" s="3" t="s">
        <v>550</v>
      </c>
      <c r="C138" s="3" t="s">
        <v>551</v>
      </c>
      <c r="D138" s="4">
        <v>6.272451021361E12</v>
      </c>
      <c r="E138" s="3" t="s">
        <v>552</v>
      </c>
      <c r="F138" s="3">
        <v>40136.0</v>
      </c>
    </row>
    <row r="139" ht="14.25" customHeight="1">
      <c r="A139" s="3" t="s">
        <v>553</v>
      </c>
      <c r="B139" s="3" t="s">
        <v>554</v>
      </c>
      <c r="C139" s="3" t="s">
        <v>555</v>
      </c>
      <c r="D139" s="4">
        <v>6.207726580053E12</v>
      </c>
      <c r="E139" s="3" t="s">
        <v>556</v>
      </c>
      <c r="F139" s="3">
        <v>40190.0</v>
      </c>
    </row>
    <row r="140" ht="14.25" customHeight="1">
      <c r="A140" s="3" t="s">
        <v>557</v>
      </c>
      <c r="B140" s="3" t="s">
        <v>558</v>
      </c>
      <c r="C140" s="3" t="s">
        <v>559</v>
      </c>
      <c r="D140" s="4">
        <v>6.281035494882E12</v>
      </c>
      <c r="E140" s="3" t="s">
        <v>560</v>
      </c>
      <c r="F140" s="3">
        <v>40209.0</v>
      </c>
    </row>
    <row r="141" ht="14.25" customHeight="1">
      <c r="A141" s="3" t="s">
        <v>561</v>
      </c>
      <c r="B141" s="3" t="s">
        <v>562</v>
      </c>
      <c r="C141" s="3" t="s">
        <v>563</v>
      </c>
      <c r="D141" s="4">
        <v>6.215941978047E12</v>
      </c>
      <c r="E141" s="3" t="s">
        <v>564</v>
      </c>
      <c r="F141" s="3">
        <v>40141.0</v>
      </c>
    </row>
    <row r="142" ht="14.25" customHeight="1">
      <c r="A142" s="3" t="s">
        <v>565</v>
      </c>
      <c r="B142" s="3" t="s">
        <v>566</v>
      </c>
      <c r="C142" s="3" t="s">
        <v>567</v>
      </c>
      <c r="D142" s="4">
        <v>6.240562461995E12</v>
      </c>
      <c r="E142" s="3" t="s">
        <v>568</v>
      </c>
      <c r="F142" s="3">
        <v>40133.0</v>
      </c>
    </row>
    <row r="143" ht="14.25" customHeight="1">
      <c r="A143" s="3" t="s">
        <v>569</v>
      </c>
      <c r="B143" s="3" t="s">
        <v>570</v>
      </c>
      <c r="C143" s="3" t="s">
        <v>571</v>
      </c>
      <c r="D143" s="4">
        <v>6.268820666143E12</v>
      </c>
      <c r="E143" s="3" t="s">
        <v>572</v>
      </c>
      <c r="F143" s="3">
        <v>40130.0</v>
      </c>
    </row>
    <row r="144" ht="14.25" customHeight="1">
      <c r="A144" s="3" t="s">
        <v>573</v>
      </c>
      <c r="B144" s="3" t="s">
        <v>574</v>
      </c>
      <c r="C144" s="3" t="s">
        <v>575</v>
      </c>
      <c r="D144" s="4">
        <v>6.226879056271E12</v>
      </c>
      <c r="E144" s="3" t="s">
        <v>576</v>
      </c>
      <c r="F144" s="3">
        <v>40171.0</v>
      </c>
    </row>
    <row r="145" ht="14.25" customHeight="1">
      <c r="A145" s="3" t="s">
        <v>577</v>
      </c>
      <c r="B145" s="3" t="s">
        <v>578</v>
      </c>
      <c r="C145" s="3" t="s">
        <v>579</v>
      </c>
      <c r="D145" s="4">
        <v>6.299402616488E12</v>
      </c>
      <c r="E145" s="3" t="s">
        <v>580</v>
      </c>
      <c r="F145" s="3">
        <v>40252.0</v>
      </c>
    </row>
    <row r="146" ht="14.25" customHeight="1">
      <c r="A146" s="3" t="s">
        <v>581</v>
      </c>
      <c r="B146" s="3" t="s">
        <v>582</v>
      </c>
      <c r="C146" s="3" t="s">
        <v>583</v>
      </c>
      <c r="D146" s="4">
        <v>6.239216902125E12</v>
      </c>
      <c r="E146" s="3" t="s">
        <v>584</v>
      </c>
      <c r="F146" s="3">
        <v>40193.0</v>
      </c>
    </row>
    <row r="147" ht="14.25" customHeight="1">
      <c r="A147" s="3" t="s">
        <v>585</v>
      </c>
      <c r="B147" s="3" t="s">
        <v>586</v>
      </c>
      <c r="C147" s="3" t="s">
        <v>587</v>
      </c>
      <c r="D147" s="4">
        <v>6.257318204438E12</v>
      </c>
      <c r="E147" s="3" t="s">
        <v>588</v>
      </c>
      <c r="F147" s="3">
        <v>40134.0</v>
      </c>
    </row>
    <row r="148" ht="14.25" customHeight="1">
      <c r="A148" s="3" t="s">
        <v>589</v>
      </c>
      <c r="B148" s="3" t="s">
        <v>590</v>
      </c>
      <c r="C148" s="3" t="s">
        <v>591</v>
      </c>
      <c r="D148" s="4">
        <v>6.271187373887E12</v>
      </c>
      <c r="E148" s="3" t="s">
        <v>592</v>
      </c>
      <c r="F148" s="3">
        <v>40224.0</v>
      </c>
    </row>
    <row r="149" ht="14.25" customHeight="1">
      <c r="A149" s="3" t="s">
        <v>593</v>
      </c>
      <c r="B149" s="3" t="s">
        <v>594</v>
      </c>
      <c r="C149" s="3" t="s">
        <v>595</v>
      </c>
      <c r="D149" s="4">
        <v>6.2677126787E12</v>
      </c>
      <c r="E149" s="3" t="s">
        <v>596</v>
      </c>
      <c r="F149" s="3">
        <v>40166.0</v>
      </c>
    </row>
    <row r="150" ht="14.25" customHeight="1">
      <c r="A150" s="3" t="s">
        <v>597</v>
      </c>
      <c r="B150" s="3" t="s">
        <v>598</v>
      </c>
      <c r="C150" s="3" t="s">
        <v>599</v>
      </c>
      <c r="D150" s="4">
        <v>6.250721934467E12</v>
      </c>
      <c r="E150" s="3" t="s">
        <v>600</v>
      </c>
      <c r="F150" s="3">
        <v>40224.0</v>
      </c>
    </row>
    <row r="151" ht="14.25" customHeight="1">
      <c r="A151" s="3" t="s">
        <v>601</v>
      </c>
      <c r="B151" s="3" t="s">
        <v>602</v>
      </c>
      <c r="C151" s="3" t="s">
        <v>603</v>
      </c>
      <c r="D151" s="4">
        <v>6.243891596014E12</v>
      </c>
      <c r="E151" s="3" t="s">
        <v>604</v>
      </c>
      <c r="F151" s="3">
        <v>40216.0</v>
      </c>
    </row>
    <row r="152" ht="14.25" customHeight="1">
      <c r="A152" s="3" t="s">
        <v>605</v>
      </c>
      <c r="B152" s="3" t="s">
        <v>606</v>
      </c>
      <c r="C152" s="3" t="s">
        <v>607</v>
      </c>
      <c r="D152" s="4">
        <v>6.21699996488E12</v>
      </c>
      <c r="E152" s="3" t="s">
        <v>608</v>
      </c>
      <c r="F152" s="3">
        <v>40170.0</v>
      </c>
    </row>
    <row r="153" ht="14.25" customHeight="1">
      <c r="A153" s="3" t="s">
        <v>609</v>
      </c>
      <c r="B153" s="3" t="s">
        <v>610</v>
      </c>
      <c r="C153" s="3" t="s">
        <v>611</v>
      </c>
      <c r="D153" s="4">
        <v>6.247175588174E12</v>
      </c>
      <c r="E153" s="3" t="s">
        <v>612</v>
      </c>
      <c r="F153" s="3">
        <v>40231.0</v>
      </c>
    </row>
    <row r="154" ht="14.25" customHeight="1">
      <c r="A154" s="3" t="s">
        <v>613</v>
      </c>
      <c r="B154" s="3" t="s">
        <v>614</v>
      </c>
      <c r="C154" s="3" t="s">
        <v>615</v>
      </c>
      <c r="D154" s="4">
        <v>6.237065455094E12</v>
      </c>
      <c r="E154" s="3" t="s">
        <v>616</v>
      </c>
      <c r="F154" s="3">
        <v>40117.0</v>
      </c>
    </row>
    <row r="155" ht="14.25" customHeight="1">
      <c r="A155" s="3" t="s">
        <v>617</v>
      </c>
      <c r="B155" s="3" t="s">
        <v>618</v>
      </c>
      <c r="C155" s="3" t="s">
        <v>619</v>
      </c>
      <c r="D155" s="4">
        <v>6.23087739579E12</v>
      </c>
      <c r="E155" s="3" t="s">
        <v>620</v>
      </c>
      <c r="F155" s="3">
        <v>40223.0</v>
      </c>
    </row>
    <row r="156" ht="14.25" customHeight="1">
      <c r="A156" s="3" t="s">
        <v>621</v>
      </c>
      <c r="B156" s="3" t="s">
        <v>622</v>
      </c>
      <c r="C156" s="3" t="s">
        <v>623</v>
      </c>
      <c r="D156" s="4">
        <v>6.249309539948E12</v>
      </c>
      <c r="E156" s="3" t="s">
        <v>624</v>
      </c>
      <c r="F156" s="3">
        <v>40204.0</v>
      </c>
    </row>
    <row r="157" ht="14.25" customHeight="1">
      <c r="A157" s="3" t="s">
        <v>625</v>
      </c>
      <c r="B157" s="3" t="s">
        <v>27</v>
      </c>
      <c r="C157" s="3" t="s">
        <v>626</v>
      </c>
      <c r="D157" s="4">
        <v>6.233807950585E12</v>
      </c>
      <c r="E157" s="3" t="s">
        <v>627</v>
      </c>
      <c r="F157" s="3">
        <v>40144.0</v>
      </c>
    </row>
    <row r="158" ht="14.25" customHeight="1">
      <c r="A158" s="3" t="s">
        <v>628</v>
      </c>
      <c r="B158" s="3" t="s">
        <v>629</v>
      </c>
      <c r="C158" s="3" t="s">
        <v>630</v>
      </c>
      <c r="D158" s="4">
        <v>6.234894518927E12</v>
      </c>
      <c r="E158" s="3" t="s">
        <v>631</v>
      </c>
      <c r="F158" s="3">
        <v>40184.0</v>
      </c>
    </row>
    <row r="159" ht="14.25" customHeight="1">
      <c r="A159" s="3" t="s">
        <v>632</v>
      </c>
      <c r="B159" s="3" t="s">
        <v>633</v>
      </c>
      <c r="C159" s="3" t="s">
        <v>634</v>
      </c>
      <c r="D159" s="4">
        <v>6.295050857395E12</v>
      </c>
      <c r="E159" s="3" t="s">
        <v>635</v>
      </c>
      <c r="F159" s="3">
        <v>40203.0</v>
      </c>
    </row>
    <row r="160" ht="14.25" customHeight="1">
      <c r="A160" s="3" t="s">
        <v>636</v>
      </c>
      <c r="B160" s="3" t="s">
        <v>637</v>
      </c>
      <c r="C160" s="3" t="s">
        <v>638</v>
      </c>
      <c r="D160" s="4">
        <v>6.204270470078E12</v>
      </c>
      <c r="E160" s="3" t="s">
        <v>639</v>
      </c>
      <c r="F160" s="3">
        <v>40148.0</v>
      </c>
    </row>
    <row r="161" ht="14.25" customHeight="1">
      <c r="A161" s="3" t="s">
        <v>640</v>
      </c>
      <c r="B161" s="3" t="s">
        <v>641</v>
      </c>
      <c r="C161" s="3" t="s">
        <v>642</v>
      </c>
      <c r="D161" s="4">
        <v>6.237369780082E12</v>
      </c>
      <c r="E161" s="3" t="s">
        <v>643</v>
      </c>
      <c r="F161" s="3">
        <v>40162.0</v>
      </c>
    </row>
    <row r="162" ht="14.25" customHeight="1">
      <c r="A162" s="3" t="s">
        <v>644</v>
      </c>
      <c r="B162" s="3" t="s">
        <v>645</v>
      </c>
      <c r="C162" s="3" t="s">
        <v>646</v>
      </c>
      <c r="D162" s="4">
        <v>6.23238450838E12</v>
      </c>
      <c r="E162" s="3" t="s">
        <v>647</v>
      </c>
      <c r="F162" s="3">
        <v>40163.0</v>
      </c>
    </row>
    <row r="163" ht="14.25" customHeight="1">
      <c r="A163" s="3" t="s">
        <v>648</v>
      </c>
      <c r="B163" s="3" t="s">
        <v>649</v>
      </c>
      <c r="C163" s="3" t="s">
        <v>650</v>
      </c>
      <c r="D163" s="4">
        <v>6.207426946884E12</v>
      </c>
      <c r="E163" s="3" t="s">
        <v>651</v>
      </c>
      <c r="F163" s="3">
        <v>40133.0</v>
      </c>
    </row>
    <row r="164" ht="14.25" customHeight="1">
      <c r="A164" s="3" t="s">
        <v>652</v>
      </c>
      <c r="B164" s="3" t="s">
        <v>653</v>
      </c>
      <c r="C164" s="3" t="s">
        <v>654</v>
      </c>
      <c r="D164" s="4">
        <v>6.218560014494E12</v>
      </c>
      <c r="E164" s="3" t="s">
        <v>655</v>
      </c>
      <c r="F164" s="3">
        <v>40222.0</v>
      </c>
    </row>
    <row r="165" ht="14.25" customHeight="1">
      <c r="A165" s="3" t="s">
        <v>656</v>
      </c>
      <c r="B165" s="3" t="s">
        <v>657</v>
      </c>
      <c r="C165" s="3" t="s">
        <v>658</v>
      </c>
      <c r="D165" s="4">
        <v>6.261419358438E12</v>
      </c>
      <c r="E165" s="3" t="s">
        <v>659</v>
      </c>
      <c r="F165" s="3">
        <v>40163.0</v>
      </c>
    </row>
    <row r="166" ht="14.25" customHeight="1">
      <c r="A166" s="3" t="s">
        <v>660</v>
      </c>
      <c r="B166" s="3" t="s">
        <v>661</v>
      </c>
      <c r="C166" s="3" t="s">
        <v>662</v>
      </c>
      <c r="D166" s="4">
        <v>6.272054624291E12</v>
      </c>
      <c r="E166" s="3" t="s">
        <v>663</v>
      </c>
      <c r="F166" s="3">
        <v>40201.0</v>
      </c>
    </row>
    <row r="167" ht="14.25" customHeight="1">
      <c r="A167" s="3" t="s">
        <v>664</v>
      </c>
      <c r="B167" s="3" t="s">
        <v>665</v>
      </c>
      <c r="C167" s="3" t="s">
        <v>666</v>
      </c>
      <c r="D167" s="4">
        <v>6.260835529456E12</v>
      </c>
      <c r="E167" s="3" t="s">
        <v>667</v>
      </c>
      <c r="F167" s="3">
        <v>40253.0</v>
      </c>
    </row>
    <row r="168" ht="14.25" customHeight="1">
      <c r="A168" s="3" t="s">
        <v>668</v>
      </c>
      <c r="B168" s="3" t="s">
        <v>669</v>
      </c>
      <c r="C168" s="3" t="s">
        <v>670</v>
      </c>
      <c r="D168" s="4">
        <v>6.258268226792E12</v>
      </c>
      <c r="E168" s="3" t="s">
        <v>671</v>
      </c>
      <c r="F168" s="3">
        <v>40124.0</v>
      </c>
    </row>
    <row r="169" ht="14.25" customHeight="1">
      <c r="A169" s="3" t="s">
        <v>672</v>
      </c>
      <c r="B169" s="3" t="s">
        <v>673</v>
      </c>
      <c r="C169" s="3" t="s">
        <v>674</v>
      </c>
      <c r="D169" s="4">
        <v>6.245325089767E12</v>
      </c>
      <c r="E169" s="3" t="s">
        <v>675</v>
      </c>
      <c r="F169" s="3">
        <v>40201.0</v>
      </c>
    </row>
    <row r="170" ht="14.25" customHeight="1">
      <c r="A170" s="3" t="s">
        <v>676</v>
      </c>
      <c r="B170" s="3" t="s">
        <v>677</v>
      </c>
      <c r="C170" s="3" t="s">
        <v>678</v>
      </c>
      <c r="D170" s="4">
        <v>6.25976276175E12</v>
      </c>
      <c r="E170" s="3" t="s">
        <v>679</v>
      </c>
      <c r="F170" s="3">
        <v>40238.0</v>
      </c>
    </row>
    <row r="171" ht="14.25" customHeight="1">
      <c r="A171" s="3" t="s">
        <v>680</v>
      </c>
      <c r="B171" s="3" t="s">
        <v>681</v>
      </c>
      <c r="C171" s="3" t="s">
        <v>682</v>
      </c>
      <c r="D171" s="4">
        <v>6.274214825629E12</v>
      </c>
      <c r="E171" s="3" t="s">
        <v>683</v>
      </c>
      <c r="F171" s="3">
        <v>40159.0</v>
      </c>
    </row>
    <row r="172" ht="14.25" customHeight="1">
      <c r="A172" s="3" t="s">
        <v>684</v>
      </c>
      <c r="B172" s="3" t="s">
        <v>685</v>
      </c>
      <c r="C172" s="3" t="s">
        <v>686</v>
      </c>
      <c r="D172" s="4">
        <v>6.288696728418E12</v>
      </c>
      <c r="E172" s="3" t="s">
        <v>687</v>
      </c>
      <c r="F172" s="3">
        <v>40248.0</v>
      </c>
    </row>
    <row r="173" ht="14.25" customHeight="1">
      <c r="A173" s="3" t="s">
        <v>688</v>
      </c>
      <c r="B173" s="3" t="s">
        <v>689</v>
      </c>
      <c r="C173" s="3" t="s">
        <v>690</v>
      </c>
      <c r="D173" s="4">
        <v>6.261274230693E12</v>
      </c>
      <c r="E173" s="3" t="s">
        <v>691</v>
      </c>
      <c r="F173" s="3">
        <v>40238.0</v>
      </c>
    </row>
    <row r="174" ht="14.25" customHeight="1">
      <c r="A174" s="3" t="s">
        <v>692</v>
      </c>
      <c r="B174" s="3" t="s">
        <v>693</v>
      </c>
      <c r="C174" s="3" t="s">
        <v>694</v>
      </c>
      <c r="D174" s="4">
        <v>6.229710082955E12</v>
      </c>
      <c r="E174" s="3" t="s">
        <v>695</v>
      </c>
      <c r="F174" s="3">
        <v>40178.0</v>
      </c>
    </row>
    <row r="175" ht="14.25" customHeight="1">
      <c r="A175" s="3" t="s">
        <v>696</v>
      </c>
      <c r="B175" s="3" t="s">
        <v>697</v>
      </c>
      <c r="C175" s="3" t="s">
        <v>698</v>
      </c>
      <c r="D175" s="4">
        <v>6.20826528592E12</v>
      </c>
      <c r="E175" s="3" t="s">
        <v>699</v>
      </c>
      <c r="F175" s="3">
        <v>40181.0</v>
      </c>
    </row>
    <row r="176" ht="14.25" customHeight="1">
      <c r="A176" s="3" t="s">
        <v>700</v>
      </c>
      <c r="B176" s="3" t="s">
        <v>701</v>
      </c>
      <c r="C176" s="3" t="s">
        <v>702</v>
      </c>
      <c r="D176" s="4">
        <v>6.270650947472E12</v>
      </c>
      <c r="E176" s="3" t="s">
        <v>703</v>
      </c>
      <c r="F176" s="3">
        <v>40155.0</v>
      </c>
    </row>
    <row r="177" ht="14.25" customHeight="1">
      <c r="A177" s="3" t="s">
        <v>704</v>
      </c>
      <c r="B177" s="3" t="s">
        <v>705</v>
      </c>
      <c r="C177" s="3" t="s">
        <v>706</v>
      </c>
      <c r="D177" s="4">
        <v>6.214139039135E12</v>
      </c>
      <c r="E177" s="3" t="s">
        <v>707</v>
      </c>
      <c r="F177" s="3">
        <v>40189.0</v>
      </c>
    </row>
    <row r="178" ht="14.25" customHeight="1">
      <c r="A178" s="3" t="s">
        <v>708</v>
      </c>
      <c r="B178" s="3" t="s">
        <v>709</v>
      </c>
      <c r="C178" s="3" t="s">
        <v>710</v>
      </c>
      <c r="D178" s="4">
        <v>6.276118842111E12</v>
      </c>
      <c r="E178" s="3" t="s">
        <v>711</v>
      </c>
      <c r="F178" s="3">
        <v>40121.0</v>
      </c>
    </row>
    <row r="179" ht="14.25" customHeight="1">
      <c r="A179" s="3" t="s">
        <v>712</v>
      </c>
      <c r="B179" s="3" t="s">
        <v>713</v>
      </c>
      <c r="C179" s="3" t="s">
        <v>714</v>
      </c>
      <c r="D179" s="4">
        <v>6.24735166033E12</v>
      </c>
      <c r="E179" s="3" t="s">
        <v>715</v>
      </c>
      <c r="F179" s="3">
        <v>40196.0</v>
      </c>
    </row>
    <row r="180" ht="14.25" customHeight="1">
      <c r="A180" s="3" t="s">
        <v>716</v>
      </c>
      <c r="B180" s="3" t="s">
        <v>717</v>
      </c>
      <c r="C180" s="3" t="s">
        <v>718</v>
      </c>
      <c r="D180" s="4">
        <v>6.261028533026E12</v>
      </c>
      <c r="E180" s="3" t="s">
        <v>719</v>
      </c>
      <c r="F180" s="3">
        <v>40230.0</v>
      </c>
    </row>
    <row r="181" ht="14.25" customHeight="1">
      <c r="A181" s="3" t="s">
        <v>720</v>
      </c>
      <c r="B181" s="3" t="s">
        <v>721</v>
      </c>
      <c r="C181" s="3" t="s">
        <v>722</v>
      </c>
      <c r="D181" s="4">
        <v>6.248803059992E12</v>
      </c>
      <c r="E181" s="3" t="s">
        <v>723</v>
      </c>
      <c r="F181" s="3">
        <v>40179.0</v>
      </c>
    </row>
    <row r="182" ht="14.25" customHeight="1">
      <c r="A182" s="3" t="s">
        <v>724</v>
      </c>
      <c r="B182" s="3" t="s">
        <v>530</v>
      </c>
      <c r="C182" s="3" t="s">
        <v>725</v>
      </c>
      <c r="D182" s="4">
        <v>6.287333431775E12</v>
      </c>
      <c r="E182" s="3" t="s">
        <v>726</v>
      </c>
      <c r="F182" s="3">
        <v>40170.0</v>
      </c>
    </row>
    <row r="183" ht="14.25" customHeight="1">
      <c r="A183" s="3" t="s">
        <v>727</v>
      </c>
      <c r="B183" s="3" t="s">
        <v>728</v>
      </c>
      <c r="C183" s="3" t="s">
        <v>729</v>
      </c>
      <c r="D183" s="4">
        <v>6.290261463737E12</v>
      </c>
      <c r="E183" s="3" t="s">
        <v>730</v>
      </c>
      <c r="F183" s="3">
        <v>40227.0</v>
      </c>
    </row>
    <row r="184" ht="14.25" customHeight="1">
      <c r="A184" s="3" t="s">
        <v>731</v>
      </c>
      <c r="B184" s="3" t="s">
        <v>732</v>
      </c>
      <c r="C184" s="3" t="s">
        <v>733</v>
      </c>
      <c r="D184" s="4">
        <v>6.222112686913E12</v>
      </c>
      <c r="E184" s="3" t="s">
        <v>734</v>
      </c>
      <c r="F184" s="3">
        <v>40193.0</v>
      </c>
    </row>
    <row r="185" ht="14.25" customHeight="1">
      <c r="A185" s="3" t="s">
        <v>735</v>
      </c>
      <c r="B185" s="3" t="s">
        <v>736</v>
      </c>
      <c r="C185" s="3" t="s">
        <v>737</v>
      </c>
      <c r="D185" s="4">
        <v>6.292929865866E12</v>
      </c>
      <c r="E185" s="3" t="s">
        <v>738</v>
      </c>
      <c r="F185" s="3">
        <v>40245.0</v>
      </c>
    </row>
    <row r="186" ht="14.25" customHeight="1">
      <c r="A186" s="3" t="s">
        <v>739</v>
      </c>
      <c r="B186" s="3" t="s">
        <v>740</v>
      </c>
      <c r="C186" s="3" t="s">
        <v>741</v>
      </c>
      <c r="D186" s="4">
        <v>6.297844092218E12</v>
      </c>
      <c r="E186" s="3" t="s">
        <v>742</v>
      </c>
      <c r="F186" s="3">
        <v>40252.0</v>
      </c>
    </row>
    <row r="187" ht="14.25" customHeight="1">
      <c r="A187" s="3" t="s">
        <v>743</v>
      </c>
      <c r="B187" s="3" t="s">
        <v>744</v>
      </c>
      <c r="C187" s="3" t="s">
        <v>745</v>
      </c>
      <c r="D187" s="4">
        <v>6.276962134138E12</v>
      </c>
      <c r="E187" s="3" t="s">
        <v>746</v>
      </c>
      <c r="F187" s="3">
        <v>40228.0</v>
      </c>
    </row>
    <row r="188" ht="14.25" customHeight="1">
      <c r="A188" s="3" t="s">
        <v>747</v>
      </c>
      <c r="B188" s="3" t="s">
        <v>748</v>
      </c>
      <c r="C188" s="3" t="s">
        <v>749</v>
      </c>
      <c r="D188" s="4">
        <v>6.297055142735E12</v>
      </c>
      <c r="E188" s="3" t="s">
        <v>750</v>
      </c>
      <c r="F188" s="3">
        <v>40178.0</v>
      </c>
    </row>
    <row r="189" ht="14.25" customHeight="1">
      <c r="A189" s="3" t="s">
        <v>751</v>
      </c>
      <c r="B189" s="3" t="s">
        <v>752</v>
      </c>
      <c r="C189" s="3" t="s">
        <v>753</v>
      </c>
      <c r="D189" s="4">
        <v>6.278925415633E12</v>
      </c>
      <c r="E189" s="3" t="s">
        <v>754</v>
      </c>
      <c r="F189" s="3">
        <v>40162.0</v>
      </c>
    </row>
    <row r="190" ht="14.25" customHeight="1">
      <c r="A190" s="3" t="s">
        <v>755</v>
      </c>
      <c r="B190" s="3" t="s">
        <v>756</v>
      </c>
      <c r="C190" s="3" t="s">
        <v>757</v>
      </c>
      <c r="D190" s="4">
        <v>6.254515373618E12</v>
      </c>
      <c r="E190" s="3" t="s">
        <v>758</v>
      </c>
      <c r="F190" s="3">
        <v>40245.0</v>
      </c>
    </row>
    <row r="191" ht="14.25" customHeight="1">
      <c r="A191" s="3" t="s">
        <v>759</v>
      </c>
      <c r="B191" s="3" t="s">
        <v>760</v>
      </c>
      <c r="C191" s="3" t="s">
        <v>761</v>
      </c>
      <c r="D191" s="4">
        <v>6.251180393657E12</v>
      </c>
      <c r="E191" s="3" t="s">
        <v>762</v>
      </c>
      <c r="F191" s="3">
        <v>40190.0</v>
      </c>
    </row>
    <row r="192" ht="14.25" customHeight="1">
      <c r="A192" s="3" t="s">
        <v>763</v>
      </c>
      <c r="B192" s="3" t="s">
        <v>764</v>
      </c>
      <c r="C192" s="3" t="s">
        <v>765</v>
      </c>
      <c r="D192" s="4">
        <v>6.202752090091E12</v>
      </c>
      <c r="E192" s="3" t="s">
        <v>766</v>
      </c>
      <c r="F192" s="3">
        <v>40241.0</v>
      </c>
    </row>
    <row r="193" ht="14.25" customHeight="1">
      <c r="A193" s="3" t="s">
        <v>767</v>
      </c>
      <c r="B193" s="3" t="s">
        <v>768</v>
      </c>
      <c r="C193" s="3" t="s">
        <v>769</v>
      </c>
      <c r="D193" s="4">
        <v>6.2150068602E12</v>
      </c>
      <c r="E193" s="3" t="s">
        <v>770</v>
      </c>
      <c r="F193" s="3">
        <v>40227.0</v>
      </c>
    </row>
    <row r="194" ht="14.25" customHeight="1">
      <c r="A194" s="3" t="s">
        <v>771</v>
      </c>
      <c r="B194" s="3" t="s">
        <v>772</v>
      </c>
      <c r="C194" s="3" t="s">
        <v>773</v>
      </c>
      <c r="D194" s="4">
        <v>6.296597055781E12</v>
      </c>
      <c r="E194" s="3" t="s">
        <v>774</v>
      </c>
      <c r="F194" s="3">
        <v>40220.0</v>
      </c>
    </row>
    <row r="195" ht="14.25" customHeight="1">
      <c r="A195" s="3" t="s">
        <v>775</v>
      </c>
      <c r="B195" s="3" t="s">
        <v>776</v>
      </c>
      <c r="C195" s="3" t="s">
        <v>777</v>
      </c>
      <c r="D195" s="4">
        <v>6.229358451754E12</v>
      </c>
      <c r="E195" s="3" t="s">
        <v>778</v>
      </c>
      <c r="F195" s="3">
        <v>40225.0</v>
      </c>
    </row>
    <row r="196" ht="14.25" customHeight="1">
      <c r="A196" s="3" t="s">
        <v>779</v>
      </c>
      <c r="B196" s="3" t="s">
        <v>780</v>
      </c>
      <c r="C196" s="3" t="s">
        <v>781</v>
      </c>
      <c r="D196" s="4">
        <v>6.271060311557E12</v>
      </c>
      <c r="E196" s="3" t="s">
        <v>782</v>
      </c>
      <c r="F196" s="3">
        <v>40224.0</v>
      </c>
    </row>
    <row r="197" ht="14.25" customHeight="1">
      <c r="A197" s="3" t="s">
        <v>783</v>
      </c>
      <c r="B197" s="3" t="s">
        <v>784</v>
      </c>
      <c r="C197" s="3" t="s">
        <v>785</v>
      </c>
      <c r="D197" s="4">
        <v>6.278746711151E12</v>
      </c>
      <c r="E197" s="3" t="s">
        <v>786</v>
      </c>
      <c r="F197" s="3">
        <v>40120.0</v>
      </c>
    </row>
    <row r="198" ht="14.25" customHeight="1">
      <c r="A198" s="3" t="s">
        <v>787</v>
      </c>
      <c r="B198" s="3" t="s">
        <v>788</v>
      </c>
      <c r="C198" s="3" t="s">
        <v>789</v>
      </c>
      <c r="D198" s="4">
        <v>6.288609956256E12</v>
      </c>
      <c r="E198" s="3" t="s">
        <v>790</v>
      </c>
      <c r="F198" s="3">
        <v>40212.0</v>
      </c>
    </row>
    <row r="199" ht="14.25" customHeight="1">
      <c r="A199" s="3" t="s">
        <v>791</v>
      </c>
      <c r="B199" s="3" t="s">
        <v>792</v>
      </c>
      <c r="C199" s="3" t="s">
        <v>793</v>
      </c>
      <c r="D199" s="4">
        <v>6.22752274239E12</v>
      </c>
      <c r="E199" s="3" t="s">
        <v>794</v>
      </c>
      <c r="F199" s="3">
        <v>40216.0</v>
      </c>
    </row>
    <row r="200" ht="14.25" customHeight="1">
      <c r="A200" s="3" t="s">
        <v>795</v>
      </c>
      <c r="B200" s="3" t="s">
        <v>796</v>
      </c>
      <c r="C200" s="3" t="s">
        <v>797</v>
      </c>
      <c r="D200" s="4">
        <v>6.216525984988E12</v>
      </c>
      <c r="E200" s="3" t="s">
        <v>798</v>
      </c>
      <c r="F200" s="3">
        <v>40124.0</v>
      </c>
    </row>
    <row r="201" ht="14.25" customHeight="1">
      <c r="A201" s="3" t="s">
        <v>799</v>
      </c>
      <c r="B201" s="3" t="s">
        <v>800</v>
      </c>
      <c r="C201" s="3" t="s">
        <v>801</v>
      </c>
      <c r="D201" s="4">
        <v>6.2565528946E12</v>
      </c>
      <c r="E201" s="3" t="s">
        <v>802</v>
      </c>
      <c r="F201" s="3">
        <v>40212.0</v>
      </c>
    </row>
    <row r="202" ht="14.25" customHeight="1">
      <c r="A202" s="3" t="s">
        <v>803</v>
      </c>
      <c r="B202" s="3" t="s">
        <v>804</v>
      </c>
      <c r="C202" s="3" t="s">
        <v>805</v>
      </c>
      <c r="D202" s="4">
        <v>6.22915958132E12</v>
      </c>
      <c r="E202" s="3" t="s">
        <v>806</v>
      </c>
      <c r="F202" s="3">
        <v>40235.0</v>
      </c>
    </row>
    <row r="203" ht="14.25" customHeight="1">
      <c r="A203" s="3" t="s">
        <v>807</v>
      </c>
      <c r="B203" s="3" t="s">
        <v>808</v>
      </c>
      <c r="C203" s="3" t="s">
        <v>809</v>
      </c>
      <c r="D203" s="4">
        <v>6.215241045978E12</v>
      </c>
      <c r="E203" s="3" t="s">
        <v>810</v>
      </c>
      <c r="F203" s="3">
        <v>40140.0</v>
      </c>
    </row>
    <row r="204" ht="14.25" customHeight="1">
      <c r="A204" s="3" t="s">
        <v>811</v>
      </c>
      <c r="B204" s="3" t="s">
        <v>812</v>
      </c>
      <c r="C204" s="3" t="s">
        <v>813</v>
      </c>
      <c r="D204" s="4">
        <v>6.267583361269E12</v>
      </c>
      <c r="E204" s="3" t="s">
        <v>814</v>
      </c>
      <c r="F204" s="3">
        <v>40244.0</v>
      </c>
    </row>
    <row r="205" ht="14.25" customHeight="1">
      <c r="A205" s="3" t="s">
        <v>815</v>
      </c>
      <c r="B205" s="3" t="s">
        <v>816</v>
      </c>
      <c r="C205" s="3" t="s">
        <v>817</v>
      </c>
      <c r="D205" s="4">
        <v>6.216564241067E12</v>
      </c>
      <c r="E205" s="3" t="s">
        <v>818</v>
      </c>
      <c r="F205" s="3">
        <v>40190.0</v>
      </c>
    </row>
    <row r="206" ht="14.25" customHeight="1">
      <c r="A206" s="3" t="s">
        <v>819</v>
      </c>
      <c r="B206" s="3" t="s">
        <v>820</v>
      </c>
      <c r="C206" s="3" t="s">
        <v>821</v>
      </c>
      <c r="D206" s="4">
        <v>6.245238023504E12</v>
      </c>
      <c r="E206" s="3" t="s">
        <v>822</v>
      </c>
      <c r="F206" s="3">
        <v>40244.0</v>
      </c>
    </row>
    <row r="207" ht="14.25" customHeight="1">
      <c r="A207" s="3" t="s">
        <v>823</v>
      </c>
      <c r="B207" s="3" t="s">
        <v>824</v>
      </c>
      <c r="C207" s="3" t="s">
        <v>825</v>
      </c>
      <c r="D207" s="4">
        <v>6.293394362318E12</v>
      </c>
      <c r="E207" s="3" t="s">
        <v>826</v>
      </c>
      <c r="F207" s="3">
        <v>40116.0</v>
      </c>
    </row>
    <row r="208" ht="14.25" customHeight="1">
      <c r="A208" s="3" t="s">
        <v>827</v>
      </c>
      <c r="B208" s="3" t="s">
        <v>491</v>
      </c>
      <c r="C208" s="3" t="s">
        <v>828</v>
      </c>
      <c r="D208" s="4">
        <v>6.228740993786E12</v>
      </c>
      <c r="E208" s="3" t="s">
        <v>829</v>
      </c>
      <c r="F208" s="3">
        <v>40196.0</v>
      </c>
    </row>
    <row r="209" ht="14.25" customHeight="1">
      <c r="A209" s="3" t="s">
        <v>830</v>
      </c>
      <c r="B209" s="3" t="s">
        <v>831</v>
      </c>
      <c r="C209" s="3" t="s">
        <v>832</v>
      </c>
      <c r="D209" s="4">
        <v>6.269860265798E12</v>
      </c>
      <c r="E209" s="3" t="s">
        <v>833</v>
      </c>
      <c r="F209" s="3">
        <v>40134.0</v>
      </c>
    </row>
    <row r="210" ht="14.25" customHeight="1">
      <c r="A210" s="3" t="s">
        <v>834</v>
      </c>
      <c r="B210" s="3" t="s">
        <v>835</v>
      </c>
      <c r="C210" s="3" t="s">
        <v>836</v>
      </c>
      <c r="D210" s="4">
        <v>6.260002674571E12</v>
      </c>
      <c r="E210" s="3" t="s">
        <v>837</v>
      </c>
      <c r="F210" s="3">
        <v>40116.0</v>
      </c>
    </row>
    <row r="211" ht="14.25" customHeight="1">
      <c r="A211" s="3" t="s">
        <v>838</v>
      </c>
      <c r="B211" s="3" t="s">
        <v>839</v>
      </c>
      <c r="C211" s="3" t="s">
        <v>840</v>
      </c>
      <c r="D211" s="4">
        <v>6.209556386254E12</v>
      </c>
      <c r="E211" s="3" t="s">
        <v>841</v>
      </c>
      <c r="F211" s="3">
        <v>40165.0</v>
      </c>
    </row>
    <row r="212" ht="14.25" customHeight="1">
      <c r="A212" s="3" t="s">
        <v>842</v>
      </c>
      <c r="B212" s="3" t="s">
        <v>843</v>
      </c>
      <c r="C212" s="3" t="s">
        <v>844</v>
      </c>
      <c r="D212" s="4">
        <v>6.272414112438E12</v>
      </c>
      <c r="E212" s="3" t="s">
        <v>845</v>
      </c>
      <c r="F212" s="3">
        <v>40121.0</v>
      </c>
    </row>
    <row r="213" ht="14.25" customHeight="1">
      <c r="A213" s="3" t="s">
        <v>846</v>
      </c>
      <c r="B213" s="3" t="s">
        <v>847</v>
      </c>
      <c r="C213" s="3" t="s">
        <v>848</v>
      </c>
      <c r="D213" s="4">
        <v>6.23096027827E12</v>
      </c>
      <c r="E213" s="3" t="s">
        <v>849</v>
      </c>
      <c r="F213" s="3">
        <v>40168.0</v>
      </c>
    </row>
    <row r="214" ht="14.25" customHeight="1">
      <c r="A214" s="3" t="s">
        <v>850</v>
      </c>
      <c r="B214" s="3" t="s">
        <v>851</v>
      </c>
      <c r="C214" s="3" t="s">
        <v>852</v>
      </c>
      <c r="D214" s="4">
        <v>6.221587321791E12</v>
      </c>
      <c r="E214" s="3" t="s">
        <v>853</v>
      </c>
      <c r="F214" s="3">
        <v>40165.0</v>
      </c>
    </row>
    <row r="215" ht="14.25" customHeight="1">
      <c r="A215" s="3" t="s">
        <v>854</v>
      </c>
      <c r="B215" s="3" t="s">
        <v>855</v>
      </c>
      <c r="C215" s="3" t="s">
        <v>856</v>
      </c>
      <c r="D215" s="4">
        <v>6.20421066974E12</v>
      </c>
      <c r="E215" s="3" t="s">
        <v>857</v>
      </c>
      <c r="F215" s="3">
        <v>40243.0</v>
      </c>
    </row>
    <row r="216" ht="14.25" customHeight="1">
      <c r="A216" s="3" t="s">
        <v>858</v>
      </c>
      <c r="B216" s="3" t="s">
        <v>859</v>
      </c>
      <c r="C216" s="3" t="s">
        <v>860</v>
      </c>
      <c r="D216" s="4">
        <v>6.215123427038E12</v>
      </c>
      <c r="E216" s="3" t="s">
        <v>861</v>
      </c>
      <c r="F216" s="3">
        <v>40170.0</v>
      </c>
    </row>
    <row r="217" ht="14.25" customHeight="1">
      <c r="A217" s="3" t="s">
        <v>862</v>
      </c>
      <c r="B217" s="3" t="s">
        <v>863</v>
      </c>
      <c r="C217" s="3" t="s">
        <v>864</v>
      </c>
      <c r="D217" s="4">
        <v>6.27881018756E12</v>
      </c>
      <c r="E217" s="3" t="s">
        <v>865</v>
      </c>
      <c r="F217" s="3">
        <v>40116.0</v>
      </c>
    </row>
    <row r="218" ht="14.25" customHeight="1">
      <c r="A218" s="3" t="s">
        <v>866</v>
      </c>
      <c r="B218" s="3" t="s">
        <v>867</v>
      </c>
      <c r="C218" s="3" t="s">
        <v>868</v>
      </c>
      <c r="D218" s="4">
        <v>6.252610328545E12</v>
      </c>
      <c r="E218" s="3" t="s">
        <v>869</v>
      </c>
      <c r="F218" s="3">
        <v>40169.0</v>
      </c>
    </row>
    <row r="219" ht="14.25" customHeight="1">
      <c r="A219" s="3" t="s">
        <v>870</v>
      </c>
      <c r="B219" s="3" t="s">
        <v>871</v>
      </c>
      <c r="C219" s="3" t="s">
        <v>872</v>
      </c>
      <c r="D219" s="4">
        <v>6.247716473438E12</v>
      </c>
      <c r="E219" s="3" t="s">
        <v>873</v>
      </c>
      <c r="F219" s="3">
        <v>40172.0</v>
      </c>
    </row>
    <row r="220" ht="14.25" customHeight="1">
      <c r="A220" s="3" t="s">
        <v>874</v>
      </c>
      <c r="B220" s="3" t="s">
        <v>875</v>
      </c>
      <c r="C220" s="3" t="s">
        <v>876</v>
      </c>
      <c r="D220" s="4">
        <v>6.299043251111E12</v>
      </c>
      <c r="E220" s="3" t="s">
        <v>877</v>
      </c>
      <c r="F220" s="3">
        <v>40167.0</v>
      </c>
    </row>
    <row r="221" ht="14.25" customHeight="1">
      <c r="A221" s="3" t="s">
        <v>878</v>
      </c>
      <c r="B221" s="3" t="s">
        <v>879</v>
      </c>
      <c r="C221" s="3" t="s">
        <v>880</v>
      </c>
      <c r="D221" s="4">
        <v>6.271820990298E12</v>
      </c>
      <c r="E221" s="3" t="s">
        <v>881</v>
      </c>
      <c r="F221" s="3">
        <v>40188.0</v>
      </c>
    </row>
    <row r="222" ht="14.25" customHeight="1">
      <c r="A222" s="3" t="s">
        <v>882</v>
      </c>
      <c r="B222" s="3" t="s">
        <v>883</v>
      </c>
      <c r="C222" s="3" t="s">
        <v>884</v>
      </c>
      <c r="D222" s="4">
        <v>6.268372957287E12</v>
      </c>
      <c r="E222" s="3" t="s">
        <v>885</v>
      </c>
      <c r="F222" s="3">
        <v>40183.0</v>
      </c>
    </row>
    <row r="223" ht="14.25" customHeight="1">
      <c r="A223" s="3" t="s">
        <v>886</v>
      </c>
      <c r="B223" s="3" t="s">
        <v>887</v>
      </c>
      <c r="C223" s="3" t="s">
        <v>888</v>
      </c>
      <c r="D223" s="4">
        <v>6.288229885703E12</v>
      </c>
      <c r="E223" s="3" t="s">
        <v>889</v>
      </c>
      <c r="F223" s="3">
        <v>40245.0</v>
      </c>
    </row>
    <row r="224" ht="14.25" customHeight="1">
      <c r="A224" s="3" t="s">
        <v>890</v>
      </c>
      <c r="B224" s="3" t="s">
        <v>891</v>
      </c>
      <c r="C224" s="3" t="s">
        <v>892</v>
      </c>
      <c r="D224" s="4">
        <v>6.2390169275E12</v>
      </c>
      <c r="E224" s="3" t="s">
        <v>893</v>
      </c>
      <c r="F224" s="3">
        <v>40129.0</v>
      </c>
    </row>
    <row r="225" ht="14.25" customHeight="1">
      <c r="A225" s="3" t="s">
        <v>894</v>
      </c>
      <c r="B225" s="3" t="s">
        <v>895</v>
      </c>
      <c r="C225" s="3" t="s">
        <v>896</v>
      </c>
      <c r="D225" s="4">
        <v>6.297585112113E12</v>
      </c>
      <c r="E225" s="3" t="s">
        <v>897</v>
      </c>
      <c r="F225" s="3">
        <v>40200.0</v>
      </c>
    </row>
    <row r="226" ht="14.25" customHeight="1">
      <c r="A226" s="3" t="s">
        <v>898</v>
      </c>
      <c r="B226" s="3" t="s">
        <v>899</v>
      </c>
      <c r="C226" s="3" t="s">
        <v>900</v>
      </c>
      <c r="D226" s="4">
        <v>6.207257063287E12</v>
      </c>
      <c r="E226" s="3" t="s">
        <v>901</v>
      </c>
      <c r="F226" s="3">
        <v>40182.0</v>
      </c>
    </row>
    <row r="227" ht="14.25" customHeight="1">
      <c r="A227" s="3" t="s">
        <v>902</v>
      </c>
      <c r="B227" s="3" t="s">
        <v>903</v>
      </c>
      <c r="C227" s="3" t="s">
        <v>904</v>
      </c>
      <c r="D227" s="4">
        <v>6.214234806038E12</v>
      </c>
      <c r="E227" s="3" t="s">
        <v>905</v>
      </c>
      <c r="F227" s="3">
        <v>40142.0</v>
      </c>
    </row>
    <row r="228" ht="14.25" customHeight="1">
      <c r="A228" s="3" t="s">
        <v>906</v>
      </c>
      <c r="B228" s="3" t="s">
        <v>907</v>
      </c>
      <c r="C228" s="3" t="s">
        <v>908</v>
      </c>
      <c r="D228" s="4">
        <v>6.203760225884E12</v>
      </c>
      <c r="E228" s="3" t="s">
        <v>909</v>
      </c>
      <c r="F228" s="3">
        <v>40114.0</v>
      </c>
    </row>
    <row r="229" ht="14.25" customHeight="1">
      <c r="A229" s="3" t="s">
        <v>910</v>
      </c>
      <c r="B229" s="3" t="s">
        <v>911</v>
      </c>
      <c r="C229" s="3" t="s">
        <v>912</v>
      </c>
      <c r="D229" s="4">
        <v>6.254973674792E12</v>
      </c>
      <c r="E229" s="3" t="s">
        <v>913</v>
      </c>
      <c r="F229" s="3">
        <v>40183.0</v>
      </c>
    </row>
    <row r="230" ht="14.25" customHeight="1">
      <c r="A230" s="3" t="s">
        <v>914</v>
      </c>
      <c r="B230" s="3" t="s">
        <v>915</v>
      </c>
      <c r="C230" s="3" t="s">
        <v>916</v>
      </c>
      <c r="D230" s="4">
        <v>6.220782673013E12</v>
      </c>
      <c r="E230" s="3" t="s">
        <v>917</v>
      </c>
      <c r="F230" s="3">
        <v>40174.0</v>
      </c>
    </row>
    <row r="231" ht="14.25" customHeight="1">
      <c r="A231" s="3" t="s">
        <v>918</v>
      </c>
      <c r="B231" s="3" t="s">
        <v>919</v>
      </c>
      <c r="C231" s="3" t="s">
        <v>920</v>
      </c>
      <c r="D231" s="4">
        <v>6.283839921648E12</v>
      </c>
      <c r="E231" s="3" t="s">
        <v>921</v>
      </c>
      <c r="F231" s="3">
        <v>40161.0</v>
      </c>
    </row>
    <row r="232" ht="14.25" customHeight="1">
      <c r="A232" s="3" t="s">
        <v>922</v>
      </c>
      <c r="B232" s="3" t="s">
        <v>923</v>
      </c>
      <c r="C232" s="3" t="s">
        <v>924</v>
      </c>
      <c r="D232" s="4">
        <v>6.272095609357E12</v>
      </c>
      <c r="E232" s="3" t="s">
        <v>925</v>
      </c>
      <c r="F232" s="3">
        <v>40202.0</v>
      </c>
    </row>
    <row r="233" ht="14.25" customHeight="1">
      <c r="A233" s="3" t="s">
        <v>926</v>
      </c>
      <c r="B233" s="3" t="s">
        <v>927</v>
      </c>
      <c r="C233" s="3" t="s">
        <v>928</v>
      </c>
      <c r="D233" s="4">
        <v>6.284831728785E12</v>
      </c>
      <c r="E233" s="3" t="s">
        <v>929</v>
      </c>
      <c r="F233" s="3">
        <v>40158.0</v>
      </c>
    </row>
    <row r="234" ht="14.25" customHeight="1">
      <c r="A234" s="3" t="s">
        <v>930</v>
      </c>
      <c r="B234" s="3" t="s">
        <v>931</v>
      </c>
      <c r="C234" s="3" t="s">
        <v>932</v>
      </c>
      <c r="D234" s="4">
        <v>6.202625127271E12</v>
      </c>
      <c r="E234" s="3" t="s">
        <v>933</v>
      </c>
      <c r="F234" s="3">
        <v>40197.0</v>
      </c>
    </row>
    <row r="235" ht="14.25" customHeight="1">
      <c r="A235" s="3" t="s">
        <v>934</v>
      </c>
      <c r="B235" s="3" t="s">
        <v>935</v>
      </c>
      <c r="C235" s="3" t="s">
        <v>936</v>
      </c>
      <c r="D235" s="4">
        <v>6.256055197258E12</v>
      </c>
      <c r="E235" s="3" t="s">
        <v>937</v>
      </c>
      <c r="F235" s="3">
        <v>40222.0</v>
      </c>
    </row>
    <row r="236" ht="14.25" customHeight="1">
      <c r="A236" s="3" t="s">
        <v>938</v>
      </c>
      <c r="B236" s="3" t="s">
        <v>939</v>
      </c>
      <c r="C236" s="3" t="s">
        <v>940</v>
      </c>
      <c r="D236" s="4">
        <v>6.211576171656E12</v>
      </c>
      <c r="E236" s="3" t="s">
        <v>941</v>
      </c>
      <c r="F236" s="3">
        <v>40223.0</v>
      </c>
    </row>
    <row r="237" ht="14.25" customHeight="1">
      <c r="A237" s="3" t="s">
        <v>942</v>
      </c>
      <c r="B237" s="3" t="s">
        <v>943</v>
      </c>
      <c r="C237" s="3" t="s">
        <v>944</v>
      </c>
      <c r="D237" s="4">
        <v>6.252576700935E12</v>
      </c>
      <c r="E237" s="3" t="s">
        <v>945</v>
      </c>
      <c r="F237" s="3">
        <v>40169.0</v>
      </c>
    </row>
    <row r="238" ht="14.25" customHeight="1">
      <c r="A238" s="3" t="s">
        <v>946</v>
      </c>
      <c r="B238" s="3" t="s">
        <v>947</v>
      </c>
      <c r="C238" s="3" t="s">
        <v>948</v>
      </c>
      <c r="D238" s="4">
        <v>6.22671284928E12</v>
      </c>
      <c r="E238" s="3" t="s">
        <v>949</v>
      </c>
      <c r="F238" s="3">
        <v>40244.0</v>
      </c>
    </row>
    <row r="239" ht="14.25" customHeight="1">
      <c r="A239" s="3" t="s">
        <v>950</v>
      </c>
      <c r="B239" s="3" t="s">
        <v>951</v>
      </c>
      <c r="C239" s="3" t="s">
        <v>952</v>
      </c>
      <c r="D239" s="4">
        <v>6.257221252991E12</v>
      </c>
      <c r="E239" s="3" t="s">
        <v>953</v>
      </c>
      <c r="F239" s="3">
        <v>40191.0</v>
      </c>
    </row>
    <row r="240" ht="14.25" customHeight="1">
      <c r="A240" s="3" t="s">
        <v>954</v>
      </c>
      <c r="B240" s="3" t="s">
        <v>955</v>
      </c>
      <c r="C240" s="3" t="s">
        <v>956</v>
      </c>
      <c r="D240" s="4">
        <v>6.223577651077E12</v>
      </c>
      <c r="E240" s="3" t="s">
        <v>957</v>
      </c>
      <c r="F240" s="3">
        <v>40182.0</v>
      </c>
    </row>
    <row r="241" ht="14.25" customHeight="1">
      <c r="A241" s="3" t="s">
        <v>958</v>
      </c>
      <c r="B241" s="3" t="s">
        <v>371</v>
      </c>
      <c r="C241" s="3" t="s">
        <v>959</v>
      </c>
      <c r="D241" s="4">
        <v>6.229729754066E12</v>
      </c>
      <c r="E241" s="3" t="s">
        <v>960</v>
      </c>
      <c r="F241" s="3">
        <v>40231.0</v>
      </c>
    </row>
    <row r="242" ht="14.25" customHeight="1">
      <c r="A242" s="3" t="s">
        <v>961</v>
      </c>
      <c r="B242" s="3" t="s">
        <v>962</v>
      </c>
      <c r="C242" s="3" t="s">
        <v>963</v>
      </c>
      <c r="D242" s="4">
        <v>6.287623396815E12</v>
      </c>
      <c r="E242" s="3" t="s">
        <v>964</v>
      </c>
      <c r="F242" s="3">
        <v>40177.0</v>
      </c>
    </row>
    <row r="243" ht="14.25" customHeight="1">
      <c r="A243" s="3" t="s">
        <v>965</v>
      </c>
      <c r="B243" s="3" t="s">
        <v>966</v>
      </c>
      <c r="C243" s="3" t="s">
        <v>967</v>
      </c>
      <c r="D243" s="4">
        <v>6.201741671006E12</v>
      </c>
      <c r="E243" s="3" t="s">
        <v>968</v>
      </c>
      <c r="F243" s="3">
        <v>40123.0</v>
      </c>
    </row>
    <row r="244" ht="14.25" customHeight="1">
      <c r="A244" s="3" t="s">
        <v>969</v>
      </c>
      <c r="B244" s="3" t="s">
        <v>970</v>
      </c>
      <c r="C244" s="3" t="s">
        <v>971</v>
      </c>
      <c r="D244" s="4">
        <v>6.216048630061E12</v>
      </c>
      <c r="E244" s="3" t="s">
        <v>972</v>
      </c>
      <c r="F244" s="3">
        <v>40236.0</v>
      </c>
    </row>
    <row r="245" ht="14.25" customHeight="1">
      <c r="A245" s="3" t="s">
        <v>973</v>
      </c>
      <c r="B245" s="3" t="s">
        <v>974</v>
      </c>
      <c r="C245" s="3" t="s">
        <v>975</v>
      </c>
      <c r="D245" s="4">
        <v>6.252342149008E12</v>
      </c>
      <c r="E245" s="3" t="s">
        <v>976</v>
      </c>
      <c r="F245" s="3">
        <v>40132.0</v>
      </c>
    </row>
    <row r="246" ht="14.25" customHeight="1">
      <c r="A246" s="3" t="s">
        <v>977</v>
      </c>
      <c r="B246" s="3" t="s">
        <v>978</v>
      </c>
      <c r="C246" s="3" t="s">
        <v>979</v>
      </c>
      <c r="D246" s="4">
        <v>6.217269754794E12</v>
      </c>
      <c r="E246" s="3" t="s">
        <v>980</v>
      </c>
      <c r="F246" s="3">
        <v>40176.0</v>
      </c>
    </row>
    <row r="247" ht="14.25" customHeight="1">
      <c r="A247" s="3" t="s">
        <v>981</v>
      </c>
      <c r="B247" s="3" t="s">
        <v>982</v>
      </c>
      <c r="C247" s="3" t="s">
        <v>983</v>
      </c>
      <c r="D247" s="4">
        <v>6.222071718201E12</v>
      </c>
      <c r="E247" s="3" t="s">
        <v>984</v>
      </c>
      <c r="F247" s="3">
        <v>40167.0</v>
      </c>
    </row>
    <row r="248" ht="14.25" customHeight="1">
      <c r="A248" s="3" t="s">
        <v>985</v>
      </c>
      <c r="B248" s="3" t="s">
        <v>986</v>
      </c>
      <c r="C248" s="3" t="s">
        <v>987</v>
      </c>
      <c r="D248" s="4">
        <v>6.244986747405E12</v>
      </c>
      <c r="E248" s="3" t="s">
        <v>988</v>
      </c>
      <c r="F248" s="3">
        <v>40140.0</v>
      </c>
    </row>
    <row r="249" ht="14.25" customHeight="1">
      <c r="A249" s="3" t="s">
        <v>989</v>
      </c>
      <c r="B249" s="3" t="s">
        <v>990</v>
      </c>
      <c r="C249" s="3" t="s">
        <v>991</v>
      </c>
      <c r="D249" s="4">
        <v>6.200919507404E12</v>
      </c>
      <c r="E249" s="3" t="s">
        <v>992</v>
      </c>
      <c r="F249" s="3">
        <v>40152.0</v>
      </c>
    </row>
    <row r="250" ht="14.25" customHeight="1">
      <c r="A250" s="3" t="s">
        <v>993</v>
      </c>
      <c r="B250" s="3" t="s">
        <v>994</v>
      </c>
      <c r="C250" s="3" t="s">
        <v>995</v>
      </c>
      <c r="D250" s="4">
        <v>6.298995504969E12</v>
      </c>
      <c r="E250" s="3" t="s">
        <v>996</v>
      </c>
      <c r="F250" s="3">
        <v>40178.0</v>
      </c>
    </row>
    <row r="251" ht="14.25" customHeight="1">
      <c r="A251" s="3" t="s">
        <v>997</v>
      </c>
      <c r="B251" s="3" t="s">
        <v>998</v>
      </c>
      <c r="C251" s="3" t="s">
        <v>999</v>
      </c>
      <c r="D251" s="4">
        <v>6.292860164223E12</v>
      </c>
      <c r="E251" s="3" t="s">
        <v>1000</v>
      </c>
      <c r="F251" s="3">
        <v>40257.0</v>
      </c>
    </row>
    <row r="252" ht="14.25" customHeight="1">
      <c r="A252" s="3" t="s">
        <v>1001</v>
      </c>
      <c r="B252" s="3" t="s">
        <v>1002</v>
      </c>
      <c r="C252" s="3" t="s">
        <v>1003</v>
      </c>
      <c r="D252" s="4">
        <v>6.205660195701E12</v>
      </c>
      <c r="E252" s="3" t="s">
        <v>1004</v>
      </c>
      <c r="F252" s="3">
        <v>40137.0</v>
      </c>
    </row>
    <row r="253" ht="14.25" customHeight="1">
      <c r="A253" s="3" t="s">
        <v>1005</v>
      </c>
      <c r="B253" s="3" t="s">
        <v>1006</v>
      </c>
      <c r="C253" s="3" t="s">
        <v>1007</v>
      </c>
      <c r="D253" s="4">
        <v>6.291364631132E12</v>
      </c>
      <c r="E253" s="3" t="s">
        <v>1008</v>
      </c>
      <c r="F253" s="3">
        <v>40226.0</v>
      </c>
    </row>
    <row r="254" ht="14.25" customHeight="1">
      <c r="A254" s="3" t="s">
        <v>1009</v>
      </c>
      <c r="B254" s="3" t="s">
        <v>1010</v>
      </c>
      <c r="C254" s="3" t="s">
        <v>1011</v>
      </c>
      <c r="D254" s="4">
        <v>6.26898856963E12</v>
      </c>
      <c r="E254" s="3" t="s">
        <v>1012</v>
      </c>
      <c r="F254" s="3">
        <v>40150.0</v>
      </c>
    </row>
    <row r="255" ht="14.25" customHeight="1">
      <c r="A255" s="3" t="s">
        <v>1013</v>
      </c>
      <c r="B255" s="3" t="s">
        <v>1014</v>
      </c>
      <c r="C255" s="3" t="s">
        <v>1015</v>
      </c>
      <c r="D255" s="4">
        <v>6.258223962581E12</v>
      </c>
      <c r="E255" s="3" t="s">
        <v>1016</v>
      </c>
      <c r="F255" s="3">
        <v>40216.0</v>
      </c>
    </row>
    <row r="256" ht="14.25" customHeight="1">
      <c r="A256" s="3" t="s">
        <v>1017</v>
      </c>
      <c r="B256" s="3" t="s">
        <v>1018</v>
      </c>
      <c r="C256" s="3" t="s">
        <v>1019</v>
      </c>
      <c r="D256" s="4">
        <v>6.222767953276E12</v>
      </c>
      <c r="E256" s="3" t="s">
        <v>1020</v>
      </c>
      <c r="F256" s="3">
        <v>40185.0</v>
      </c>
    </row>
    <row r="257" ht="14.25" customHeight="1">
      <c r="A257" s="3" t="s">
        <v>1021</v>
      </c>
      <c r="B257" s="3" t="s">
        <v>1022</v>
      </c>
      <c r="C257" s="3" t="s">
        <v>1023</v>
      </c>
      <c r="D257" s="4">
        <v>6.214570121106E12</v>
      </c>
      <c r="E257" s="3" t="s">
        <v>1024</v>
      </c>
      <c r="F257" s="3">
        <v>40131.0</v>
      </c>
    </row>
    <row r="258" ht="14.25" customHeight="1">
      <c r="A258" s="3" t="s">
        <v>1025</v>
      </c>
      <c r="B258" s="3" t="s">
        <v>1026</v>
      </c>
      <c r="C258" s="3" t="s">
        <v>1027</v>
      </c>
      <c r="D258" s="4">
        <v>6.264814838642E12</v>
      </c>
      <c r="E258" s="3" t="s">
        <v>1028</v>
      </c>
      <c r="F258" s="3">
        <v>40153.0</v>
      </c>
    </row>
    <row r="259" ht="14.25" customHeight="1">
      <c r="A259" s="3" t="s">
        <v>1029</v>
      </c>
      <c r="B259" s="3" t="s">
        <v>1030</v>
      </c>
      <c r="C259" s="3" t="s">
        <v>1031</v>
      </c>
      <c r="D259" s="4">
        <v>6.242814117352E12</v>
      </c>
      <c r="E259" s="3" t="s">
        <v>1032</v>
      </c>
      <c r="F259" s="3">
        <v>40147.0</v>
      </c>
    </row>
    <row r="260" ht="14.25" customHeight="1">
      <c r="A260" s="3" t="s">
        <v>1033</v>
      </c>
      <c r="B260" s="3" t="s">
        <v>1034</v>
      </c>
      <c r="C260" s="3" t="s">
        <v>1035</v>
      </c>
      <c r="D260" s="4">
        <v>6.249778909469E12</v>
      </c>
      <c r="E260" s="3" t="s">
        <v>1036</v>
      </c>
      <c r="F260" s="3">
        <v>40178.0</v>
      </c>
    </row>
    <row r="261" ht="14.25" customHeight="1">
      <c r="A261" s="3" t="s">
        <v>1037</v>
      </c>
      <c r="B261" s="3" t="s">
        <v>1038</v>
      </c>
      <c r="C261" s="3" t="s">
        <v>1039</v>
      </c>
      <c r="D261" s="4">
        <v>6.281053277536E12</v>
      </c>
      <c r="E261" s="3" t="s">
        <v>1040</v>
      </c>
      <c r="F261" s="3">
        <v>40128.0</v>
      </c>
    </row>
    <row r="262" ht="14.25" customHeight="1">
      <c r="A262" s="3" t="s">
        <v>1041</v>
      </c>
      <c r="B262" s="3" t="s">
        <v>1042</v>
      </c>
      <c r="C262" s="3" t="s">
        <v>1043</v>
      </c>
      <c r="D262" s="4">
        <v>6.260677176044E12</v>
      </c>
      <c r="E262" s="3" t="s">
        <v>1044</v>
      </c>
      <c r="F262" s="3">
        <v>40178.0</v>
      </c>
    </row>
    <row r="263" ht="14.25" customHeight="1">
      <c r="A263" s="3" t="s">
        <v>1045</v>
      </c>
      <c r="B263" s="3" t="s">
        <v>1046</v>
      </c>
      <c r="C263" s="3" t="s">
        <v>1047</v>
      </c>
      <c r="D263" s="4">
        <v>6.242468612878E12</v>
      </c>
      <c r="E263" s="3" t="s">
        <v>1048</v>
      </c>
      <c r="F263" s="3">
        <v>40188.0</v>
      </c>
    </row>
    <row r="264" ht="14.25" customHeight="1">
      <c r="A264" s="3" t="s">
        <v>1049</v>
      </c>
      <c r="B264" s="3" t="s">
        <v>1050</v>
      </c>
      <c r="C264" s="3" t="s">
        <v>1051</v>
      </c>
      <c r="D264" s="4">
        <v>6.265407619439E12</v>
      </c>
      <c r="E264" s="3" t="s">
        <v>1052</v>
      </c>
      <c r="F264" s="3">
        <v>40185.0</v>
      </c>
    </row>
    <row r="265" ht="14.25" customHeight="1">
      <c r="A265" s="3" t="s">
        <v>1053</v>
      </c>
      <c r="B265" s="3" t="s">
        <v>1054</v>
      </c>
      <c r="C265" s="3" t="s">
        <v>1055</v>
      </c>
      <c r="D265" s="4">
        <v>6.293610441121E12</v>
      </c>
      <c r="E265" s="3" t="s">
        <v>1056</v>
      </c>
      <c r="F265" s="3">
        <v>40237.0</v>
      </c>
    </row>
    <row r="266" ht="14.25" customHeight="1">
      <c r="A266" s="3" t="s">
        <v>1057</v>
      </c>
      <c r="B266" s="3" t="s">
        <v>1058</v>
      </c>
      <c r="C266" s="3" t="s">
        <v>1059</v>
      </c>
      <c r="D266" s="4">
        <v>6.230532999213E12</v>
      </c>
      <c r="E266" s="3" t="s">
        <v>1060</v>
      </c>
      <c r="F266" s="3">
        <v>40145.0</v>
      </c>
    </row>
    <row r="267" ht="14.25" customHeight="1">
      <c r="A267" s="3" t="s">
        <v>1061</v>
      </c>
      <c r="B267" s="3" t="s">
        <v>1062</v>
      </c>
      <c r="C267" s="3" t="s">
        <v>1063</v>
      </c>
      <c r="D267" s="4">
        <v>6.211900166405E12</v>
      </c>
      <c r="E267" s="3" t="s">
        <v>1064</v>
      </c>
      <c r="F267" s="3">
        <v>40244.0</v>
      </c>
    </row>
    <row r="268" ht="14.25" customHeight="1">
      <c r="A268" s="3" t="s">
        <v>1065</v>
      </c>
      <c r="B268" s="3" t="s">
        <v>1066</v>
      </c>
      <c r="C268" s="3" t="s">
        <v>1067</v>
      </c>
      <c r="D268" s="4">
        <v>6.239037609216E12</v>
      </c>
      <c r="E268" s="3" t="s">
        <v>1068</v>
      </c>
      <c r="F268" s="3">
        <v>40122.0</v>
      </c>
    </row>
    <row r="269" ht="14.25" customHeight="1">
      <c r="A269" s="3" t="s">
        <v>1069</v>
      </c>
      <c r="B269" s="3" t="s">
        <v>1070</v>
      </c>
      <c r="C269" s="3" t="s">
        <v>1071</v>
      </c>
      <c r="D269" s="4">
        <v>6.24444485206E12</v>
      </c>
      <c r="E269" s="3" t="s">
        <v>1072</v>
      </c>
      <c r="F269" s="3">
        <v>40197.0</v>
      </c>
    </row>
    <row r="270" ht="14.25" customHeight="1">
      <c r="A270" s="3" t="s">
        <v>1073</v>
      </c>
      <c r="B270" s="3" t="s">
        <v>1074</v>
      </c>
      <c r="C270" s="3" t="s">
        <v>1075</v>
      </c>
      <c r="D270" s="4">
        <v>6.260273657542E12</v>
      </c>
      <c r="E270" s="3" t="s">
        <v>1076</v>
      </c>
      <c r="F270" s="3">
        <v>40183.0</v>
      </c>
    </row>
    <row r="271" ht="14.25" customHeight="1">
      <c r="A271" s="3" t="s">
        <v>1077</v>
      </c>
      <c r="B271" s="3" t="s">
        <v>1078</v>
      </c>
      <c r="C271" s="3" t="s">
        <v>1079</v>
      </c>
      <c r="D271" s="4">
        <v>6.209753418552E12</v>
      </c>
      <c r="E271" s="3" t="s">
        <v>1080</v>
      </c>
      <c r="F271" s="3">
        <v>40215.0</v>
      </c>
    </row>
    <row r="272" ht="14.25" customHeight="1">
      <c r="A272" s="3" t="s">
        <v>1081</v>
      </c>
      <c r="B272" s="3" t="s">
        <v>1082</v>
      </c>
      <c r="C272" s="3" t="s">
        <v>1083</v>
      </c>
      <c r="D272" s="4">
        <v>6.250137502571E12</v>
      </c>
      <c r="E272" s="3" t="s">
        <v>1084</v>
      </c>
      <c r="F272" s="3">
        <v>40243.0</v>
      </c>
    </row>
    <row r="273" ht="14.25" customHeight="1">
      <c r="A273" s="3" t="s">
        <v>1085</v>
      </c>
      <c r="B273" s="3" t="s">
        <v>1086</v>
      </c>
      <c r="C273" s="3" t="s">
        <v>1087</v>
      </c>
      <c r="D273" s="4">
        <v>6.290064009798E12</v>
      </c>
      <c r="E273" s="3" t="s">
        <v>1088</v>
      </c>
      <c r="F273" s="3">
        <v>40212.0</v>
      </c>
    </row>
    <row r="274" ht="14.25" customHeight="1">
      <c r="A274" s="3" t="s">
        <v>1089</v>
      </c>
      <c r="B274" s="3" t="s">
        <v>1090</v>
      </c>
      <c r="C274" s="3" t="s">
        <v>1091</v>
      </c>
      <c r="D274" s="4">
        <v>6.271382787963E12</v>
      </c>
      <c r="E274" s="3" t="s">
        <v>1092</v>
      </c>
      <c r="F274" s="3">
        <v>40145.0</v>
      </c>
    </row>
    <row r="275" ht="14.25" customHeight="1">
      <c r="A275" s="3" t="s">
        <v>1093</v>
      </c>
      <c r="B275" s="3" t="s">
        <v>1094</v>
      </c>
      <c r="C275" s="3" t="s">
        <v>1095</v>
      </c>
      <c r="D275" s="4">
        <v>6.256021406962E12</v>
      </c>
      <c r="E275" s="3" t="s">
        <v>1096</v>
      </c>
      <c r="F275" s="3">
        <v>40151.0</v>
      </c>
    </row>
    <row r="276" ht="14.25" customHeight="1">
      <c r="A276" s="3" t="s">
        <v>1097</v>
      </c>
      <c r="B276" s="3" t="s">
        <v>1098</v>
      </c>
      <c r="C276" s="3" t="s">
        <v>1099</v>
      </c>
      <c r="D276" s="4">
        <v>6.215158000437E12</v>
      </c>
      <c r="E276" s="3" t="s">
        <v>1100</v>
      </c>
      <c r="F276" s="3">
        <v>40185.0</v>
      </c>
    </row>
    <row r="277" ht="14.25" customHeight="1">
      <c r="A277" s="3" t="s">
        <v>1101</v>
      </c>
      <c r="B277" s="3" t="s">
        <v>1102</v>
      </c>
      <c r="C277" s="3" t="s">
        <v>1103</v>
      </c>
      <c r="D277" s="4">
        <v>6.265220374239E12</v>
      </c>
      <c r="E277" s="3" t="s">
        <v>1104</v>
      </c>
      <c r="F277" s="3">
        <v>40190.0</v>
      </c>
    </row>
    <row r="278" ht="14.25" customHeight="1">
      <c r="A278" s="3" t="s">
        <v>1105</v>
      </c>
      <c r="B278" s="3" t="s">
        <v>1106</v>
      </c>
      <c r="C278" s="3" t="s">
        <v>1107</v>
      </c>
      <c r="D278" s="4">
        <v>6.214007932082E12</v>
      </c>
      <c r="E278" s="3" t="s">
        <v>1108</v>
      </c>
      <c r="F278" s="3">
        <v>40183.0</v>
      </c>
    </row>
    <row r="279" ht="14.25" customHeight="1">
      <c r="A279" s="3" t="s">
        <v>1109</v>
      </c>
      <c r="B279" s="3" t="s">
        <v>1110</v>
      </c>
      <c r="C279" s="3" t="s">
        <v>1111</v>
      </c>
      <c r="D279" s="4">
        <v>6.288660661567E12</v>
      </c>
      <c r="E279" s="3" t="s">
        <v>1112</v>
      </c>
      <c r="F279" s="3">
        <v>40232.0</v>
      </c>
    </row>
    <row r="280" ht="14.25" customHeight="1">
      <c r="A280" s="3" t="s">
        <v>1113</v>
      </c>
      <c r="B280" s="3" t="s">
        <v>1114</v>
      </c>
      <c r="C280" s="3" t="s">
        <v>1115</v>
      </c>
      <c r="D280" s="4">
        <v>6.204715922116E12</v>
      </c>
      <c r="E280" s="3" t="s">
        <v>1116</v>
      </c>
      <c r="F280" s="3">
        <v>40173.0</v>
      </c>
    </row>
    <row r="281" ht="14.25" customHeight="1">
      <c r="A281" s="3" t="s">
        <v>1117</v>
      </c>
      <c r="B281" s="3" t="s">
        <v>1118</v>
      </c>
      <c r="C281" s="3" t="s">
        <v>1119</v>
      </c>
      <c r="D281" s="4">
        <v>6.201049578645E12</v>
      </c>
      <c r="E281" s="3" t="s">
        <v>1120</v>
      </c>
      <c r="F281" s="3">
        <v>40248.0</v>
      </c>
    </row>
    <row r="282" ht="14.25" customHeight="1">
      <c r="A282" s="3" t="s">
        <v>1121</v>
      </c>
      <c r="B282" s="3" t="s">
        <v>1122</v>
      </c>
      <c r="C282" s="3" t="s">
        <v>1123</v>
      </c>
      <c r="D282" s="4">
        <v>6.237921583149E12</v>
      </c>
      <c r="E282" s="3" t="s">
        <v>1124</v>
      </c>
      <c r="F282" s="3">
        <v>40247.0</v>
      </c>
    </row>
    <row r="283" ht="14.25" customHeight="1">
      <c r="A283" s="3" t="s">
        <v>1125</v>
      </c>
      <c r="B283" s="3" t="s">
        <v>1126</v>
      </c>
      <c r="C283" s="3" t="s">
        <v>1127</v>
      </c>
      <c r="D283" s="4">
        <v>6.280759072302E12</v>
      </c>
      <c r="E283" s="3" t="s">
        <v>1128</v>
      </c>
      <c r="F283" s="3">
        <v>40190.0</v>
      </c>
    </row>
    <row r="284" ht="14.25" customHeight="1">
      <c r="A284" s="3" t="s">
        <v>1129</v>
      </c>
      <c r="B284" s="3" t="s">
        <v>1130</v>
      </c>
      <c r="C284" s="3" t="s">
        <v>1131</v>
      </c>
      <c r="D284" s="4">
        <v>6.261949409702E12</v>
      </c>
      <c r="E284" s="3" t="s">
        <v>1132</v>
      </c>
      <c r="F284" s="3">
        <v>40173.0</v>
      </c>
    </row>
    <row r="285" ht="14.25" customHeight="1">
      <c r="A285" s="3" t="s">
        <v>1133</v>
      </c>
      <c r="B285" s="3" t="s">
        <v>1134</v>
      </c>
      <c r="C285" s="3" t="s">
        <v>1135</v>
      </c>
      <c r="D285" s="4">
        <v>6.211362917826E12</v>
      </c>
      <c r="E285" s="3" t="s">
        <v>1136</v>
      </c>
      <c r="F285" s="3">
        <v>40214.0</v>
      </c>
    </row>
    <row r="286" ht="14.25" customHeight="1">
      <c r="A286" s="3" t="s">
        <v>1137</v>
      </c>
      <c r="B286" s="3" t="s">
        <v>1138</v>
      </c>
      <c r="C286" s="3" t="s">
        <v>1139</v>
      </c>
      <c r="D286" s="4">
        <v>6.299626770114E12</v>
      </c>
      <c r="E286" s="3" t="s">
        <v>1140</v>
      </c>
      <c r="F286" s="3">
        <v>40124.0</v>
      </c>
    </row>
    <row r="287" ht="14.25" customHeight="1">
      <c r="A287" s="3" t="s">
        <v>1141</v>
      </c>
      <c r="B287" s="3" t="s">
        <v>1142</v>
      </c>
      <c r="C287" s="3" t="s">
        <v>1143</v>
      </c>
      <c r="D287" s="4">
        <v>6.221503123516E12</v>
      </c>
      <c r="E287" s="3" t="s">
        <v>1144</v>
      </c>
      <c r="F287" s="3">
        <v>40206.0</v>
      </c>
    </row>
    <row r="288" ht="14.25" customHeight="1">
      <c r="A288" s="3" t="s">
        <v>1145</v>
      </c>
      <c r="B288" s="3" t="s">
        <v>1146</v>
      </c>
      <c r="C288" s="3" t="s">
        <v>1147</v>
      </c>
      <c r="D288" s="4">
        <v>6.239954682202E12</v>
      </c>
      <c r="E288" s="3" t="s">
        <v>1148</v>
      </c>
      <c r="F288" s="3">
        <v>40148.0</v>
      </c>
    </row>
    <row r="289" ht="14.25" customHeight="1">
      <c r="A289" s="3" t="s">
        <v>1149</v>
      </c>
      <c r="B289" s="3" t="s">
        <v>1150</v>
      </c>
      <c r="C289" s="3" t="s">
        <v>1151</v>
      </c>
      <c r="D289" s="4">
        <v>6.268779222537E12</v>
      </c>
      <c r="E289" s="3" t="s">
        <v>1152</v>
      </c>
      <c r="F289" s="3">
        <v>40164.0</v>
      </c>
    </row>
    <row r="290" ht="14.25" customHeight="1">
      <c r="A290" s="3" t="s">
        <v>1153</v>
      </c>
      <c r="B290" s="3" t="s">
        <v>1154</v>
      </c>
      <c r="C290" s="3" t="s">
        <v>1155</v>
      </c>
      <c r="D290" s="4">
        <v>6.238609479934E12</v>
      </c>
      <c r="E290" s="3" t="s">
        <v>1156</v>
      </c>
      <c r="F290" s="3">
        <v>40189.0</v>
      </c>
    </row>
    <row r="291" ht="14.25" customHeight="1">
      <c r="A291" s="3" t="s">
        <v>1157</v>
      </c>
      <c r="B291" s="3" t="s">
        <v>1158</v>
      </c>
      <c r="C291" s="3" t="s">
        <v>1159</v>
      </c>
      <c r="D291" s="4">
        <v>6.278225115305E12</v>
      </c>
      <c r="E291" s="3" t="s">
        <v>1160</v>
      </c>
      <c r="F291" s="3">
        <v>40193.0</v>
      </c>
    </row>
    <row r="292" ht="14.25" customHeight="1">
      <c r="A292" s="3" t="s">
        <v>1161</v>
      </c>
      <c r="B292" s="3" t="s">
        <v>1162</v>
      </c>
      <c r="C292" s="3" t="s">
        <v>1163</v>
      </c>
      <c r="D292" s="4">
        <v>6.259242005139E12</v>
      </c>
      <c r="E292" s="3" t="s">
        <v>1164</v>
      </c>
      <c r="F292" s="3">
        <v>40164.0</v>
      </c>
    </row>
    <row r="293" ht="14.25" customHeight="1">
      <c r="A293" s="3" t="s">
        <v>1165</v>
      </c>
      <c r="B293" s="3" t="s">
        <v>1166</v>
      </c>
      <c r="C293" s="3" t="s">
        <v>1167</v>
      </c>
      <c r="D293" s="4">
        <v>6.262899648622E12</v>
      </c>
      <c r="E293" s="3" t="s">
        <v>1168</v>
      </c>
      <c r="F293" s="3">
        <v>40217.0</v>
      </c>
    </row>
    <row r="294" ht="14.25" customHeight="1">
      <c r="A294" s="3" t="s">
        <v>1169</v>
      </c>
      <c r="B294" s="3" t="s">
        <v>167</v>
      </c>
      <c r="C294" s="3" t="s">
        <v>1170</v>
      </c>
      <c r="D294" s="4">
        <v>6.278572271166E12</v>
      </c>
      <c r="E294" s="3" t="s">
        <v>1171</v>
      </c>
      <c r="F294" s="3">
        <v>40213.0</v>
      </c>
    </row>
    <row r="295" ht="14.25" customHeight="1">
      <c r="A295" s="3" t="s">
        <v>1172</v>
      </c>
      <c r="B295" s="3" t="s">
        <v>1173</v>
      </c>
      <c r="C295" s="3" t="s">
        <v>1174</v>
      </c>
      <c r="D295" s="4">
        <v>6.294829222611E12</v>
      </c>
      <c r="E295" s="3" t="s">
        <v>1175</v>
      </c>
      <c r="F295" s="3">
        <v>40161.0</v>
      </c>
    </row>
    <row r="296" ht="14.25" customHeight="1">
      <c r="A296" s="3" t="s">
        <v>1176</v>
      </c>
      <c r="B296" s="3" t="s">
        <v>1177</v>
      </c>
      <c r="C296" s="3" t="s">
        <v>1178</v>
      </c>
      <c r="D296" s="4">
        <v>6.280000878941E12</v>
      </c>
      <c r="E296" s="3" t="s">
        <v>1179</v>
      </c>
      <c r="F296" s="3">
        <v>40183.0</v>
      </c>
    </row>
    <row r="297" ht="14.25" customHeight="1">
      <c r="A297" s="3" t="s">
        <v>1180</v>
      </c>
      <c r="B297" s="3" t="s">
        <v>1181</v>
      </c>
      <c r="C297" s="3" t="s">
        <v>1182</v>
      </c>
      <c r="D297" s="4">
        <v>6.282649707554E12</v>
      </c>
      <c r="E297" s="3" t="s">
        <v>1183</v>
      </c>
      <c r="F297" s="3">
        <v>40127.0</v>
      </c>
    </row>
    <row r="298" ht="14.25" customHeight="1">
      <c r="A298" s="3" t="s">
        <v>1184</v>
      </c>
      <c r="B298" s="3" t="s">
        <v>1185</v>
      </c>
      <c r="C298" s="3" t="s">
        <v>1186</v>
      </c>
      <c r="D298" s="4">
        <v>6.282442897528E12</v>
      </c>
      <c r="E298" s="3" t="s">
        <v>1187</v>
      </c>
      <c r="F298" s="3">
        <v>40245.0</v>
      </c>
    </row>
    <row r="299" ht="14.25" customHeight="1">
      <c r="A299" s="3" t="s">
        <v>1188</v>
      </c>
      <c r="B299" s="3" t="s">
        <v>1189</v>
      </c>
      <c r="C299" s="3" t="s">
        <v>1190</v>
      </c>
      <c r="D299" s="4">
        <v>6.213407267162E12</v>
      </c>
      <c r="E299" s="3" t="s">
        <v>1191</v>
      </c>
      <c r="F299" s="3">
        <v>40191.0</v>
      </c>
    </row>
    <row r="300" ht="14.25" customHeight="1">
      <c r="A300" s="3" t="s">
        <v>1192</v>
      </c>
      <c r="B300" s="3" t="s">
        <v>1193</v>
      </c>
      <c r="C300" s="3" t="s">
        <v>1194</v>
      </c>
      <c r="D300" s="4">
        <v>6.215926586122E12</v>
      </c>
      <c r="E300" s="3" t="s">
        <v>1195</v>
      </c>
      <c r="F300" s="3">
        <v>40238.0</v>
      </c>
    </row>
    <row r="301" ht="14.25" customHeight="1">
      <c r="A301" s="3" t="s">
        <v>1196</v>
      </c>
      <c r="B301" s="3" t="s">
        <v>1197</v>
      </c>
      <c r="C301" s="3" t="s">
        <v>1198</v>
      </c>
      <c r="D301" s="4">
        <v>6.247658678398E12</v>
      </c>
      <c r="E301" s="3" t="s">
        <v>1199</v>
      </c>
      <c r="F301" s="3">
        <v>40114.0</v>
      </c>
    </row>
    <row r="302" ht="14.25" customHeight="1">
      <c r="A302" s="3" t="s">
        <v>1200</v>
      </c>
      <c r="B302" s="3" t="s">
        <v>1201</v>
      </c>
      <c r="C302" s="3" t="s">
        <v>1202</v>
      </c>
      <c r="D302" s="4">
        <v>6.23807850258E12</v>
      </c>
      <c r="E302" s="3" t="s">
        <v>1203</v>
      </c>
      <c r="F302" s="3">
        <v>40186.0</v>
      </c>
    </row>
    <row r="303" ht="14.25" customHeight="1">
      <c r="A303" s="3" t="s">
        <v>1204</v>
      </c>
      <c r="B303" s="3" t="s">
        <v>1205</v>
      </c>
      <c r="C303" s="3" t="s">
        <v>1206</v>
      </c>
      <c r="D303" s="4">
        <v>6.297411463438E12</v>
      </c>
      <c r="E303" s="3" t="s">
        <v>1207</v>
      </c>
      <c r="F303" s="3">
        <v>40132.0</v>
      </c>
    </row>
    <row r="304" ht="14.25" customHeight="1">
      <c r="A304" s="3" t="s">
        <v>1208</v>
      </c>
      <c r="B304" s="3" t="s">
        <v>1209</v>
      </c>
      <c r="C304" s="3" t="s">
        <v>1210</v>
      </c>
      <c r="D304" s="4">
        <v>6.288840838955E12</v>
      </c>
      <c r="E304" s="3" t="s">
        <v>1211</v>
      </c>
      <c r="F304" s="3">
        <v>40189.0</v>
      </c>
    </row>
    <row r="305" ht="14.25" customHeight="1">
      <c r="A305" s="3" t="s">
        <v>1212</v>
      </c>
      <c r="B305" s="3" t="s">
        <v>1213</v>
      </c>
      <c r="C305" s="3" t="s">
        <v>1214</v>
      </c>
      <c r="D305" s="4">
        <v>6.285744289578E12</v>
      </c>
      <c r="E305" s="3" t="s">
        <v>1215</v>
      </c>
      <c r="F305" s="3">
        <v>40193.0</v>
      </c>
    </row>
    <row r="306" ht="14.25" customHeight="1">
      <c r="A306" s="3" t="s">
        <v>1216</v>
      </c>
      <c r="B306" s="3" t="s">
        <v>1217</v>
      </c>
      <c r="C306" s="3" t="s">
        <v>1218</v>
      </c>
      <c r="D306" s="4">
        <v>6.285227940535E12</v>
      </c>
      <c r="E306" s="3" t="s">
        <v>1219</v>
      </c>
      <c r="F306" s="3">
        <v>40179.0</v>
      </c>
    </row>
    <row r="307" ht="14.25" customHeight="1">
      <c r="A307" s="3" t="s">
        <v>1220</v>
      </c>
      <c r="B307" s="3" t="s">
        <v>1221</v>
      </c>
      <c r="C307" s="3" t="s">
        <v>1222</v>
      </c>
      <c r="D307" s="4">
        <v>6.263980723295E12</v>
      </c>
      <c r="E307" s="3" t="s">
        <v>1223</v>
      </c>
      <c r="F307" s="3">
        <v>40191.0</v>
      </c>
    </row>
    <row r="308" ht="14.25" customHeight="1">
      <c r="A308" s="3" t="s">
        <v>1224</v>
      </c>
      <c r="B308" s="3" t="s">
        <v>1225</v>
      </c>
      <c r="C308" s="3" t="s">
        <v>1226</v>
      </c>
      <c r="D308" s="4">
        <v>6.236080142186E12</v>
      </c>
      <c r="E308" s="3" t="s">
        <v>1227</v>
      </c>
      <c r="F308" s="3">
        <v>40141.0</v>
      </c>
    </row>
    <row r="309" ht="14.25" customHeight="1">
      <c r="A309" s="3" t="s">
        <v>1228</v>
      </c>
      <c r="B309" s="3" t="s">
        <v>1229</v>
      </c>
      <c r="C309" s="3" t="s">
        <v>1230</v>
      </c>
      <c r="D309" s="4">
        <v>6.221006555561E12</v>
      </c>
      <c r="E309" s="3" t="s">
        <v>1231</v>
      </c>
      <c r="F309" s="3">
        <v>40186.0</v>
      </c>
    </row>
    <row r="310" ht="14.25" customHeight="1">
      <c r="A310" s="3" t="s">
        <v>1232</v>
      </c>
      <c r="B310" s="3" t="s">
        <v>1233</v>
      </c>
      <c r="C310" s="3" t="s">
        <v>1234</v>
      </c>
      <c r="D310" s="4">
        <v>6.268404724977E12</v>
      </c>
      <c r="E310" s="3" t="s">
        <v>1235</v>
      </c>
      <c r="F310" s="3">
        <v>40199.0</v>
      </c>
    </row>
    <row r="311" ht="14.25" customHeight="1">
      <c r="A311" s="3" t="s">
        <v>1236</v>
      </c>
      <c r="B311" s="3" t="s">
        <v>1237</v>
      </c>
      <c r="C311" s="3" t="s">
        <v>1238</v>
      </c>
      <c r="D311" s="4">
        <v>6.20957735774E12</v>
      </c>
      <c r="E311" s="3" t="s">
        <v>1239</v>
      </c>
      <c r="F311" s="3">
        <v>40183.0</v>
      </c>
    </row>
    <row r="312" ht="14.25" customHeight="1">
      <c r="A312" s="3" t="s">
        <v>1240</v>
      </c>
      <c r="B312" s="3" t="s">
        <v>1241</v>
      </c>
      <c r="C312" s="3" t="s">
        <v>1242</v>
      </c>
      <c r="D312" s="4">
        <v>6.293332235136E12</v>
      </c>
      <c r="E312" s="3" t="s">
        <v>1243</v>
      </c>
      <c r="F312" s="3">
        <v>40117.0</v>
      </c>
    </row>
    <row r="313" ht="14.25" customHeight="1">
      <c r="A313" s="3" t="s">
        <v>1244</v>
      </c>
      <c r="B313" s="3" t="s">
        <v>1245</v>
      </c>
      <c r="C313" s="3" t="s">
        <v>1246</v>
      </c>
      <c r="D313" s="4">
        <v>6.268833922331E12</v>
      </c>
      <c r="E313" s="3" t="s">
        <v>1247</v>
      </c>
      <c r="F313" s="3">
        <v>40245.0</v>
      </c>
    </row>
    <row r="314" ht="14.25" customHeight="1">
      <c r="A314" s="3" t="s">
        <v>1248</v>
      </c>
      <c r="B314" s="3" t="s">
        <v>1249</v>
      </c>
      <c r="C314" s="3" t="s">
        <v>1250</v>
      </c>
      <c r="D314" s="4">
        <v>6.219075319601E12</v>
      </c>
      <c r="E314" s="3" t="s">
        <v>1251</v>
      </c>
      <c r="F314" s="3">
        <v>40185.0</v>
      </c>
    </row>
    <row r="315" ht="14.25" customHeight="1">
      <c r="A315" s="3" t="s">
        <v>1252</v>
      </c>
      <c r="B315" s="3" t="s">
        <v>1253</v>
      </c>
      <c r="C315" s="3" t="s">
        <v>1254</v>
      </c>
      <c r="D315" s="4">
        <v>6.20028345255E12</v>
      </c>
      <c r="E315" s="3" t="s">
        <v>1255</v>
      </c>
      <c r="F315" s="3">
        <v>40175.0</v>
      </c>
    </row>
    <row r="316" ht="14.25" customHeight="1">
      <c r="A316" s="3" t="s">
        <v>1256</v>
      </c>
      <c r="B316" s="3" t="s">
        <v>1257</v>
      </c>
      <c r="C316" s="3" t="s">
        <v>1258</v>
      </c>
      <c r="D316" s="4">
        <v>6.272933276107E12</v>
      </c>
      <c r="E316" s="3" t="s">
        <v>1259</v>
      </c>
      <c r="F316" s="3">
        <v>40160.0</v>
      </c>
    </row>
    <row r="317" ht="14.25" customHeight="1">
      <c r="A317" s="3" t="s">
        <v>1260</v>
      </c>
      <c r="B317" s="3" t="s">
        <v>1261</v>
      </c>
      <c r="C317" s="3" t="s">
        <v>1262</v>
      </c>
      <c r="D317" s="4">
        <v>6.266863361378E12</v>
      </c>
      <c r="E317" s="3" t="s">
        <v>1263</v>
      </c>
      <c r="F317" s="3">
        <v>40209.0</v>
      </c>
    </row>
    <row r="318" ht="14.25" customHeight="1">
      <c r="A318" s="3" t="s">
        <v>1264</v>
      </c>
      <c r="B318" s="3" t="s">
        <v>1265</v>
      </c>
      <c r="C318" s="3" t="s">
        <v>1266</v>
      </c>
      <c r="D318" s="4">
        <v>6.204136525177E12</v>
      </c>
      <c r="E318" s="3" t="s">
        <v>1267</v>
      </c>
      <c r="F318" s="3">
        <v>40134.0</v>
      </c>
    </row>
    <row r="319" ht="14.25" customHeight="1">
      <c r="A319" s="3" t="s">
        <v>1268</v>
      </c>
      <c r="B319" s="3" t="s">
        <v>1269</v>
      </c>
      <c r="C319" s="3" t="s">
        <v>1270</v>
      </c>
      <c r="D319" s="4">
        <v>6.242436892332E12</v>
      </c>
      <c r="E319" s="3" t="s">
        <v>1271</v>
      </c>
      <c r="F319" s="3">
        <v>40246.0</v>
      </c>
    </row>
    <row r="320" ht="14.25" customHeight="1">
      <c r="A320" s="3" t="s">
        <v>1272</v>
      </c>
      <c r="B320" s="3" t="s">
        <v>1273</v>
      </c>
      <c r="C320" s="3" t="s">
        <v>1274</v>
      </c>
      <c r="D320" s="4">
        <v>6.235814153164E12</v>
      </c>
      <c r="E320" s="3" t="s">
        <v>1275</v>
      </c>
      <c r="F320" s="3">
        <v>40240.0</v>
      </c>
    </row>
    <row r="321" ht="14.25" customHeight="1">
      <c r="A321" s="3" t="s">
        <v>1276</v>
      </c>
      <c r="B321" s="3" t="s">
        <v>1277</v>
      </c>
      <c r="C321" s="3" t="s">
        <v>1278</v>
      </c>
      <c r="D321" s="4">
        <v>6.256953624958E12</v>
      </c>
      <c r="E321" s="3" t="s">
        <v>1279</v>
      </c>
      <c r="F321" s="3">
        <v>40201.0</v>
      </c>
    </row>
    <row r="322" ht="14.25" customHeight="1">
      <c r="A322" s="3" t="s">
        <v>1280</v>
      </c>
      <c r="B322" s="3" t="s">
        <v>1281</v>
      </c>
      <c r="C322" s="3" t="s">
        <v>1282</v>
      </c>
      <c r="D322" s="4">
        <v>6.281183243572E12</v>
      </c>
      <c r="E322" s="3" t="s">
        <v>1283</v>
      </c>
      <c r="F322" s="3">
        <v>40159.0</v>
      </c>
    </row>
    <row r="323" ht="14.25" customHeight="1">
      <c r="A323" s="3" t="s">
        <v>1284</v>
      </c>
      <c r="B323" s="3" t="s">
        <v>1285</v>
      </c>
      <c r="C323" s="3" t="s">
        <v>1286</v>
      </c>
      <c r="D323" s="4">
        <v>6.296389969249E12</v>
      </c>
      <c r="E323" s="3" t="s">
        <v>1287</v>
      </c>
      <c r="F323" s="3">
        <v>40248.0</v>
      </c>
    </row>
    <row r="324" ht="14.25" customHeight="1">
      <c r="A324" s="3" t="s">
        <v>1288</v>
      </c>
      <c r="B324" s="3" t="s">
        <v>1289</v>
      </c>
      <c r="C324" s="3" t="s">
        <v>1290</v>
      </c>
      <c r="D324" s="4">
        <v>6.25785896511E12</v>
      </c>
      <c r="E324" s="3" t="s">
        <v>1291</v>
      </c>
      <c r="F324" s="3">
        <v>40238.0</v>
      </c>
    </row>
    <row r="325" ht="14.25" customHeight="1">
      <c r="A325" s="3" t="s">
        <v>1292</v>
      </c>
      <c r="B325" s="3" t="s">
        <v>1293</v>
      </c>
      <c r="C325" s="3" t="s">
        <v>1294</v>
      </c>
      <c r="D325" s="4">
        <v>6.265976219169E12</v>
      </c>
      <c r="E325" s="3" t="s">
        <v>1295</v>
      </c>
      <c r="F325" s="3">
        <v>40122.0</v>
      </c>
    </row>
    <row r="326" ht="14.25" customHeight="1">
      <c r="A326" s="3" t="s">
        <v>1296</v>
      </c>
      <c r="B326" s="3" t="s">
        <v>1297</v>
      </c>
      <c r="C326" s="3" t="s">
        <v>1298</v>
      </c>
      <c r="D326" s="4">
        <v>6.299440423306E12</v>
      </c>
      <c r="E326" s="3" t="s">
        <v>1299</v>
      </c>
      <c r="F326" s="3">
        <v>40119.0</v>
      </c>
    </row>
    <row r="327" ht="14.25" customHeight="1">
      <c r="A327" s="3" t="s">
        <v>1300</v>
      </c>
      <c r="B327" s="3" t="s">
        <v>1301</v>
      </c>
      <c r="C327" s="3" t="s">
        <v>1302</v>
      </c>
      <c r="D327" s="4">
        <v>6.293251828485E12</v>
      </c>
      <c r="E327" s="3" t="s">
        <v>1303</v>
      </c>
      <c r="F327" s="3">
        <v>40173.0</v>
      </c>
    </row>
    <row r="328" ht="14.25" customHeight="1">
      <c r="A328" s="3" t="s">
        <v>1304</v>
      </c>
      <c r="B328" s="3" t="s">
        <v>1305</v>
      </c>
      <c r="C328" s="3" t="s">
        <v>1306</v>
      </c>
      <c r="D328" s="4">
        <v>6.23841142213E12</v>
      </c>
      <c r="E328" s="3" t="s">
        <v>1307</v>
      </c>
      <c r="F328" s="3">
        <v>40175.0</v>
      </c>
    </row>
    <row r="329" ht="14.25" customHeight="1">
      <c r="A329" s="3" t="s">
        <v>1308</v>
      </c>
      <c r="B329" s="3" t="s">
        <v>1309</v>
      </c>
      <c r="C329" s="3" t="s">
        <v>1310</v>
      </c>
      <c r="D329" s="4">
        <v>6.277541138267E12</v>
      </c>
      <c r="E329" s="3" t="s">
        <v>1311</v>
      </c>
      <c r="F329" s="3">
        <v>40225.0</v>
      </c>
    </row>
    <row r="330" ht="14.25" customHeight="1">
      <c r="A330" s="3" t="s">
        <v>1312</v>
      </c>
      <c r="B330" s="3" t="s">
        <v>1313</v>
      </c>
      <c r="C330" s="3" t="s">
        <v>1314</v>
      </c>
      <c r="D330" s="4">
        <v>6.214304835383E12</v>
      </c>
      <c r="E330" s="3" t="s">
        <v>1315</v>
      </c>
      <c r="F330" s="3">
        <v>40225.0</v>
      </c>
    </row>
    <row r="331" ht="14.25" customHeight="1">
      <c r="A331" s="3" t="s">
        <v>1316</v>
      </c>
      <c r="B331" s="3" t="s">
        <v>1317</v>
      </c>
      <c r="C331" s="3" t="s">
        <v>1318</v>
      </c>
      <c r="D331" s="4">
        <v>6.284502133445E12</v>
      </c>
      <c r="E331" s="3" t="s">
        <v>1319</v>
      </c>
      <c r="F331" s="3">
        <v>40124.0</v>
      </c>
    </row>
    <row r="332" ht="14.25" customHeight="1">
      <c r="A332" s="3" t="s">
        <v>1320</v>
      </c>
      <c r="B332" s="3" t="s">
        <v>1321</v>
      </c>
      <c r="C332" s="3" t="s">
        <v>1322</v>
      </c>
      <c r="D332" s="4">
        <v>6.241491575861E12</v>
      </c>
      <c r="E332" s="3" t="s">
        <v>1323</v>
      </c>
      <c r="F332" s="3">
        <v>40234.0</v>
      </c>
    </row>
    <row r="333" ht="14.25" customHeight="1">
      <c r="A333" s="3" t="s">
        <v>1324</v>
      </c>
      <c r="B333" s="3" t="s">
        <v>1325</v>
      </c>
      <c r="C333" s="3" t="s">
        <v>1326</v>
      </c>
      <c r="D333" s="4">
        <v>6.295493918141E12</v>
      </c>
      <c r="E333" s="3" t="s">
        <v>1327</v>
      </c>
      <c r="F333" s="3">
        <v>40168.0</v>
      </c>
    </row>
    <row r="334" ht="14.25" customHeight="1">
      <c r="A334" s="3" t="s">
        <v>1328</v>
      </c>
      <c r="B334" s="3" t="s">
        <v>1329</v>
      </c>
      <c r="C334" s="3" t="s">
        <v>1330</v>
      </c>
      <c r="D334" s="4">
        <v>6.227059116699E12</v>
      </c>
      <c r="E334" s="3" t="s">
        <v>1331</v>
      </c>
      <c r="F334" s="3">
        <v>40232.0</v>
      </c>
    </row>
    <row r="335" ht="14.25" customHeight="1">
      <c r="A335" s="3" t="s">
        <v>1332</v>
      </c>
      <c r="B335" s="3" t="s">
        <v>1333</v>
      </c>
      <c r="C335" s="3" t="s">
        <v>1334</v>
      </c>
      <c r="D335" s="4">
        <v>6.295218268458E12</v>
      </c>
      <c r="E335" s="3" t="s">
        <v>1335</v>
      </c>
      <c r="F335" s="3">
        <v>40136.0</v>
      </c>
    </row>
    <row r="336" ht="14.25" customHeight="1">
      <c r="A336" s="3" t="s">
        <v>1336</v>
      </c>
      <c r="B336" s="3" t="s">
        <v>1337</v>
      </c>
      <c r="C336" s="3" t="s">
        <v>1338</v>
      </c>
      <c r="D336" s="4">
        <v>6.227034452878E12</v>
      </c>
      <c r="E336" s="3" t="s">
        <v>1339</v>
      </c>
      <c r="F336" s="3">
        <v>40169.0</v>
      </c>
    </row>
    <row r="337" ht="14.25" customHeight="1">
      <c r="A337" s="3" t="s">
        <v>1340</v>
      </c>
      <c r="B337" s="3" t="s">
        <v>1341</v>
      </c>
      <c r="C337" s="3" t="s">
        <v>1342</v>
      </c>
      <c r="D337" s="4">
        <v>6.221168102296E12</v>
      </c>
      <c r="E337" s="3" t="s">
        <v>1343</v>
      </c>
      <c r="F337" s="3">
        <v>40254.0</v>
      </c>
    </row>
    <row r="338" ht="14.25" customHeight="1">
      <c r="A338" s="3" t="s">
        <v>1344</v>
      </c>
      <c r="B338" s="3" t="s">
        <v>1345</v>
      </c>
      <c r="C338" s="3" t="s">
        <v>1346</v>
      </c>
      <c r="D338" s="4">
        <v>6.297160776425E12</v>
      </c>
      <c r="E338" s="3" t="s">
        <v>1347</v>
      </c>
      <c r="F338" s="3">
        <v>40191.0</v>
      </c>
    </row>
    <row r="339" ht="14.25" customHeight="1">
      <c r="A339" s="3" t="s">
        <v>1348</v>
      </c>
      <c r="B339" s="3" t="s">
        <v>267</v>
      </c>
      <c r="C339" s="3" t="s">
        <v>1349</v>
      </c>
      <c r="D339" s="4">
        <v>6.254424423462E12</v>
      </c>
      <c r="E339" s="3" t="s">
        <v>1350</v>
      </c>
      <c r="F339" s="3">
        <v>40131.0</v>
      </c>
    </row>
    <row r="340" ht="14.25" customHeight="1">
      <c r="A340" s="3" t="s">
        <v>1351</v>
      </c>
      <c r="B340" s="3" t="s">
        <v>1352</v>
      </c>
      <c r="C340" s="3" t="s">
        <v>1353</v>
      </c>
      <c r="D340" s="4">
        <v>6.284509646794E12</v>
      </c>
      <c r="E340" s="3" t="s">
        <v>1354</v>
      </c>
      <c r="F340" s="3">
        <v>40116.0</v>
      </c>
    </row>
    <row r="341" ht="14.25" customHeight="1">
      <c r="A341" s="3" t="s">
        <v>1355</v>
      </c>
      <c r="B341" s="3" t="s">
        <v>1356</v>
      </c>
      <c r="C341" s="3" t="s">
        <v>1357</v>
      </c>
      <c r="D341" s="4">
        <v>6.269882880399E12</v>
      </c>
      <c r="E341" s="3" t="s">
        <v>1358</v>
      </c>
      <c r="F341" s="3">
        <v>40211.0</v>
      </c>
    </row>
    <row r="342" ht="14.25" customHeight="1">
      <c r="A342" s="3" t="s">
        <v>1359</v>
      </c>
      <c r="B342" s="3" t="s">
        <v>1360</v>
      </c>
      <c r="C342" s="3" t="s">
        <v>1361</v>
      </c>
      <c r="D342" s="4">
        <v>6.212058751946E12</v>
      </c>
      <c r="E342" s="3" t="s">
        <v>1362</v>
      </c>
      <c r="F342" s="3">
        <v>40149.0</v>
      </c>
    </row>
    <row r="343" ht="14.25" customHeight="1">
      <c r="A343" s="3" t="s">
        <v>1363</v>
      </c>
      <c r="B343" s="3" t="s">
        <v>1197</v>
      </c>
      <c r="C343" s="3" t="s">
        <v>1364</v>
      </c>
      <c r="D343" s="4">
        <v>6.256987763497E12</v>
      </c>
      <c r="E343" s="3" t="s">
        <v>1365</v>
      </c>
      <c r="F343" s="3">
        <v>40245.0</v>
      </c>
    </row>
    <row r="344" ht="14.25" customHeight="1">
      <c r="A344" s="3" t="s">
        <v>1366</v>
      </c>
      <c r="B344" s="3" t="s">
        <v>1367</v>
      </c>
      <c r="C344" s="3" t="s">
        <v>1368</v>
      </c>
      <c r="D344" s="4">
        <v>6.268833603363E12</v>
      </c>
      <c r="E344" s="3" t="s">
        <v>1369</v>
      </c>
      <c r="F344" s="3">
        <v>40163.0</v>
      </c>
    </row>
    <row r="345" ht="14.25" customHeight="1">
      <c r="A345" s="3" t="s">
        <v>1370</v>
      </c>
      <c r="B345" s="3" t="s">
        <v>1371</v>
      </c>
      <c r="C345" s="3" t="s">
        <v>1372</v>
      </c>
      <c r="D345" s="4">
        <v>6.271391201005E12</v>
      </c>
      <c r="E345" s="3" t="s">
        <v>1373</v>
      </c>
      <c r="F345" s="3">
        <v>40220.0</v>
      </c>
    </row>
    <row r="346" ht="14.25" customHeight="1">
      <c r="A346" s="3" t="s">
        <v>1374</v>
      </c>
      <c r="B346" s="3" t="s">
        <v>1375</v>
      </c>
      <c r="C346" s="3" t="s">
        <v>1376</v>
      </c>
      <c r="D346" s="4">
        <v>6.210562321744E12</v>
      </c>
      <c r="E346" s="3" t="s">
        <v>1377</v>
      </c>
      <c r="F346" s="3">
        <v>40195.0</v>
      </c>
    </row>
    <row r="347" ht="14.25" customHeight="1">
      <c r="A347" s="3" t="s">
        <v>1378</v>
      </c>
      <c r="B347" s="3" t="s">
        <v>1379</v>
      </c>
      <c r="C347" s="3" t="s">
        <v>1380</v>
      </c>
      <c r="D347" s="4">
        <v>6.29185361314E12</v>
      </c>
      <c r="E347" s="3" t="s">
        <v>1381</v>
      </c>
      <c r="F347" s="3">
        <v>40192.0</v>
      </c>
    </row>
    <row r="348" ht="14.25" customHeight="1">
      <c r="A348" s="3" t="s">
        <v>1382</v>
      </c>
      <c r="B348" s="3" t="s">
        <v>1383</v>
      </c>
      <c r="C348" s="3" t="s">
        <v>1384</v>
      </c>
      <c r="D348" s="4">
        <v>6.295207206104E12</v>
      </c>
      <c r="E348" s="3" t="s">
        <v>1385</v>
      </c>
      <c r="F348" s="3">
        <v>40222.0</v>
      </c>
    </row>
    <row r="349" ht="14.25" customHeight="1">
      <c r="A349" s="3" t="s">
        <v>1386</v>
      </c>
      <c r="B349" s="3" t="s">
        <v>1387</v>
      </c>
      <c r="C349" s="3" t="s">
        <v>1388</v>
      </c>
      <c r="D349" s="4">
        <v>6.222964084726E12</v>
      </c>
      <c r="E349" s="3" t="s">
        <v>1389</v>
      </c>
      <c r="F349" s="3">
        <v>40139.0</v>
      </c>
    </row>
    <row r="350" ht="14.25" customHeight="1">
      <c r="A350" s="3" t="s">
        <v>1390</v>
      </c>
      <c r="B350" s="3" t="s">
        <v>1391</v>
      </c>
      <c r="C350" s="3" t="s">
        <v>1392</v>
      </c>
      <c r="D350" s="4">
        <v>6.2767004763E12</v>
      </c>
      <c r="E350" s="3" t="s">
        <v>1393</v>
      </c>
      <c r="F350" s="3">
        <v>40137.0</v>
      </c>
    </row>
    <row r="351" ht="14.25" customHeight="1">
      <c r="A351" s="3" t="s">
        <v>1394</v>
      </c>
      <c r="B351" s="3" t="s">
        <v>1395</v>
      </c>
      <c r="C351" s="3" t="s">
        <v>1396</v>
      </c>
      <c r="D351" s="4">
        <v>6.203556959986E12</v>
      </c>
      <c r="E351" s="3" t="s">
        <v>1397</v>
      </c>
      <c r="F351" s="3">
        <v>40245.0</v>
      </c>
    </row>
    <row r="352" ht="14.25" customHeight="1">
      <c r="A352" s="3" t="s">
        <v>1398</v>
      </c>
      <c r="B352" s="3" t="s">
        <v>1399</v>
      </c>
      <c r="C352" s="3" t="s">
        <v>1400</v>
      </c>
      <c r="D352" s="4">
        <v>6.247415541478E12</v>
      </c>
      <c r="E352" s="3" t="s">
        <v>1401</v>
      </c>
      <c r="F352" s="3">
        <v>40233.0</v>
      </c>
    </row>
    <row r="353" ht="14.25" customHeight="1">
      <c r="A353" s="3" t="s">
        <v>1402</v>
      </c>
      <c r="B353" s="3" t="s">
        <v>1403</v>
      </c>
      <c r="C353" s="3" t="s">
        <v>1404</v>
      </c>
      <c r="D353" s="4">
        <v>6.2452380703E12</v>
      </c>
      <c r="E353" s="3" t="s">
        <v>1405</v>
      </c>
      <c r="F353" s="3">
        <v>40165.0</v>
      </c>
    </row>
    <row r="354" ht="14.25" customHeight="1">
      <c r="A354" s="3" t="s">
        <v>1406</v>
      </c>
      <c r="B354" s="3" t="s">
        <v>1407</v>
      </c>
      <c r="C354" s="3" t="s">
        <v>1408</v>
      </c>
      <c r="D354" s="4">
        <v>6.245593360058E12</v>
      </c>
      <c r="E354" s="3" t="s">
        <v>1409</v>
      </c>
      <c r="F354" s="3">
        <v>40244.0</v>
      </c>
    </row>
    <row r="355" ht="14.25" customHeight="1">
      <c r="A355" s="3" t="s">
        <v>1410</v>
      </c>
      <c r="B355" s="3" t="s">
        <v>1411</v>
      </c>
      <c r="C355" s="3" t="s">
        <v>1412</v>
      </c>
      <c r="D355" s="4">
        <v>6.284280724559E12</v>
      </c>
      <c r="E355" s="3" t="s">
        <v>1413</v>
      </c>
      <c r="F355" s="3">
        <v>40166.0</v>
      </c>
    </row>
    <row r="356" ht="14.25" customHeight="1">
      <c r="A356" s="3" t="s">
        <v>1414</v>
      </c>
      <c r="B356" s="3" t="s">
        <v>1415</v>
      </c>
      <c r="C356" s="3" t="s">
        <v>1416</v>
      </c>
      <c r="D356" s="4">
        <v>6.237849081706E12</v>
      </c>
      <c r="E356" s="3" t="s">
        <v>1417</v>
      </c>
      <c r="F356" s="3">
        <v>40126.0</v>
      </c>
    </row>
    <row r="357" ht="14.25" customHeight="1">
      <c r="A357" s="3" t="s">
        <v>1418</v>
      </c>
      <c r="B357" s="3" t="s">
        <v>1419</v>
      </c>
      <c r="C357" s="3" t="s">
        <v>1420</v>
      </c>
      <c r="D357" s="4">
        <v>6.214441582907E12</v>
      </c>
      <c r="E357" s="3" t="s">
        <v>1421</v>
      </c>
      <c r="F357" s="3">
        <v>40207.0</v>
      </c>
    </row>
    <row r="358" ht="14.25" customHeight="1">
      <c r="A358" s="3" t="s">
        <v>1422</v>
      </c>
      <c r="B358" s="3" t="s">
        <v>267</v>
      </c>
      <c r="C358" s="3" t="s">
        <v>1423</v>
      </c>
      <c r="D358" s="4">
        <v>6.251733936953E12</v>
      </c>
      <c r="E358" s="3" t="s">
        <v>1424</v>
      </c>
      <c r="F358" s="3">
        <v>40164.0</v>
      </c>
    </row>
    <row r="359" ht="14.25" customHeight="1">
      <c r="A359" s="3" t="s">
        <v>1425</v>
      </c>
      <c r="B359" s="3" t="s">
        <v>1426</v>
      </c>
      <c r="C359" s="3" t="s">
        <v>1427</v>
      </c>
      <c r="D359" s="4">
        <v>6.228031169466E12</v>
      </c>
      <c r="E359" s="3" t="s">
        <v>1428</v>
      </c>
      <c r="F359" s="3">
        <v>40140.0</v>
      </c>
    </row>
    <row r="360" ht="14.25" customHeight="1">
      <c r="A360" s="3" t="s">
        <v>1429</v>
      </c>
      <c r="B360" s="3" t="s">
        <v>1430</v>
      </c>
      <c r="C360" s="3" t="s">
        <v>1431</v>
      </c>
      <c r="D360" s="4">
        <v>6.269276533512E12</v>
      </c>
      <c r="E360" s="3" t="s">
        <v>1432</v>
      </c>
      <c r="F360" s="3">
        <v>40240.0</v>
      </c>
    </row>
    <row r="361" ht="14.25" customHeight="1">
      <c r="A361" s="3" t="s">
        <v>1433</v>
      </c>
      <c r="B361" s="3" t="s">
        <v>1434</v>
      </c>
      <c r="C361" s="3" t="s">
        <v>1435</v>
      </c>
      <c r="D361" s="4">
        <v>6.271885214418E12</v>
      </c>
      <c r="E361" s="3" t="s">
        <v>1436</v>
      </c>
      <c r="F361" s="3">
        <v>40169.0</v>
      </c>
    </row>
    <row r="362" ht="14.25" customHeight="1">
      <c r="A362" s="3" t="s">
        <v>1437</v>
      </c>
      <c r="B362" s="3" t="s">
        <v>1438</v>
      </c>
      <c r="C362" s="3" t="s">
        <v>1439</v>
      </c>
      <c r="D362" s="4">
        <v>6.256695741116E12</v>
      </c>
      <c r="E362" s="3" t="s">
        <v>1440</v>
      </c>
      <c r="F362" s="3">
        <v>40115.0</v>
      </c>
    </row>
    <row r="363" ht="14.25" customHeight="1">
      <c r="A363" s="3" t="s">
        <v>1441</v>
      </c>
      <c r="B363" s="3" t="s">
        <v>1442</v>
      </c>
      <c r="C363" s="3" t="s">
        <v>1443</v>
      </c>
      <c r="D363" s="4">
        <v>6.246998798849E12</v>
      </c>
      <c r="E363" s="3" t="s">
        <v>1444</v>
      </c>
      <c r="F363" s="3">
        <v>40226.0</v>
      </c>
    </row>
    <row r="364" ht="14.25" customHeight="1">
      <c r="A364" s="3" t="s">
        <v>1445</v>
      </c>
      <c r="B364" s="3" t="s">
        <v>1446</v>
      </c>
      <c r="C364" s="3" t="s">
        <v>1447</v>
      </c>
      <c r="D364" s="4">
        <v>6.269042942229E12</v>
      </c>
      <c r="E364" s="3" t="s">
        <v>1448</v>
      </c>
      <c r="F364" s="3">
        <v>40203.0</v>
      </c>
    </row>
    <row r="365" ht="14.25" customHeight="1">
      <c r="A365" s="3" t="s">
        <v>1449</v>
      </c>
      <c r="B365" s="3" t="s">
        <v>1450</v>
      </c>
      <c r="C365" s="3" t="s">
        <v>1451</v>
      </c>
      <c r="D365" s="4">
        <v>6.215896101861E12</v>
      </c>
      <c r="E365" s="3" t="s">
        <v>1452</v>
      </c>
      <c r="F365" s="3">
        <v>40228.0</v>
      </c>
    </row>
    <row r="366" ht="14.25" customHeight="1">
      <c r="A366" s="3" t="s">
        <v>1453</v>
      </c>
      <c r="B366" s="3" t="s">
        <v>1454</v>
      </c>
      <c r="C366" s="3" t="s">
        <v>1455</v>
      </c>
      <c r="D366" s="4">
        <v>6.220626910482E12</v>
      </c>
      <c r="E366" s="3" t="s">
        <v>1456</v>
      </c>
      <c r="F366" s="3">
        <v>40155.0</v>
      </c>
    </row>
    <row r="367" ht="14.25" customHeight="1">
      <c r="A367" s="3" t="s">
        <v>1457</v>
      </c>
      <c r="B367" s="3" t="s">
        <v>1458</v>
      </c>
      <c r="C367" s="3" t="s">
        <v>1459</v>
      </c>
      <c r="D367" s="4">
        <v>6.257034724843E12</v>
      </c>
      <c r="E367" s="3" t="s">
        <v>1460</v>
      </c>
      <c r="F367" s="3">
        <v>40129.0</v>
      </c>
    </row>
    <row r="368" ht="14.25" customHeight="1">
      <c r="A368" s="3" t="s">
        <v>1461</v>
      </c>
      <c r="B368" s="3" t="s">
        <v>1462</v>
      </c>
      <c r="C368" s="3" t="s">
        <v>1463</v>
      </c>
      <c r="D368" s="4">
        <v>6.211882234351E12</v>
      </c>
      <c r="E368" s="3" t="s">
        <v>1464</v>
      </c>
      <c r="F368" s="3">
        <v>40197.0</v>
      </c>
    </row>
    <row r="369" ht="14.25" customHeight="1">
      <c r="A369" s="3" t="s">
        <v>1465</v>
      </c>
      <c r="B369" s="3" t="s">
        <v>1466</v>
      </c>
      <c r="C369" s="3" t="s">
        <v>1467</v>
      </c>
      <c r="D369" s="4">
        <v>6.205793722475E12</v>
      </c>
      <c r="E369" s="3" t="s">
        <v>1468</v>
      </c>
      <c r="F369" s="3">
        <v>40141.0</v>
      </c>
    </row>
    <row r="370" ht="14.25" customHeight="1">
      <c r="A370" s="3" t="s">
        <v>1469</v>
      </c>
      <c r="B370" s="3" t="s">
        <v>1470</v>
      </c>
      <c r="C370" s="3" t="s">
        <v>1471</v>
      </c>
      <c r="D370" s="4">
        <v>6.276194184807E12</v>
      </c>
      <c r="E370" s="3" t="s">
        <v>1472</v>
      </c>
      <c r="F370" s="3">
        <v>40205.0</v>
      </c>
    </row>
    <row r="371" ht="14.25" customHeight="1">
      <c r="A371" s="3" t="s">
        <v>1473</v>
      </c>
      <c r="B371" s="3" t="s">
        <v>1474</v>
      </c>
      <c r="C371" s="3" t="s">
        <v>1475</v>
      </c>
      <c r="D371" s="4">
        <v>6.229387620454E12</v>
      </c>
      <c r="E371" s="3" t="s">
        <v>1476</v>
      </c>
      <c r="F371" s="3">
        <v>40119.0</v>
      </c>
    </row>
    <row r="372" ht="14.25" customHeight="1">
      <c r="A372" s="3" t="s">
        <v>1477</v>
      </c>
      <c r="B372" s="3" t="s">
        <v>1478</v>
      </c>
      <c r="C372" s="3" t="s">
        <v>1479</v>
      </c>
      <c r="D372" s="4">
        <v>6.258662828337E12</v>
      </c>
      <c r="E372" s="3" t="s">
        <v>1480</v>
      </c>
      <c r="F372" s="3">
        <v>40237.0</v>
      </c>
    </row>
    <row r="373" ht="14.25" customHeight="1">
      <c r="A373" s="3" t="s">
        <v>1481</v>
      </c>
      <c r="B373" s="3" t="s">
        <v>1482</v>
      </c>
      <c r="C373" s="3" t="s">
        <v>1483</v>
      </c>
      <c r="D373" s="4">
        <v>6.281690698034E12</v>
      </c>
      <c r="E373" s="3" t="s">
        <v>1484</v>
      </c>
      <c r="F373" s="3">
        <v>40123.0</v>
      </c>
    </row>
    <row r="374" ht="14.25" customHeight="1">
      <c r="A374" s="3" t="s">
        <v>1485</v>
      </c>
      <c r="B374" s="3" t="s">
        <v>1486</v>
      </c>
      <c r="C374" s="3" t="s">
        <v>1487</v>
      </c>
      <c r="D374" s="4">
        <v>6.218543821291E12</v>
      </c>
      <c r="E374" s="3" t="s">
        <v>1488</v>
      </c>
      <c r="F374" s="3">
        <v>40113.0</v>
      </c>
    </row>
    <row r="375" ht="14.25" customHeight="1">
      <c r="A375" s="3" t="s">
        <v>1489</v>
      </c>
      <c r="B375" s="3" t="s">
        <v>1490</v>
      </c>
      <c r="C375" s="3" t="s">
        <v>1491</v>
      </c>
      <c r="D375" s="4">
        <v>6.270304552172E12</v>
      </c>
      <c r="E375" s="3" t="s">
        <v>1492</v>
      </c>
      <c r="F375" s="3">
        <v>40113.0</v>
      </c>
    </row>
    <row r="376" ht="14.25" customHeight="1">
      <c r="A376" s="3" t="s">
        <v>1493</v>
      </c>
      <c r="B376" s="3" t="s">
        <v>1494</v>
      </c>
      <c r="C376" s="3" t="s">
        <v>1495</v>
      </c>
      <c r="D376" s="4">
        <v>6.220618380231E12</v>
      </c>
      <c r="E376" s="3" t="s">
        <v>1496</v>
      </c>
      <c r="F376" s="3">
        <v>40247.0</v>
      </c>
    </row>
    <row r="377" ht="14.25" customHeight="1">
      <c r="A377" s="3" t="s">
        <v>1497</v>
      </c>
      <c r="B377" s="3" t="s">
        <v>1498</v>
      </c>
      <c r="C377" s="3" t="s">
        <v>1499</v>
      </c>
      <c r="D377" s="4">
        <v>6.225228175088E12</v>
      </c>
      <c r="E377" s="3" t="s">
        <v>1500</v>
      </c>
      <c r="F377" s="3">
        <v>40231.0</v>
      </c>
    </row>
    <row r="378" ht="14.25" customHeight="1">
      <c r="A378" s="3" t="s">
        <v>1501</v>
      </c>
      <c r="B378" s="3" t="s">
        <v>1502</v>
      </c>
      <c r="C378" s="3" t="s">
        <v>1503</v>
      </c>
      <c r="D378" s="4">
        <v>6.250048586793E12</v>
      </c>
      <c r="E378" s="3" t="s">
        <v>1504</v>
      </c>
      <c r="F378" s="3">
        <v>40200.0</v>
      </c>
    </row>
    <row r="379" ht="14.25" customHeight="1">
      <c r="A379" s="3" t="s">
        <v>1505</v>
      </c>
      <c r="B379" s="3" t="s">
        <v>1506</v>
      </c>
      <c r="C379" s="3" t="s">
        <v>1507</v>
      </c>
      <c r="D379" s="4">
        <v>6.239645534788E12</v>
      </c>
      <c r="E379" s="3" t="s">
        <v>1508</v>
      </c>
      <c r="F379" s="3">
        <v>40237.0</v>
      </c>
    </row>
    <row r="380" ht="14.25" customHeight="1">
      <c r="A380" s="3" t="s">
        <v>1509</v>
      </c>
      <c r="B380" s="3" t="s">
        <v>1510</v>
      </c>
      <c r="C380" s="3" t="s">
        <v>1511</v>
      </c>
      <c r="D380" s="4">
        <v>6.280849139717E12</v>
      </c>
      <c r="E380" s="3" t="s">
        <v>1512</v>
      </c>
      <c r="F380" s="3">
        <v>40237.0</v>
      </c>
    </row>
    <row r="381" ht="14.25" customHeight="1">
      <c r="A381" s="3" t="s">
        <v>1513</v>
      </c>
      <c r="B381" s="3" t="s">
        <v>1514</v>
      </c>
      <c r="C381" s="3" t="s">
        <v>1515</v>
      </c>
      <c r="D381" s="4">
        <v>6.255984589955E12</v>
      </c>
      <c r="E381" s="3" t="s">
        <v>1516</v>
      </c>
      <c r="F381" s="3">
        <v>40231.0</v>
      </c>
    </row>
    <row r="382" ht="14.25" customHeight="1">
      <c r="A382" s="3" t="s">
        <v>1517</v>
      </c>
      <c r="B382" s="3" t="s">
        <v>1518</v>
      </c>
      <c r="C382" s="3" t="s">
        <v>1519</v>
      </c>
      <c r="D382" s="4">
        <v>6.267843272538E12</v>
      </c>
      <c r="E382" s="3" t="s">
        <v>1520</v>
      </c>
      <c r="F382" s="3">
        <v>40220.0</v>
      </c>
    </row>
    <row r="383" ht="14.25" customHeight="1">
      <c r="A383" s="3" t="s">
        <v>1521</v>
      </c>
      <c r="B383" s="3" t="s">
        <v>1522</v>
      </c>
      <c r="C383" s="3" t="s">
        <v>1523</v>
      </c>
      <c r="D383" s="4">
        <v>6.29690564343E12</v>
      </c>
      <c r="E383" s="3" t="s">
        <v>1524</v>
      </c>
      <c r="F383" s="3">
        <v>40180.0</v>
      </c>
    </row>
    <row r="384" ht="14.25" customHeight="1">
      <c r="A384" s="3" t="s">
        <v>1525</v>
      </c>
      <c r="B384" s="3" t="s">
        <v>1526</v>
      </c>
      <c r="C384" s="3" t="s">
        <v>1527</v>
      </c>
      <c r="D384" s="4">
        <v>6.213098895179E12</v>
      </c>
      <c r="E384" s="3" t="s">
        <v>1528</v>
      </c>
      <c r="F384" s="3">
        <v>40156.0</v>
      </c>
    </row>
    <row r="385" ht="14.25" customHeight="1">
      <c r="A385" s="3" t="s">
        <v>1529</v>
      </c>
      <c r="B385" s="3" t="s">
        <v>1530</v>
      </c>
      <c r="C385" s="3" t="s">
        <v>1531</v>
      </c>
      <c r="D385" s="4">
        <v>6.250449666389E12</v>
      </c>
      <c r="E385" s="3" t="s">
        <v>1532</v>
      </c>
      <c r="F385" s="3">
        <v>40237.0</v>
      </c>
    </row>
    <row r="386" ht="14.25" customHeight="1">
      <c r="A386" s="3" t="s">
        <v>1533</v>
      </c>
      <c r="B386" s="3" t="s">
        <v>1534</v>
      </c>
      <c r="C386" s="3" t="s">
        <v>1535</v>
      </c>
      <c r="D386" s="4">
        <v>6.227116024743E12</v>
      </c>
      <c r="E386" s="3" t="s">
        <v>1536</v>
      </c>
      <c r="F386" s="3">
        <v>40114.0</v>
      </c>
    </row>
    <row r="387" ht="14.25" customHeight="1">
      <c r="A387" s="3" t="s">
        <v>1537</v>
      </c>
      <c r="B387" s="3" t="s">
        <v>1538</v>
      </c>
      <c r="C387" s="3" t="s">
        <v>1539</v>
      </c>
      <c r="D387" s="4">
        <v>6.28368342707E12</v>
      </c>
      <c r="E387" s="3" t="s">
        <v>1540</v>
      </c>
      <c r="F387" s="3">
        <v>40251.0</v>
      </c>
    </row>
    <row r="388" ht="14.25" customHeight="1">
      <c r="A388" s="3" t="s">
        <v>1541</v>
      </c>
      <c r="B388" s="3" t="s">
        <v>1542</v>
      </c>
      <c r="C388" s="3" t="s">
        <v>1543</v>
      </c>
      <c r="D388" s="4">
        <v>6.282075383888E12</v>
      </c>
      <c r="E388" s="3" t="s">
        <v>1544</v>
      </c>
      <c r="F388" s="3">
        <v>40151.0</v>
      </c>
    </row>
    <row r="389" ht="14.25" customHeight="1">
      <c r="A389" s="3" t="s">
        <v>1545</v>
      </c>
      <c r="B389" s="3" t="s">
        <v>1546</v>
      </c>
      <c r="C389" s="3" t="s">
        <v>1547</v>
      </c>
      <c r="D389" s="4">
        <v>6.209644812093E12</v>
      </c>
      <c r="E389" s="3" t="s">
        <v>1548</v>
      </c>
      <c r="F389" s="3">
        <v>40198.0</v>
      </c>
    </row>
    <row r="390" ht="14.25" customHeight="1">
      <c r="A390" s="3" t="s">
        <v>1549</v>
      </c>
      <c r="B390" s="3" t="s">
        <v>1550</v>
      </c>
      <c r="C390" s="3" t="s">
        <v>1551</v>
      </c>
      <c r="D390" s="4">
        <v>6.252794986008E12</v>
      </c>
      <c r="E390" s="3" t="s">
        <v>1552</v>
      </c>
      <c r="F390" s="3">
        <v>40143.0</v>
      </c>
    </row>
    <row r="391" ht="14.25" customHeight="1">
      <c r="A391" s="3" t="s">
        <v>1553</v>
      </c>
      <c r="B391" s="3" t="s">
        <v>1554</v>
      </c>
      <c r="C391" s="3" t="s">
        <v>1555</v>
      </c>
      <c r="D391" s="4">
        <v>6.278956203496E12</v>
      </c>
      <c r="E391" s="3" t="s">
        <v>1556</v>
      </c>
      <c r="F391" s="3">
        <v>40202.0</v>
      </c>
    </row>
    <row r="392" ht="14.25" customHeight="1">
      <c r="A392" s="3" t="s">
        <v>1557</v>
      </c>
      <c r="B392" s="3" t="s">
        <v>55</v>
      </c>
      <c r="C392" s="3" t="s">
        <v>1558</v>
      </c>
      <c r="D392" s="4">
        <v>6.200910849746E12</v>
      </c>
      <c r="E392" s="3" t="s">
        <v>1559</v>
      </c>
      <c r="F392" s="3">
        <v>40251.0</v>
      </c>
    </row>
    <row r="393" ht="14.25" customHeight="1">
      <c r="A393" s="3" t="s">
        <v>1560</v>
      </c>
      <c r="B393" s="3" t="s">
        <v>1561</v>
      </c>
      <c r="C393" s="3" t="s">
        <v>1562</v>
      </c>
      <c r="D393" s="4">
        <v>6.21604249673E12</v>
      </c>
      <c r="E393" s="3" t="s">
        <v>1563</v>
      </c>
      <c r="F393" s="3">
        <v>40252.0</v>
      </c>
    </row>
    <row r="394" ht="14.25" customHeight="1">
      <c r="A394" s="3" t="s">
        <v>1564</v>
      </c>
      <c r="B394" s="3" t="s">
        <v>1565</v>
      </c>
      <c r="C394" s="3" t="s">
        <v>1566</v>
      </c>
      <c r="D394" s="4">
        <v>6.284461229263E12</v>
      </c>
      <c r="E394" s="3" t="s">
        <v>1567</v>
      </c>
      <c r="F394" s="3">
        <v>40247.0</v>
      </c>
    </row>
    <row r="395" ht="14.25" customHeight="1">
      <c r="A395" s="3" t="s">
        <v>1568</v>
      </c>
      <c r="B395" s="3" t="s">
        <v>1569</v>
      </c>
      <c r="C395" s="3" t="s">
        <v>1570</v>
      </c>
      <c r="D395" s="4">
        <v>6.228647319594E12</v>
      </c>
      <c r="E395" s="3" t="s">
        <v>1571</v>
      </c>
      <c r="F395" s="3">
        <v>40144.0</v>
      </c>
    </row>
    <row r="396" ht="14.25" customHeight="1">
      <c r="A396" s="3" t="s">
        <v>1572</v>
      </c>
      <c r="B396" s="3" t="s">
        <v>1573</v>
      </c>
      <c r="C396" s="3" t="s">
        <v>1574</v>
      </c>
      <c r="D396" s="4">
        <v>6.243786721231E12</v>
      </c>
      <c r="E396" s="3" t="s">
        <v>1575</v>
      </c>
      <c r="F396" s="3">
        <v>40205.0</v>
      </c>
    </row>
    <row r="397" ht="14.25" customHeight="1">
      <c r="A397" s="3" t="s">
        <v>1576</v>
      </c>
      <c r="B397" s="3" t="s">
        <v>1577</v>
      </c>
      <c r="C397" s="3" t="s">
        <v>1578</v>
      </c>
      <c r="D397" s="4">
        <v>6.22569237175E12</v>
      </c>
      <c r="E397" s="3" t="s">
        <v>1579</v>
      </c>
      <c r="F397" s="3">
        <v>40111.0</v>
      </c>
    </row>
    <row r="398" ht="14.25" customHeight="1">
      <c r="A398" s="3" t="s">
        <v>1580</v>
      </c>
      <c r="B398" s="3" t="s">
        <v>1581</v>
      </c>
      <c r="C398" s="3" t="s">
        <v>1582</v>
      </c>
      <c r="D398" s="4">
        <v>6.266995786521E12</v>
      </c>
      <c r="E398" s="3" t="s">
        <v>1583</v>
      </c>
      <c r="F398" s="3">
        <v>40141.0</v>
      </c>
    </row>
    <row r="399" ht="14.25" customHeight="1">
      <c r="A399" s="3" t="s">
        <v>1584</v>
      </c>
      <c r="B399" s="3" t="s">
        <v>1585</v>
      </c>
      <c r="C399" s="3" t="s">
        <v>1586</v>
      </c>
      <c r="D399" s="4">
        <v>6.24476956842E12</v>
      </c>
      <c r="E399" s="3" t="s">
        <v>1587</v>
      </c>
      <c r="F399" s="3">
        <v>40225.0</v>
      </c>
    </row>
    <row r="400" ht="14.25" customHeight="1">
      <c r="A400" s="3" t="s">
        <v>1588</v>
      </c>
      <c r="B400" s="3" t="s">
        <v>1589</v>
      </c>
      <c r="C400" s="3" t="s">
        <v>1590</v>
      </c>
      <c r="D400" s="4">
        <v>6.248978613404E12</v>
      </c>
      <c r="E400" s="3" t="s">
        <v>1591</v>
      </c>
      <c r="F400" s="3">
        <v>40111.0</v>
      </c>
    </row>
    <row r="401" ht="14.25" customHeight="1">
      <c r="A401" s="3" t="s">
        <v>1592</v>
      </c>
      <c r="B401" s="3" t="s">
        <v>1593</v>
      </c>
      <c r="C401" s="3" t="s">
        <v>1594</v>
      </c>
      <c r="D401" s="4">
        <v>6.217444998583E12</v>
      </c>
      <c r="E401" s="3" t="s">
        <v>1595</v>
      </c>
      <c r="F401" s="3">
        <v>40252.0</v>
      </c>
    </row>
    <row r="402" ht="14.25" customHeight="1">
      <c r="A402" s="3" t="s">
        <v>1596</v>
      </c>
      <c r="B402" s="3" t="s">
        <v>1313</v>
      </c>
      <c r="C402" s="3" t="s">
        <v>1597</v>
      </c>
      <c r="D402" s="4">
        <v>6.299727077598E12</v>
      </c>
      <c r="E402" s="3" t="s">
        <v>1598</v>
      </c>
      <c r="F402" s="3">
        <v>40136.0</v>
      </c>
    </row>
    <row r="403" ht="14.25" customHeight="1">
      <c r="A403" s="3" t="s">
        <v>1599</v>
      </c>
      <c r="B403" s="3" t="s">
        <v>1600</v>
      </c>
      <c r="C403" s="3" t="s">
        <v>1601</v>
      </c>
      <c r="D403" s="4">
        <v>6.221650975489E12</v>
      </c>
      <c r="E403" s="3" t="s">
        <v>1602</v>
      </c>
      <c r="F403" s="3">
        <v>40139.0</v>
      </c>
    </row>
    <row r="404" ht="14.25" customHeight="1">
      <c r="A404" s="3" t="s">
        <v>1603</v>
      </c>
      <c r="B404" s="3" t="s">
        <v>1604</v>
      </c>
      <c r="C404" s="3" t="s">
        <v>1605</v>
      </c>
      <c r="D404" s="4">
        <v>6.227210910778E12</v>
      </c>
      <c r="E404" s="3" t="s">
        <v>1606</v>
      </c>
      <c r="F404" s="3">
        <v>40215.0</v>
      </c>
    </row>
    <row r="405" ht="14.25" customHeight="1">
      <c r="A405" s="3" t="s">
        <v>1607</v>
      </c>
      <c r="B405" s="3" t="s">
        <v>1608</v>
      </c>
      <c r="C405" s="3" t="s">
        <v>1609</v>
      </c>
      <c r="D405" s="4">
        <v>6.243902177122E12</v>
      </c>
      <c r="E405" s="3" t="s">
        <v>1610</v>
      </c>
      <c r="F405" s="3">
        <v>40174.0</v>
      </c>
    </row>
    <row r="406" ht="14.25" customHeight="1">
      <c r="A406" s="3" t="s">
        <v>1611</v>
      </c>
      <c r="B406" s="3" t="s">
        <v>1612</v>
      </c>
      <c r="C406" s="3" t="s">
        <v>1613</v>
      </c>
      <c r="D406" s="4">
        <v>6.257258229723E12</v>
      </c>
      <c r="E406" s="3" t="s">
        <v>1614</v>
      </c>
      <c r="F406" s="3">
        <v>40167.0</v>
      </c>
    </row>
    <row r="407" ht="14.25" customHeight="1">
      <c r="A407" s="3" t="s">
        <v>1615</v>
      </c>
      <c r="B407" s="3" t="s">
        <v>1616</v>
      </c>
      <c r="C407" s="3" t="s">
        <v>1617</v>
      </c>
      <c r="D407" s="4">
        <v>6.294937394836E12</v>
      </c>
      <c r="E407" s="3" t="s">
        <v>1618</v>
      </c>
      <c r="F407" s="3">
        <v>40240.0</v>
      </c>
    </row>
    <row r="408" ht="14.25" customHeight="1">
      <c r="A408" s="3" t="s">
        <v>1619</v>
      </c>
      <c r="B408" s="3" t="s">
        <v>1620</v>
      </c>
      <c r="C408" s="3" t="s">
        <v>1621</v>
      </c>
      <c r="D408" s="4">
        <v>6.296429213415E12</v>
      </c>
      <c r="E408" s="3" t="s">
        <v>1622</v>
      </c>
      <c r="F408" s="3">
        <v>40118.0</v>
      </c>
    </row>
    <row r="409" ht="14.25" customHeight="1">
      <c r="A409" s="3" t="s">
        <v>1623</v>
      </c>
      <c r="B409" s="3" t="s">
        <v>1624</v>
      </c>
      <c r="C409" s="3" t="s">
        <v>1625</v>
      </c>
      <c r="D409" s="4">
        <v>6.217995755737E12</v>
      </c>
      <c r="E409" s="3" t="s">
        <v>1626</v>
      </c>
      <c r="F409" s="3">
        <v>40234.0</v>
      </c>
    </row>
    <row r="410" ht="14.25" customHeight="1">
      <c r="A410" s="3" t="s">
        <v>1627</v>
      </c>
      <c r="B410" s="3" t="s">
        <v>1628</v>
      </c>
      <c r="C410" s="3" t="s">
        <v>1629</v>
      </c>
      <c r="D410" s="4">
        <v>6.273135476856E12</v>
      </c>
      <c r="E410" s="3" t="s">
        <v>1630</v>
      </c>
      <c r="F410" s="3">
        <v>40183.0</v>
      </c>
    </row>
    <row r="411" ht="14.25" customHeight="1">
      <c r="A411" s="3" t="s">
        <v>1631</v>
      </c>
      <c r="B411" s="3" t="s">
        <v>23</v>
      </c>
      <c r="C411" s="3" t="s">
        <v>1632</v>
      </c>
      <c r="D411" s="4">
        <v>6.279051466109E12</v>
      </c>
      <c r="E411" s="3" t="s">
        <v>1633</v>
      </c>
      <c r="F411" s="3">
        <v>40144.0</v>
      </c>
    </row>
    <row r="412" ht="14.25" customHeight="1">
      <c r="A412" s="3" t="s">
        <v>1634</v>
      </c>
      <c r="B412" s="3" t="s">
        <v>1635</v>
      </c>
      <c r="C412" s="3" t="s">
        <v>1636</v>
      </c>
      <c r="D412" s="4">
        <v>6.230456900224E12</v>
      </c>
      <c r="E412" s="3" t="s">
        <v>1637</v>
      </c>
      <c r="F412" s="3">
        <v>40189.0</v>
      </c>
    </row>
    <row r="413" ht="14.25" customHeight="1">
      <c r="A413" s="3" t="s">
        <v>1638</v>
      </c>
      <c r="B413" s="3" t="s">
        <v>1639</v>
      </c>
      <c r="C413" s="3" t="s">
        <v>1640</v>
      </c>
      <c r="D413" s="4">
        <v>6.242352507377E12</v>
      </c>
      <c r="E413" s="3" t="s">
        <v>1641</v>
      </c>
      <c r="F413" s="3">
        <v>40157.0</v>
      </c>
    </row>
    <row r="414" ht="14.25" customHeight="1">
      <c r="A414" s="3" t="s">
        <v>1642</v>
      </c>
      <c r="B414" s="3" t="s">
        <v>1643</v>
      </c>
      <c r="C414" s="3" t="s">
        <v>1644</v>
      </c>
      <c r="D414" s="4">
        <v>6.2253999092E12</v>
      </c>
      <c r="E414" s="3" t="s">
        <v>1645</v>
      </c>
      <c r="F414" s="3">
        <v>40143.0</v>
      </c>
    </row>
    <row r="415" ht="14.25" customHeight="1">
      <c r="A415" s="3" t="s">
        <v>1646</v>
      </c>
      <c r="B415" s="3" t="s">
        <v>367</v>
      </c>
      <c r="C415" s="3" t="s">
        <v>1647</v>
      </c>
      <c r="D415" s="4">
        <v>6.251849969589E12</v>
      </c>
      <c r="E415" s="3" t="s">
        <v>1648</v>
      </c>
      <c r="F415" s="3">
        <v>40213.0</v>
      </c>
    </row>
    <row r="416" ht="14.25" customHeight="1">
      <c r="A416" s="3" t="s">
        <v>1649</v>
      </c>
      <c r="B416" s="3" t="s">
        <v>1650</v>
      </c>
      <c r="C416" s="3" t="s">
        <v>1651</v>
      </c>
      <c r="D416" s="4">
        <v>6.204968649722E12</v>
      </c>
      <c r="E416" s="3" t="s">
        <v>1652</v>
      </c>
      <c r="F416" s="3">
        <v>40136.0</v>
      </c>
    </row>
    <row r="417" ht="14.25" customHeight="1">
      <c r="A417" s="3" t="s">
        <v>1653</v>
      </c>
      <c r="B417" s="3" t="s">
        <v>1654</v>
      </c>
      <c r="C417" s="3" t="s">
        <v>1655</v>
      </c>
      <c r="D417" s="4">
        <v>6.218094440433E12</v>
      </c>
      <c r="E417" s="3" t="s">
        <v>1656</v>
      </c>
      <c r="F417" s="3">
        <v>40233.0</v>
      </c>
    </row>
    <row r="418" ht="14.25" customHeight="1">
      <c r="A418" s="3" t="s">
        <v>1657</v>
      </c>
      <c r="B418" s="3" t="s">
        <v>1658</v>
      </c>
      <c r="C418" s="3" t="s">
        <v>1659</v>
      </c>
      <c r="D418" s="4">
        <v>6.296216537451E12</v>
      </c>
      <c r="E418" s="3" t="s">
        <v>1660</v>
      </c>
      <c r="F418" s="3">
        <v>40253.0</v>
      </c>
    </row>
    <row r="419" ht="14.25" customHeight="1">
      <c r="A419" s="3" t="s">
        <v>1661</v>
      </c>
      <c r="B419" s="3" t="s">
        <v>1662</v>
      </c>
      <c r="C419" s="3" t="s">
        <v>1663</v>
      </c>
      <c r="D419" s="4">
        <v>6.279178849818E12</v>
      </c>
      <c r="E419" s="3" t="s">
        <v>1664</v>
      </c>
      <c r="F419" s="3">
        <v>40128.0</v>
      </c>
    </row>
    <row r="420" ht="14.25" customHeight="1">
      <c r="A420" s="3" t="s">
        <v>1665</v>
      </c>
      <c r="B420" s="3" t="s">
        <v>1666</v>
      </c>
      <c r="C420" s="3" t="s">
        <v>1667</v>
      </c>
      <c r="D420" s="4">
        <v>6.282342809731E12</v>
      </c>
      <c r="E420" s="3" t="s">
        <v>1668</v>
      </c>
      <c r="F420" s="3">
        <v>40118.0</v>
      </c>
    </row>
    <row r="421" ht="14.25" customHeight="1">
      <c r="A421" s="3" t="s">
        <v>1669</v>
      </c>
      <c r="B421" s="3" t="s">
        <v>1670</v>
      </c>
      <c r="C421" s="3" t="s">
        <v>1671</v>
      </c>
      <c r="D421" s="4">
        <v>6.255016943915E12</v>
      </c>
      <c r="E421" s="3" t="s">
        <v>1672</v>
      </c>
      <c r="F421" s="3">
        <v>40148.0</v>
      </c>
    </row>
    <row r="422" ht="14.25" customHeight="1">
      <c r="A422" s="3" t="s">
        <v>1673</v>
      </c>
      <c r="B422" s="3" t="s">
        <v>1674</v>
      </c>
      <c r="C422" s="3" t="s">
        <v>1675</v>
      </c>
      <c r="D422" s="4">
        <v>6.217398661649E12</v>
      </c>
      <c r="E422" s="3" t="s">
        <v>1676</v>
      </c>
      <c r="F422" s="3">
        <v>40140.0</v>
      </c>
    </row>
    <row r="423" ht="14.25" customHeight="1">
      <c r="A423" s="3" t="s">
        <v>1677</v>
      </c>
      <c r="B423" s="3" t="s">
        <v>1678</v>
      </c>
      <c r="C423" s="3" t="s">
        <v>1679</v>
      </c>
      <c r="D423" s="4">
        <v>6.26769225203E12</v>
      </c>
      <c r="E423" s="3" t="s">
        <v>1680</v>
      </c>
      <c r="F423" s="3">
        <v>40142.0</v>
      </c>
    </row>
    <row r="424" ht="14.25" customHeight="1">
      <c r="A424" s="3" t="s">
        <v>1681</v>
      </c>
      <c r="B424" s="3" t="s">
        <v>1682</v>
      </c>
      <c r="C424" s="3" t="s">
        <v>1683</v>
      </c>
      <c r="D424" s="4">
        <v>6.2642444253E12</v>
      </c>
      <c r="E424" s="3" t="s">
        <v>1684</v>
      </c>
      <c r="F424" s="3">
        <v>40135.0</v>
      </c>
    </row>
    <row r="425" ht="14.25" customHeight="1">
      <c r="A425" s="3" t="s">
        <v>1685</v>
      </c>
      <c r="B425" s="3" t="s">
        <v>1686</v>
      </c>
      <c r="C425" s="3" t="s">
        <v>1687</v>
      </c>
      <c r="D425" s="4">
        <v>6.286979138025E12</v>
      </c>
      <c r="E425" s="3" t="s">
        <v>1688</v>
      </c>
      <c r="F425" s="3">
        <v>40231.0</v>
      </c>
    </row>
    <row r="426" ht="14.25" customHeight="1">
      <c r="A426" s="3" t="s">
        <v>1689</v>
      </c>
      <c r="B426" s="3" t="s">
        <v>1690</v>
      </c>
      <c r="C426" s="3" t="s">
        <v>1691</v>
      </c>
      <c r="D426" s="4">
        <v>6.237820801695E12</v>
      </c>
      <c r="E426" s="3" t="s">
        <v>1692</v>
      </c>
      <c r="F426" s="3">
        <v>40112.0</v>
      </c>
    </row>
    <row r="427" ht="14.25" customHeight="1">
      <c r="A427" s="3" t="s">
        <v>1693</v>
      </c>
      <c r="B427" s="3" t="s">
        <v>1694</v>
      </c>
      <c r="C427" s="3" t="s">
        <v>1695</v>
      </c>
      <c r="D427" s="4">
        <v>6.290159303584E12</v>
      </c>
      <c r="E427" s="3" t="s">
        <v>1696</v>
      </c>
      <c r="F427" s="3">
        <v>40199.0</v>
      </c>
    </row>
    <row r="428" ht="14.25" customHeight="1">
      <c r="A428" s="3" t="s">
        <v>1697</v>
      </c>
      <c r="B428" s="3" t="s">
        <v>1698</v>
      </c>
      <c r="C428" s="3" t="s">
        <v>1699</v>
      </c>
      <c r="D428" s="4">
        <v>6.244446326245E12</v>
      </c>
      <c r="E428" s="3" t="s">
        <v>1700</v>
      </c>
      <c r="F428" s="3">
        <v>40255.0</v>
      </c>
    </row>
    <row r="429" ht="14.25" customHeight="1">
      <c r="A429" s="3" t="s">
        <v>1701</v>
      </c>
      <c r="B429" s="3" t="s">
        <v>1702</v>
      </c>
      <c r="C429" s="3" t="s">
        <v>1703</v>
      </c>
      <c r="D429" s="4">
        <v>6.260993837717E12</v>
      </c>
      <c r="E429" s="3" t="s">
        <v>1704</v>
      </c>
      <c r="F429" s="3">
        <v>40257.0</v>
      </c>
    </row>
    <row r="430" ht="14.25" customHeight="1">
      <c r="A430" s="3" t="s">
        <v>1705</v>
      </c>
      <c r="B430" s="3" t="s">
        <v>1706</v>
      </c>
      <c r="C430" s="3" t="s">
        <v>1707</v>
      </c>
      <c r="D430" s="4">
        <v>6.201042881635E12</v>
      </c>
      <c r="E430" s="3" t="s">
        <v>1708</v>
      </c>
      <c r="F430" s="3">
        <v>40179.0</v>
      </c>
    </row>
    <row r="431" ht="14.25" customHeight="1">
      <c r="A431" s="3" t="s">
        <v>1709</v>
      </c>
      <c r="B431" s="3" t="s">
        <v>1710</v>
      </c>
      <c r="C431" s="3" t="s">
        <v>1711</v>
      </c>
      <c r="D431" s="4">
        <v>6.230190222497E12</v>
      </c>
      <c r="E431" s="3" t="s">
        <v>1712</v>
      </c>
      <c r="F431" s="3">
        <v>40244.0</v>
      </c>
    </row>
    <row r="432" ht="14.25" customHeight="1">
      <c r="A432" s="3" t="s">
        <v>1713</v>
      </c>
      <c r="B432" s="3" t="s">
        <v>1714</v>
      </c>
      <c r="C432" s="3" t="s">
        <v>1715</v>
      </c>
      <c r="D432" s="4">
        <v>6.221290371663E12</v>
      </c>
      <c r="E432" s="3" t="s">
        <v>1716</v>
      </c>
      <c r="F432" s="3">
        <v>40202.0</v>
      </c>
    </row>
    <row r="433" ht="14.25" customHeight="1">
      <c r="A433" s="3" t="s">
        <v>1717</v>
      </c>
      <c r="B433" s="3" t="s">
        <v>1718</v>
      </c>
      <c r="C433" s="3" t="s">
        <v>1719</v>
      </c>
      <c r="D433" s="4">
        <v>6.257255458518E12</v>
      </c>
      <c r="E433" s="3" t="s">
        <v>1720</v>
      </c>
      <c r="F433" s="3">
        <v>40197.0</v>
      </c>
    </row>
    <row r="434" ht="14.25" customHeight="1">
      <c r="A434" s="3" t="s">
        <v>1721</v>
      </c>
      <c r="B434" s="3" t="s">
        <v>1722</v>
      </c>
      <c r="C434" s="3" t="s">
        <v>1723</v>
      </c>
      <c r="D434" s="4">
        <v>6.281362599296E12</v>
      </c>
      <c r="E434" s="3" t="s">
        <v>1724</v>
      </c>
      <c r="F434" s="3">
        <v>40172.0</v>
      </c>
    </row>
    <row r="435" ht="14.25" customHeight="1">
      <c r="A435" s="3" t="s">
        <v>1725</v>
      </c>
      <c r="B435" s="3" t="s">
        <v>792</v>
      </c>
      <c r="C435" s="3" t="s">
        <v>1726</v>
      </c>
      <c r="D435" s="4">
        <v>6.201769460939E12</v>
      </c>
      <c r="E435" s="3" t="s">
        <v>1727</v>
      </c>
      <c r="F435" s="3">
        <v>40162.0</v>
      </c>
    </row>
    <row r="436" ht="14.25" customHeight="1">
      <c r="A436" s="3" t="s">
        <v>1728</v>
      </c>
      <c r="B436" s="3" t="s">
        <v>1729</v>
      </c>
      <c r="C436" s="3" t="s">
        <v>1730</v>
      </c>
      <c r="D436" s="4">
        <v>6.212422178137E12</v>
      </c>
      <c r="E436" s="3" t="s">
        <v>1731</v>
      </c>
      <c r="F436" s="3">
        <v>40182.0</v>
      </c>
    </row>
    <row r="437" ht="14.25" customHeight="1">
      <c r="A437" s="3" t="s">
        <v>1732</v>
      </c>
      <c r="B437" s="3" t="s">
        <v>1733</v>
      </c>
      <c r="C437" s="3" t="s">
        <v>1734</v>
      </c>
      <c r="D437" s="4">
        <v>6.210855185376E12</v>
      </c>
      <c r="E437" s="3" t="s">
        <v>1735</v>
      </c>
      <c r="F437" s="3">
        <v>40122.0</v>
      </c>
    </row>
    <row r="438" ht="14.25" customHeight="1">
      <c r="A438" s="3" t="s">
        <v>1736</v>
      </c>
      <c r="B438" s="3" t="s">
        <v>1737</v>
      </c>
      <c r="C438" s="3" t="s">
        <v>1738</v>
      </c>
      <c r="D438" s="4">
        <v>6.235950967394E12</v>
      </c>
      <c r="E438" s="3" t="s">
        <v>1739</v>
      </c>
      <c r="F438" s="3">
        <v>40242.0</v>
      </c>
    </row>
    <row r="439" ht="14.25" customHeight="1">
      <c r="A439" s="3" t="s">
        <v>1740</v>
      </c>
      <c r="B439" s="3" t="s">
        <v>1741</v>
      </c>
      <c r="C439" s="3" t="s">
        <v>1742</v>
      </c>
      <c r="D439" s="4">
        <v>6.286721271865E12</v>
      </c>
      <c r="E439" s="3" t="s">
        <v>1743</v>
      </c>
      <c r="F439" s="3">
        <v>40142.0</v>
      </c>
    </row>
    <row r="440" ht="14.25" customHeight="1">
      <c r="A440" s="3" t="s">
        <v>1744</v>
      </c>
      <c r="B440" s="3" t="s">
        <v>1745</v>
      </c>
      <c r="C440" s="3" t="s">
        <v>1746</v>
      </c>
      <c r="D440" s="4">
        <v>6.22938221983E12</v>
      </c>
      <c r="E440" s="3" t="s">
        <v>1747</v>
      </c>
      <c r="F440" s="3">
        <v>40249.0</v>
      </c>
    </row>
    <row r="441" ht="14.25" customHeight="1">
      <c r="A441" s="3" t="s">
        <v>1748</v>
      </c>
      <c r="B441" s="3" t="s">
        <v>1749</v>
      </c>
      <c r="C441" s="3" t="s">
        <v>1750</v>
      </c>
      <c r="D441" s="4">
        <v>6.23896715924E12</v>
      </c>
      <c r="E441" s="3" t="s">
        <v>1751</v>
      </c>
      <c r="F441" s="3">
        <v>40182.0</v>
      </c>
    </row>
    <row r="442" ht="14.25" customHeight="1">
      <c r="A442" s="3" t="s">
        <v>1752</v>
      </c>
      <c r="B442" s="3" t="s">
        <v>1753</v>
      </c>
      <c r="C442" s="3" t="s">
        <v>1754</v>
      </c>
      <c r="D442" s="4">
        <v>6.207265078454E12</v>
      </c>
      <c r="E442" s="3" t="s">
        <v>1755</v>
      </c>
      <c r="F442" s="3">
        <v>40253.0</v>
      </c>
    </row>
    <row r="443" ht="14.25" customHeight="1">
      <c r="A443" s="3" t="s">
        <v>1756</v>
      </c>
      <c r="B443" s="3" t="s">
        <v>1757</v>
      </c>
      <c r="C443" s="3" t="s">
        <v>1758</v>
      </c>
      <c r="D443" s="4">
        <v>6.217270085068E12</v>
      </c>
      <c r="E443" s="3" t="s">
        <v>1759</v>
      </c>
      <c r="F443" s="3">
        <v>40166.0</v>
      </c>
    </row>
    <row r="444" ht="14.25" customHeight="1">
      <c r="A444" s="3" t="s">
        <v>1760</v>
      </c>
      <c r="B444" s="3" t="s">
        <v>1761</v>
      </c>
      <c r="C444" s="3" t="s">
        <v>1762</v>
      </c>
      <c r="D444" s="4">
        <v>6.250117925092E12</v>
      </c>
      <c r="E444" s="3" t="s">
        <v>1763</v>
      </c>
      <c r="F444" s="3">
        <v>40198.0</v>
      </c>
    </row>
    <row r="445" ht="14.25" customHeight="1">
      <c r="A445" s="3" t="s">
        <v>1764</v>
      </c>
      <c r="B445" s="3" t="s">
        <v>1765</v>
      </c>
      <c r="C445" s="3" t="s">
        <v>1766</v>
      </c>
      <c r="D445" s="4">
        <v>6.238680910346E12</v>
      </c>
      <c r="E445" s="3" t="s">
        <v>1767</v>
      </c>
      <c r="F445" s="3">
        <v>40186.0</v>
      </c>
    </row>
    <row r="446" ht="14.25" customHeight="1">
      <c r="A446" s="3" t="s">
        <v>1768</v>
      </c>
      <c r="B446" s="3" t="s">
        <v>1769</v>
      </c>
      <c r="C446" s="3" t="s">
        <v>1770</v>
      </c>
      <c r="D446" s="4">
        <v>6.296665280059E12</v>
      </c>
      <c r="E446" s="3" t="s">
        <v>1771</v>
      </c>
      <c r="F446" s="3">
        <v>40131.0</v>
      </c>
    </row>
    <row r="447" ht="14.25" customHeight="1">
      <c r="A447" s="3" t="s">
        <v>1772</v>
      </c>
      <c r="B447" s="3" t="s">
        <v>1773</v>
      </c>
      <c r="C447" s="3" t="s">
        <v>1774</v>
      </c>
      <c r="D447" s="4">
        <v>6.290736152845E12</v>
      </c>
      <c r="E447" s="3" t="s">
        <v>1775</v>
      </c>
      <c r="F447" s="3">
        <v>40230.0</v>
      </c>
    </row>
    <row r="448" ht="14.25" customHeight="1">
      <c r="A448" s="3" t="s">
        <v>1776</v>
      </c>
      <c r="B448" s="3" t="s">
        <v>1777</v>
      </c>
      <c r="C448" s="3" t="s">
        <v>1778</v>
      </c>
      <c r="D448" s="4">
        <v>6.253233955688E12</v>
      </c>
      <c r="E448" s="3" t="s">
        <v>1779</v>
      </c>
      <c r="F448" s="3">
        <v>40151.0</v>
      </c>
    </row>
    <row r="449" ht="14.25" customHeight="1">
      <c r="A449" s="3" t="s">
        <v>1780</v>
      </c>
      <c r="B449" s="3" t="s">
        <v>1781</v>
      </c>
      <c r="C449" s="3" t="s">
        <v>1782</v>
      </c>
      <c r="D449" s="4">
        <v>6.298227289807E12</v>
      </c>
      <c r="E449" s="3" t="s">
        <v>1783</v>
      </c>
      <c r="F449" s="3">
        <v>40133.0</v>
      </c>
    </row>
    <row r="450" ht="14.25" customHeight="1">
      <c r="A450" s="3" t="s">
        <v>1784</v>
      </c>
      <c r="B450" s="3" t="s">
        <v>1785</v>
      </c>
      <c r="C450" s="3" t="s">
        <v>1786</v>
      </c>
      <c r="D450" s="4">
        <v>6.276369795966E12</v>
      </c>
      <c r="E450" s="3" t="s">
        <v>1787</v>
      </c>
      <c r="F450" s="3">
        <v>40144.0</v>
      </c>
    </row>
    <row r="451" ht="14.25" customHeight="1">
      <c r="A451" s="3" t="s">
        <v>1788</v>
      </c>
      <c r="B451" s="3" t="s">
        <v>1789</v>
      </c>
      <c r="C451" s="3" t="s">
        <v>1790</v>
      </c>
      <c r="D451" s="4">
        <v>6.237419519551E12</v>
      </c>
      <c r="E451" s="3" t="s">
        <v>1791</v>
      </c>
      <c r="F451" s="3">
        <v>40228.0</v>
      </c>
    </row>
    <row r="452" ht="14.25" customHeight="1">
      <c r="A452" s="3" t="s">
        <v>1792</v>
      </c>
      <c r="B452" s="3" t="s">
        <v>1793</v>
      </c>
      <c r="C452" s="3" t="s">
        <v>1794</v>
      </c>
      <c r="D452" s="4">
        <v>6.222774432196E12</v>
      </c>
      <c r="E452" s="3" t="s">
        <v>1795</v>
      </c>
      <c r="F452" s="3">
        <v>40244.0</v>
      </c>
    </row>
    <row r="453" ht="14.25" customHeight="1">
      <c r="A453" s="3" t="s">
        <v>1796</v>
      </c>
      <c r="B453" s="3" t="s">
        <v>1797</v>
      </c>
      <c r="C453" s="3" t="s">
        <v>1798</v>
      </c>
      <c r="D453" s="4">
        <v>6.264224866992E12</v>
      </c>
      <c r="E453" s="3" t="s">
        <v>1799</v>
      </c>
      <c r="F453" s="3">
        <v>40145.0</v>
      </c>
    </row>
    <row r="454" ht="14.25" customHeight="1">
      <c r="A454" s="3" t="s">
        <v>1800</v>
      </c>
      <c r="B454" s="3" t="s">
        <v>1801</v>
      </c>
      <c r="C454" s="3" t="s">
        <v>1802</v>
      </c>
      <c r="D454" s="4">
        <v>6.246782643152E12</v>
      </c>
      <c r="E454" s="3" t="s">
        <v>1803</v>
      </c>
      <c r="F454" s="3">
        <v>40171.0</v>
      </c>
    </row>
    <row r="455" ht="14.25" customHeight="1">
      <c r="A455" s="3" t="s">
        <v>1804</v>
      </c>
      <c r="B455" s="3" t="s">
        <v>1805</v>
      </c>
      <c r="C455" s="3" t="s">
        <v>1806</v>
      </c>
      <c r="D455" s="4">
        <v>6.201372398128E12</v>
      </c>
      <c r="E455" s="3" t="s">
        <v>1807</v>
      </c>
      <c r="F455" s="3">
        <v>40139.0</v>
      </c>
    </row>
    <row r="456" ht="14.25" customHeight="1">
      <c r="A456" s="3" t="s">
        <v>1808</v>
      </c>
      <c r="B456" s="3" t="s">
        <v>935</v>
      </c>
      <c r="C456" s="3" t="s">
        <v>1809</v>
      </c>
      <c r="D456" s="4">
        <v>6.292889170845E12</v>
      </c>
      <c r="E456" s="3" t="s">
        <v>1810</v>
      </c>
      <c r="F456" s="3">
        <v>40126.0</v>
      </c>
    </row>
    <row r="457" ht="14.25" customHeight="1">
      <c r="A457" s="3" t="s">
        <v>1811</v>
      </c>
      <c r="B457" s="3" t="s">
        <v>1812</v>
      </c>
      <c r="C457" s="3" t="s">
        <v>1813</v>
      </c>
      <c r="D457" s="4">
        <v>6.261047029233E12</v>
      </c>
      <c r="E457" s="3" t="s">
        <v>1814</v>
      </c>
      <c r="F457" s="3">
        <v>40237.0</v>
      </c>
    </row>
    <row r="458" ht="14.25" customHeight="1">
      <c r="A458" s="3" t="s">
        <v>1815</v>
      </c>
      <c r="B458" s="3" t="s">
        <v>1816</v>
      </c>
      <c r="C458" s="3" t="s">
        <v>1817</v>
      </c>
      <c r="D458" s="4">
        <v>6.226696370792E12</v>
      </c>
      <c r="E458" s="3" t="s">
        <v>1818</v>
      </c>
      <c r="F458" s="3">
        <v>40222.0</v>
      </c>
    </row>
    <row r="459" ht="14.25" customHeight="1">
      <c r="A459" s="3" t="s">
        <v>1819</v>
      </c>
      <c r="B459" s="3" t="s">
        <v>135</v>
      </c>
      <c r="C459" s="3" t="s">
        <v>1820</v>
      </c>
      <c r="D459" s="4">
        <v>6.285552194111E12</v>
      </c>
      <c r="E459" s="3" t="s">
        <v>1821</v>
      </c>
      <c r="F459" s="3">
        <v>40236.0</v>
      </c>
    </row>
    <row r="460" ht="14.25" customHeight="1">
      <c r="A460" s="3" t="s">
        <v>1822</v>
      </c>
      <c r="B460" s="3" t="s">
        <v>1823</v>
      </c>
      <c r="C460" s="3" t="s">
        <v>1824</v>
      </c>
      <c r="D460" s="4">
        <v>6.203229566108E12</v>
      </c>
      <c r="E460" s="3" t="s">
        <v>1825</v>
      </c>
      <c r="F460" s="3">
        <v>40250.0</v>
      </c>
    </row>
    <row r="461" ht="14.25" customHeight="1">
      <c r="A461" s="3" t="s">
        <v>1826</v>
      </c>
      <c r="B461" s="3" t="s">
        <v>1827</v>
      </c>
      <c r="C461" s="3" t="s">
        <v>1828</v>
      </c>
      <c r="D461" s="4">
        <v>6.223820273413E12</v>
      </c>
      <c r="E461" s="3" t="s">
        <v>1829</v>
      </c>
      <c r="F461" s="3">
        <v>40113.0</v>
      </c>
    </row>
    <row r="462" ht="14.25" customHeight="1">
      <c r="A462" s="3" t="s">
        <v>1830</v>
      </c>
      <c r="B462" s="3" t="s">
        <v>1831</v>
      </c>
      <c r="C462" s="3" t="s">
        <v>1832</v>
      </c>
      <c r="D462" s="4">
        <v>6.221300612947E12</v>
      </c>
      <c r="E462" s="3" t="s">
        <v>1833</v>
      </c>
      <c r="F462" s="3">
        <v>40151.0</v>
      </c>
    </row>
    <row r="463" ht="14.25" customHeight="1">
      <c r="A463" s="3" t="s">
        <v>1834</v>
      </c>
      <c r="B463" s="3" t="s">
        <v>1835</v>
      </c>
      <c r="C463" s="3" t="s">
        <v>1836</v>
      </c>
      <c r="D463" s="4">
        <v>6.298578747027E12</v>
      </c>
      <c r="E463" s="3" t="s">
        <v>1837</v>
      </c>
      <c r="F463" s="3">
        <v>40144.0</v>
      </c>
    </row>
    <row r="464" ht="14.25" customHeight="1">
      <c r="A464" s="3" t="s">
        <v>1838</v>
      </c>
      <c r="B464" s="3" t="s">
        <v>1839</v>
      </c>
      <c r="C464" s="3" t="s">
        <v>1840</v>
      </c>
      <c r="D464" s="4">
        <v>6.236322517681E12</v>
      </c>
      <c r="E464" s="3" t="s">
        <v>1841</v>
      </c>
      <c r="F464" s="3">
        <v>40146.0</v>
      </c>
    </row>
    <row r="465" ht="14.25" customHeight="1">
      <c r="A465" s="3" t="s">
        <v>1842</v>
      </c>
      <c r="B465" s="3" t="s">
        <v>1843</v>
      </c>
      <c r="C465" s="3" t="s">
        <v>1844</v>
      </c>
      <c r="D465" s="4">
        <v>6.220612472579E12</v>
      </c>
      <c r="E465" s="3" t="s">
        <v>1845</v>
      </c>
      <c r="F465" s="3">
        <v>40111.0</v>
      </c>
    </row>
    <row r="466" ht="14.25" customHeight="1">
      <c r="A466" s="3" t="s">
        <v>1846</v>
      </c>
      <c r="B466" s="3" t="s">
        <v>1847</v>
      </c>
      <c r="C466" s="3" t="s">
        <v>1848</v>
      </c>
      <c r="D466" s="4">
        <v>6.298233013758E12</v>
      </c>
      <c r="E466" s="3" t="s">
        <v>1849</v>
      </c>
      <c r="F466" s="3">
        <v>40201.0</v>
      </c>
    </row>
    <row r="467" ht="14.25" customHeight="1">
      <c r="A467" s="3" t="s">
        <v>1850</v>
      </c>
      <c r="B467" s="3" t="s">
        <v>1851</v>
      </c>
      <c r="C467" s="3" t="s">
        <v>1852</v>
      </c>
      <c r="D467" s="4">
        <v>6.27760198635E12</v>
      </c>
      <c r="E467" s="3" t="s">
        <v>1853</v>
      </c>
      <c r="F467" s="3">
        <v>40152.0</v>
      </c>
    </row>
    <row r="468" ht="14.25" customHeight="1">
      <c r="A468" s="3" t="s">
        <v>1854</v>
      </c>
      <c r="B468" s="3" t="s">
        <v>1855</v>
      </c>
      <c r="C468" s="3" t="s">
        <v>1856</v>
      </c>
      <c r="D468" s="4">
        <v>6.274454302248E12</v>
      </c>
      <c r="E468" s="3" t="s">
        <v>1857</v>
      </c>
      <c r="F468" s="3">
        <v>40212.0</v>
      </c>
    </row>
    <row r="469" ht="14.25" customHeight="1">
      <c r="A469" s="3" t="s">
        <v>1858</v>
      </c>
      <c r="B469" s="3" t="s">
        <v>1859</v>
      </c>
      <c r="C469" s="3" t="s">
        <v>1860</v>
      </c>
      <c r="D469" s="4">
        <v>6.253880061713E12</v>
      </c>
      <c r="E469" s="3" t="s">
        <v>1861</v>
      </c>
      <c r="F469" s="3">
        <v>40134.0</v>
      </c>
    </row>
    <row r="470" ht="14.25" customHeight="1">
      <c r="A470" s="3" t="s">
        <v>1862</v>
      </c>
      <c r="B470" s="3" t="s">
        <v>1863</v>
      </c>
      <c r="C470" s="3" t="s">
        <v>1864</v>
      </c>
      <c r="D470" s="4">
        <v>6.25447501879E12</v>
      </c>
      <c r="E470" s="3" t="s">
        <v>1865</v>
      </c>
      <c r="F470" s="3">
        <v>40137.0</v>
      </c>
    </row>
    <row r="471" ht="14.25" customHeight="1">
      <c r="A471" s="3" t="s">
        <v>1866</v>
      </c>
      <c r="B471" s="3" t="s">
        <v>1867</v>
      </c>
      <c r="C471" s="3" t="s">
        <v>1868</v>
      </c>
      <c r="D471" s="4">
        <v>6.261167122965E12</v>
      </c>
      <c r="E471" s="3" t="s">
        <v>1869</v>
      </c>
      <c r="F471" s="3">
        <v>40229.0</v>
      </c>
    </row>
    <row r="472" ht="14.25" customHeight="1">
      <c r="A472" s="3" t="s">
        <v>1870</v>
      </c>
      <c r="B472" s="3" t="s">
        <v>1871</v>
      </c>
      <c r="C472" s="3" t="s">
        <v>1872</v>
      </c>
      <c r="D472" s="4">
        <v>6.25721658391E12</v>
      </c>
      <c r="E472" s="3" t="s">
        <v>1873</v>
      </c>
      <c r="F472" s="3">
        <v>40212.0</v>
      </c>
    </row>
    <row r="473" ht="14.25" customHeight="1">
      <c r="A473" s="3" t="s">
        <v>1874</v>
      </c>
      <c r="B473" s="3" t="s">
        <v>1875</v>
      </c>
      <c r="C473" s="3" t="s">
        <v>1876</v>
      </c>
      <c r="D473" s="4">
        <v>6.263531286194E12</v>
      </c>
      <c r="E473" s="3" t="s">
        <v>1877</v>
      </c>
      <c r="F473" s="3">
        <v>40149.0</v>
      </c>
    </row>
    <row r="474" ht="14.25" customHeight="1">
      <c r="A474" s="3" t="s">
        <v>1878</v>
      </c>
      <c r="B474" s="3" t="s">
        <v>1879</v>
      </c>
      <c r="C474" s="3" t="s">
        <v>1880</v>
      </c>
      <c r="D474" s="4">
        <v>6.256104104224E12</v>
      </c>
      <c r="E474" s="3" t="s">
        <v>1881</v>
      </c>
      <c r="F474" s="3">
        <v>40174.0</v>
      </c>
    </row>
    <row r="475" ht="14.25" customHeight="1">
      <c r="A475" s="3" t="s">
        <v>1882</v>
      </c>
      <c r="B475" s="3" t="s">
        <v>1883</v>
      </c>
      <c r="C475" s="3" t="s">
        <v>1884</v>
      </c>
      <c r="D475" s="4">
        <v>6.21127514579E12</v>
      </c>
      <c r="E475" s="3" t="s">
        <v>1885</v>
      </c>
      <c r="F475" s="3">
        <v>40237.0</v>
      </c>
    </row>
    <row r="476" ht="14.25" customHeight="1">
      <c r="A476" s="3" t="s">
        <v>1886</v>
      </c>
      <c r="B476" s="3" t="s">
        <v>1887</v>
      </c>
      <c r="C476" s="3" t="s">
        <v>1888</v>
      </c>
      <c r="D476" s="4">
        <v>6.216224146172E12</v>
      </c>
      <c r="E476" s="3" t="s">
        <v>1889</v>
      </c>
      <c r="F476" s="3">
        <v>40255.0</v>
      </c>
    </row>
    <row r="477" ht="14.25" customHeight="1">
      <c r="A477" s="3" t="s">
        <v>1890</v>
      </c>
      <c r="B477" s="3" t="s">
        <v>1891</v>
      </c>
      <c r="C477" s="3" t="s">
        <v>1892</v>
      </c>
      <c r="D477" s="4">
        <v>6.203791143909E12</v>
      </c>
      <c r="E477" s="3" t="s">
        <v>1893</v>
      </c>
      <c r="F477" s="3">
        <v>40114.0</v>
      </c>
    </row>
    <row r="478" ht="14.25" customHeight="1">
      <c r="A478" s="3" t="s">
        <v>1894</v>
      </c>
      <c r="B478" s="3" t="s">
        <v>1895</v>
      </c>
      <c r="C478" s="3" t="s">
        <v>1896</v>
      </c>
      <c r="D478" s="4">
        <v>6.214250491203E12</v>
      </c>
      <c r="E478" s="3" t="s">
        <v>1897</v>
      </c>
      <c r="F478" s="3">
        <v>40228.0</v>
      </c>
    </row>
    <row r="479" ht="14.25" customHeight="1">
      <c r="A479" s="3" t="s">
        <v>1898</v>
      </c>
      <c r="B479" s="3" t="s">
        <v>1899</v>
      </c>
      <c r="C479" s="3" t="s">
        <v>1900</v>
      </c>
      <c r="D479" s="4">
        <v>6.28641567501E12</v>
      </c>
      <c r="E479" s="3" t="s">
        <v>1901</v>
      </c>
      <c r="F479" s="3">
        <v>40198.0</v>
      </c>
    </row>
    <row r="480" ht="14.25" customHeight="1">
      <c r="A480" s="3" t="s">
        <v>1902</v>
      </c>
      <c r="B480" s="3" t="s">
        <v>1903</v>
      </c>
      <c r="C480" s="3" t="s">
        <v>1904</v>
      </c>
      <c r="D480" s="4">
        <v>6.282592881665E12</v>
      </c>
      <c r="E480" s="3" t="s">
        <v>1905</v>
      </c>
      <c r="F480" s="3">
        <v>40160.0</v>
      </c>
    </row>
    <row r="481" ht="14.25" customHeight="1">
      <c r="A481" s="3" t="s">
        <v>1906</v>
      </c>
      <c r="B481" s="3" t="s">
        <v>1907</v>
      </c>
      <c r="C481" s="3" t="s">
        <v>1908</v>
      </c>
      <c r="D481" s="4">
        <v>6.286965720568E12</v>
      </c>
      <c r="E481" s="3" t="s">
        <v>1909</v>
      </c>
      <c r="F481" s="3">
        <v>40140.0</v>
      </c>
    </row>
    <row r="482" ht="14.25" customHeight="1">
      <c r="A482" s="3" t="s">
        <v>1910</v>
      </c>
      <c r="B482" s="3" t="s">
        <v>1911</v>
      </c>
      <c r="C482" s="3" t="s">
        <v>1912</v>
      </c>
      <c r="D482" s="4">
        <v>6.266771016382E12</v>
      </c>
      <c r="E482" s="3" t="s">
        <v>1913</v>
      </c>
      <c r="F482" s="3">
        <v>40197.0</v>
      </c>
    </row>
    <row r="483" ht="14.25" customHeight="1">
      <c r="A483" s="3" t="s">
        <v>1914</v>
      </c>
      <c r="B483" s="3" t="s">
        <v>1915</v>
      </c>
      <c r="C483" s="3" t="s">
        <v>1916</v>
      </c>
      <c r="D483" s="4">
        <v>6.238108172543E12</v>
      </c>
      <c r="E483" s="3" t="s">
        <v>1917</v>
      </c>
      <c r="F483" s="3">
        <v>40196.0</v>
      </c>
    </row>
    <row r="484" ht="14.25" customHeight="1">
      <c r="A484" s="3" t="s">
        <v>1918</v>
      </c>
      <c r="B484" s="3" t="s">
        <v>1919</v>
      </c>
      <c r="C484" s="3" t="s">
        <v>1920</v>
      </c>
      <c r="D484" s="4">
        <v>6.225074376098E12</v>
      </c>
      <c r="E484" s="3" t="s">
        <v>1921</v>
      </c>
      <c r="F484" s="3">
        <v>40234.0</v>
      </c>
    </row>
    <row r="485" ht="14.25" customHeight="1">
      <c r="A485" s="3" t="s">
        <v>1922</v>
      </c>
      <c r="B485" s="3" t="s">
        <v>1923</v>
      </c>
      <c r="C485" s="3" t="s">
        <v>1924</v>
      </c>
      <c r="D485" s="4">
        <v>6.202112724845E12</v>
      </c>
      <c r="E485" s="3" t="s">
        <v>1925</v>
      </c>
      <c r="F485" s="3">
        <v>40184.0</v>
      </c>
    </row>
    <row r="486" ht="14.25" customHeight="1">
      <c r="A486" s="3" t="s">
        <v>1926</v>
      </c>
      <c r="B486" s="3" t="s">
        <v>1733</v>
      </c>
      <c r="C486" s="3" t="s">
        <v>1927</v>
      </c>
      <c r="D486" s="4">
        <v>6.251652691884E12</v>
      </c>
      <c r="E486" s="3" t="s">
        <v>1928</v>
      </c>
      <c r="F486" s="3">
        <v>40253.0</v>
      </c>
    </row>
    <row r="487" ht="14.25" customHeight="1">
      <c r="A487" s="3" t="s">
        <v>1929</v>
      </c>
      <c r="B487" s="3" t="s">
        <v>1930</v>
      </c>
      <c r="C487" s="3" t="s">
        <v>1931</v>
      </c>
      <c r="D487" s="4">
        <v>6.289830147085E12</v>
      </c>
      <c r="E487" s="3" t="s">
        <v>1932</v>
      </c>
      <c r="F487" s="3">
        <v>40145.0</v>
      </c>
    </row>
    <row r="488" ht="14.25" customHeight="1">
      <c r="A488" s="3" t="s">
        <v>1933</v>
      </c>
      <c r="B488" s="3" t="s">
        <v>1934</v>
      </c>
      <c r="C488" s="3" t="s">
        <v>1935</v>
      </c>
      <c r="D488" s="4">
        <v>6.244719978289E12</v>
      </c>
      <c r="E488" s="3" t="s">
        <v>1936</v>
      </c>
      <c r="F488" s="3">
        <v>40236.0</v>
      </c>
    </row>
    <row r="489" ht="14.25" customHeight="1">
      <c r="A489" s="3" t="s">
        <v>1937</v>
      </c>
      <c r="B489" s="3" t="s">
        <v>1938</v>
      </c>
      <c r="C489" s="3" t="s">
        <v>1939</v>
      </c>
      <c r="D489" s="4">
        <v>6.200436296454E12</v>
      </c>
      <c r="E489" s="3" t="s">
        <v>1940</v>
      </c>
      <c r="F489" s="3">
        <v>40162.0</v>
      </c>
    </row>
    <row r="490" ht="14.25" customHeight="1">
      <c r="A490" s="3" t="s">
        <v>1941</v>
      </c>
      <c r="B490" s="3" t="s">
        <v>1942</v>
      </c>
      <c r="C490" s="3" t="s">
        <v>1943</v>
      </c>
      <c r="D490" s="4">
        <v>6.261961212015E12</v>
      </c>
      <c r="E490" s="3" t="s">
        <v>1944</v>
      </c>
      <c r="F490" s="3">
        <v>40226.0</v>
      </c>
    </row>
    <row r="491" ht="14.25" customHeight="1">
      <c r="A491" s="3" t="s">
        <v>1945</v>
      </c>
      <c r="B491" s="3" t="s">
        <v>1946</v>
      </c>
      <c r="C491" s="3" t="s">
        <v>1947</v>
      </c>
      <c r="D491" s="4">
        <v>6.219192807897E12</v>
      </c>
      <c r="E491" s="3" t="s">
        <v>1948</v>
      </c>
      <c r="F491" s="3">
        <v>40188.0</v>
      </c>
    </row>
    <row r="492" ht="14.25" customHeight="1">
      <c r="A492" s="3" t="s">
        <v>1949</v>
      </c>
      <c r="B492" s="3" t="s">
        <v>1950</v>
      </c>
      <c r="C492" s="3" t="s">
        <v>1951</v>
      </c>
      <c r="D492" s="4">
        <v>6.251357264244E12</v>
      </c>
      <c r="E492" s="3" t="s">
        <v>1952</v>
      </c>
      <c r="F492" s="3">
        <v>40171.0</v>
      </c>
    </row>
    <row r="493" ht="14.25" customHeight="1">
      <c r="A493" s="3" t="s">
        <v>1953</v>
      </c>
      <c r="B493" s="3" t="s">
        <v>1954</v>
      </c>
      <c r="C493" s="3" t="s">
        <v>1955</v>
      </c>
      <c r="D493" s="4">
        <v>6.200603581206E12</v>
      </c>
      <c r="E493" s="3" t="s">
        <v>1956</v>
      </c>
      <c r="F493" s="3">
        <v>40176.0</v>
      </c>
    </row>
    <row r="494" ht="14.25" customHeight="1">
      <c r="A494" s="3" t="s">
        <v>1957</v>
      </c>
      <c r="B494" s="3" t="s">
        <v>1958</v>
      </c>
      <c r="C494" s="3" t="s">
        <v>1959</v>
      </c>
      <c r="D494" s="4">
        <v>6.257941138694E12</v>
      </c>
      <c r="E494" s="3" t="s">
        <v>1960</v>
      </c>
      <c r="F494" s="3">
        <v>40200.0</v>
      </c>
    </row>
    <row r="495" ht="14.25" customHeight="1">
      <c r="A495" s="3" t="s">
        <v>1961</v>
      </c>
      <c r="B495" s="3" t="s">
        <v>1962</v>
      </c>
      <c r="C495" s="3" t="s">
        <v>1963</v>
      </c>
      <c r="D495" s="4">
        <v>6.239587923821E12</v>
      </c>
      <c r="E495" s="3" t="s">
        <v>1964</v>
      </c>
      <c r="F495" s="3">
        <v>40221.0</v>
      </c>
    </row>
    <row r="496" ht="14.25" customHeight="1">
      <c r="A496" s="3" t="s">
        <v>1965</v>
      </c>
      <c r="B496" s="3" t="s">
        <v>1966</v>
      </c>
      <c r="C496" s="3" t="s">
        <v>1967</v>
      </c>
      <c r="D496" s="4">
        <v>6.212474895705E12</v>
      </c>
      <c r="E496" s="3" t="s">
        <v>1968</v>
      </c>
      <c r="F496" s="3">
        <v>40149.0</v>
      </c>
    </row>
    <row r="497" ht="14.25" customHeight="1">
      <c r="A497" s="3" t="s">
        <v>1969</v>
      </c>
      <c r="B497" s="3" t="s">
        <v>1970</v>
      </c>
      <c r="C497" s="3" t="s">
        <v>1971</v>
      </c>
      <c r="D497" s="4">
        <v>6.234965768743E12</v>
      </c>
      <c r="E497" s="3" t="s">
        <v>1972</v>
      </c>
      <c r="F497" s="3">
        <v>40160.0</v>
      </c>
    </row>
    <row r="498" ht="14.25" customHeight="1">
      <c r="A498" s="3" t="s">
        <v>1973</v>
      </c>
      <c r="B498" s="3" t="s">
        <v>1974</v>
      </c>
      <c r="C498" s="3" t="s">
        <v>1975</v>
      </c>
      <c r="D498" s="4">
        <v>6.271010758295E12</v>
      </c>
      <c r="E498" s="3" t="s">
        <v>1976</v>
      </c>
      <c r="F498" s="3">
        <v>40176.0</v>
      </c>
    </row>
    <row r="499" ht="14.25" customHeight="1">
      <c r="A499" s="3" t="s">
        <v>1977</v>
      </c>
      <c r="B499" s="3" t="s">
        <v>1978</v>
      </c>
      <c r="C499" s="3" t="s">
        <v>1979</v>
      </c>
      <c r="D499" s="4">
        <v>6.267827090081E12</v>
      </c>
      <c r="E499" s="3" t="s">
        <v>1980</v>
      </c>
      <c r="F499" s="3">
        <v>40213.0</v>
      </c>
    </row>
    <row r="500" ht="14.25" customHeight="1">
      <c r="A500" s="3" t="s">
        <v>1981</v>
      </c>
      <c r="B500" s="3" t="s">
        <v>1982</v>
      </c>
      <c r="C500" s="3" t="s">
        <v>1983</v>
      </c>
      <c r="D500" s="4">
        <v>6.219320507993E12</v>
      </c>
      <c r="E500" s="3" t="s">
        <v>1984</v>
      </c>
      <c r="F500" s="3">
        <v>40210.0</v>
      </c>
    </row>
    <row r="501" ht="14.25" customHeight="1">
      <c r="A501" s="3" t="s">
        <v>1985</v>
      </c>
      <c r="B501" s="3" t="s">
        <v>1986</v>
      </c>
      <c r="C501" s="3" t="s">
        <v>1987</v>
      </c>
      <c r="D501" s="4">
        <v>6.246547641983E12</v>
      </c>
      <c r="E501" s="3" t="s">
        <v>1988</v>
      </c>
      <c r="F501" s="3">
        <v>40115.0</v>
      </c>
    </row>
    <row r="502" ht="14.25" customHeight="1">
      <c r="A502" s="3" t="s">
        <v>1989</v>
      </c>
      <c r="B502" s="3" t="s">
        <v>1990</v>
      </c>
      <c r="C502" s="3" t="s">
        <v>1991</v>
      </c>
      <c r="D502" s="4">
        <v>6.203142439786E12</v>
      </c>
      <c r="E502" s="3" t="s">
        <v>1992</v>
      </c>
      <c r="F502" s="3">
        <v>40201.0</v>
      </c>
    </row>
    <row r="503" ht="14.25" customHeight="1">
      <c r="A503" s="3" t="s">
        <v>1993</v>
      </c>
      <c r="B503" s="3" t="s">
        <v>1994</v>
      </c>
      <c r="C503" s="3" t="s">
        <v>1995</v>
      </c>
      <c r="D503" s="4">
        <v>6.218016466359E12</v>
      </c>
      <c r="E503" s="3" t="s">
        <v>1996</v>
      </c>
      <c r="F503" s="3">
        <v>40229.0</v>
      </c>
    </row>
    <row r="504" ht="14.25" customHeight="1">
      <c r="A504" s="3" t="s">
        <v>1997</v>
      </c>
      <c r="B504" s="3" t="s">
        <v>1998</v>
      </c>
      <c r="C504" s="3" t="s">
        <v>1999</v>
      </c>
      <c r="D504" s="4">
        <v>6.25313983033E12</v>
      </c>
      <c r="E504" s="3" t="s">
        <v>2000</v>
      </c>
      <c r="F504" s="3">
        <v>40213.0</v>
      </c>
    </row>
    <row r="505" ht="14.25" customHeight="1">
      <c r="A505" s="3" t="s">
        <v>2001</v>
      </c>
      <c r="B505" s="3" t="s">
        <v>2002</v>
      </c>
      <c r="C505" s="3" t="s">
        <v>2003</v>
      </c>
      <c r="D505" s="4">
        <v>6.219063614518E12</v>
      </c>
      <c r="E505" s="3" t="s">
        <v>2004</v>
      </c>
      <c r="F505" s="3">
        <v>40143.0</v>
      </c>
    </row>
    <row r="506" ht="14.25" customHeight="1">
      <c r="A506" s="3" t="s">
        <v>2005</v>
      </c>
      <c r="B506" s="3" t="s">
        <v>2006</v>
      </c>
      <c r="C506" s="3" t="s">
        <v>2007</v>
      </c>
      <c r="D506" s="4">
        <v>6.238929644297E12</v>
      </c>
      <c r="E506" s="3" t="s">
        <v>2008</v>
      </c>
      <c r="F506" s="3">
        <v>40118.0</v>
      </c>
    </row>
    <row r="507" ht="14.25" customHeight="1">
      <c r="A507" s="3" t="s">
        <v>2009</v>
      </c>
      <c r="B507" s="3" t="s">
        <v>2010</v>
      </c>
      <c r="C507" s="3" t="s">
        <v>2011</v>
      </c>
      <c r="D507" s="4">
        <v>6.278722529726E12</v>
      </c>
      <c r="E507" s="3" t="s">
        <v>2012</v>
      </c>
      <c r="F507" s="3">
        <v>40243.0</v>
      </c>
    </row>
    <row r="508" ht="14.25" customHeight="1">
      <c r="A508" s="3" t="s">
        <v>2013</v>
      </c>
      <c r="B508" s="3" t="s">
        <v>2014</v>
      </c>
      <c r="C508" s="3" t="s">
        <v>2015</v>
      </c>
      <c r="D508" s="4">
        <v>6.244731691492E12</v>
      </c>
      <c r="E508" s="3" t="s">
        <v>2016</v>
      </c>
      <c r="F508" s="3">
        <v>40158.0</v>
      </c>
    </row>
    <row r="509" ht="14.25" customHeight="1">
      <c r="A509" s="3" t="s">
        <v>2017</v>
      </c>
      <c r="B509" s="3" t="s">
        <v>2018</v>
      </c>
      <c r="C509" s="3" t="s">
        <v>2019</v>
      </c>
      <c r="D509" s="4">
        <v>6.291436384616E12</v>
      </c>
      <c r="E509" s="3" t="s">
        <v>2020</v>
      </c>
      <c r="F509" s="3">
        <v>40192.0</v>
      </c>
    </row>
    <row r="510" ht="14.25" customHeight="1">
      <c r="A510" s="3" t="s">
        <v>2021</v>
      </c>
      <c r="B510" s="3" t="s">
        <v>2022</v>
      </c>
      <c r="C510" s="3" t="s">
        <v>2023</v>
      </c>
      <c r="D510" s="4">
        <v>6.219517820591E12</v>
      </c>
      <c r="E510" s="3" t="s">
        <v>2024</v>
      </c>
      <c r="F510" s="3">
        <v>40147.0</v>
      </c>
    </row>
    <row r="511" ht="14.25" customHeight="1">
      <c r="A511" s="3" t="s">
        <v>2025</v>
      </c>
      <c r="B511" s="3" t="s">
        <v>2026</v>
      </c>
      <c r="C511" s="3" t="s">
        <v>2027</v>
      </c>
      <c r="D511" s="4">
        <v>6.208963483072E12</v>
      </c>
      <c r="E511" s="3" t="s">
        <v>2028</v>
      </c>
      <c r="F511" s="3">
        <v>40217.0</v>
      </c>
    </row>
    <row r="512" ht="14.25" customHeight="1">
      <c r="A512" s="3" t="s">
        <v>2029</v>
      </c>
      <c r="B512" s="3" t="s">
        <v>2030</v>
      </c>
      <c r="C512" s="3" t="s">
        <v>2031</v>
      </c>
      <c r="D512" s="4">
        <v>6.257828361024E12</v>
      </c>
      <c r="E512" s="3" t="s">
        <v>2032</v>
      </c>
      <c r="F512" s="3">
        <v>40187.0</v>
      </c>
    </row>
    <row r="513" ht="14.25" customHeight="1">
      <c r="A513" s="3" t="s">
        <v>2033</v>
      </c>
      <c r="B513" s="3" t="s">
        <v>2034</v>
      </c>
      <c r="C513" s="3" t="s">
        <v>2035</v>
      </c>
      <c r="D513" s="4">
        <v>6.279676813601E12</v>
      </c>
      <c r="E513" s="3" t="s">
        <v>2036</v>
      </c>
      <c r="F513" s="3">
        <v>40137.0</v>
      </c>
    </row>
    <row r="514" ht="14.25" customHeight="1">
      <c r="A514" s="3" t="s">
        <v>2037</v>
      </c>
      <c r="B514" s="3" t="s">
        <v>2038</v>
      </c>
      <c r="C514" s="3" t="s">
        <v>2039</v>
      </c>
      <c r="D514" s="4">
        <v>6.275252739901E12</v>
      </c>
      <c r="E514" s="3" t="s">
        <v>2040</v>
      </c>
      <c r="F514" s="3">
        <v>40147.0</v>
      </c>
    </row>
    <row r="515" ht="14.25" customHeight="1">
      <c r="A515" s="3" t="s">
        <v>2041</v>
      </c>
      <c r="B515" s="3" t="s">
        <v>2042</v>
      </c>
      <c r="C515" s="3" t="s">
        <v>2043</v>
      </c>
      <c r="D515" s="4">
        <v>6.275459467231E12</v>
      </c>
      <c r="E515" s="3" t="s">
        <v>2044</v>
      </c>
      <c r="F515" s="3">
        <v>40128.0</v>
      </c>
    </row>
    <row r="516" ht="14.25" customHeight="1">
      <c r="A516" s="3" t="s">
        <v>2045</v>
      </c>
      <c r="B516" s="3" t="s">
        <v>2046</v>
      </c>
      <c r="C516" s="3" t="s">
        <v>2047</v>
      </c>
      <c r="D516" s="4">
        <v>6.257239497649E12</v>
      </c>
      <c r="E516" s="3" t="s">
        <v>2048</v>
      </c>
      <c r="F516" s="3">
        <v>40247.0</v>
      </c>
    </row>
    <row r="517" ht="14.25" customHeight="1">
      <c r="A517" s="3" t="s">
        <v>2049</v>
      </c>
      <c r="B517" s="3" t="s">
        <v>2050</v>
      </c>
      <c r="C517" s="3" t="s">
        <v>2051</v>
      </c>
      <c r="D517" s="4">
        <v>6.2191134719E12</v>
      </c>
      <c r="E517" s="3" t="s">
        <v>2052</v>
      </c>
      <c r="F517" s="3">
        <v>40221.0</v>
      </c>
    </row>
    <row r="518" ht="14.25" customHeight="1">
      <c r="A518" s="3" t="s">
        <v>2053</v>
      </c>
      <c r="B518" s="3" t="s">
        <v>2054</v>
      </c>
      <c r="C518" s="3" t="s">
        <v>2055</v>
      </c>
      <c r="D518" s="4">
        <v>6.201785474303E12</v>
      </c>
      <c r="E518" s="3" t="s">
        <v>2056</v>
      </c>
      <c r="F518" s="3">
        <v>40153.0</v>
      </c>
    </row>
    <row r="519" ht="14.25" customHeight="1">
      <c r="A519" s="3" t="s">
        <v>2057</v>
      </c>
      <c r="B519" s="3" t="s">
        <v>1466</v>
      </c>
      <c r="C519" s="3" t="s">
        <v>2058</v>
      </c>
      <c r="D519" s="4">
        <v>6.277413696137E12</v>
      </c>
      <c r="E519" s="3" t="s">
        <v>2059</v>
      </c>
      <c r="F519" s="3">
        <v>40131.0</v>
      </c>
    </row>
    <row r="520" ht="14.25" customHeight="1">
      <c r="A520" s="3" t="s">
        <v>2060</v>
      </c>
      <c r="B520" s="3" t="s">
        <v>2061</v>
      </c>
      <c r="C520" s="3" t="s">
        <v>2062</v>
      </c>
      <c r="D520" s="4">
        <v>6.233804570173E12</v>
      </c>
      <c r="E520" s="3" t="s">
        <v>2063</v>
      </c>
      <c r="F520" s="3">
        <v>40256.0</v>
      </c>
    </row>
    <row r="521" ht="14.25" customHeight="1">
      <c r="A521" s="3" t="s">
        <v>2064</v>
      </c>
      <c r="B521" s="3" t="s">
        <v>2065</v>
      </c>
      <c r="C521" s="3" t="s">
        <v>2066</v>
      </c>
      <c r="D521" s="4">
        <v>6.272908497456E12</v>
      </c>
      <c r="E521" s="3" t="s">
        <v>2067</v>
      </c>
      <c r="F521" s="3">
        <v>40180.0</v>
      </c>
    </row>
    <row r="522" ht="14.25" customHeight="1">
      <c r="A522" s="3" t="s">
        <v>2068</v>
      </c>
      <c r="B522" s="3" t="s">
        <v>2069</v>
      </c>
      <c r="C522" s="3" t="s">
        <v>2070</v>
      </c>
      <c r="D522" s="4">
        <v>6.278000762711E12</v>
      </c>
      <c r="E522" s="3" t="s">
        <v>2071</v>
      </c>
      <c r="F522" s="3">
        <v>40186.0</v>
      </c>
    </row>
    <row r="523" ht="14.25" customHeight="1">
      <c r="A523" s="3" t="s">
        <v>2072</v>
      </c>
      <c r="B523" s="3" t="s">
        <v>2073</v>
      </c>
      <c r="C523" s="3" t="s">
        <v>2074</v>
      </c>
      <c r="D523" s="4">
        <v>6.2136586524E12</v>
      </c>
      <c r="E523" s="3" t="s">
        <v>2075</v>
      </c>
      <c r="F523" s="3">
        <v>40111.0</v>
      </c>
    </row>
    <row r="524" ht="14.25" customHeight="1">
      <c r="A524" s="3" t="s">
        <v>2076</v>
      </c>
      <c r="B524" s="3" t="s">
        <v>2077</v>
      </c>
      <c r="C524" s="3" t="s">
        <v>2078</v>
      </c>
      <c r="D524" s="4">
        <v>6.270893995025E12</v>
      </c>
      <c r="E524" s="3" t="s">
        <v>2079</v>
      </c>
      <c r="F524" s="3">
        <v>40183.0</v>
      </c>
    </row>
    <row r="525" ht="14.25" customHeight="1">
      <c r="A525" s="3" t="s">
        <v>2080</v>
      </c>
      <c r="B525" s="3" t="s">
        <v>2081</v>
      </c>
      <c r="C525" s="3" t="s">
        <v>2082</v>
      </c>
      <c r="D525" s="4">
        <v>6.202467270301E12</v>
      </c>
      <c r="E525" s="3" t="s">
        <v>2083</v>
      </c>
      <c r="F525" s="3">
        <v>40234.0</v>
      </c>
    </row>
    <row r="526" ht="14.25" customHeight="1">
      <c r="A526" s="3" t="s">
        <v>2084</v>
      </c>
      <c r="B526" s="3" t="s">
        <v>2085</v>
      </c>
      <c r="C526" s="3" t="s">
        <v>2086</v>
      </c>
      <c r="D526" s="4">
        <v>6.291189321249E12</v>
      </c>
      <c r="E526" s="3" t="s">
        <v>2087</v>
      </c>
      <c r="F526" s="3">
        <v>40181.0</v>
      </c>
    </row>
    <row r="527" ht="14.25" customHeight="1">
      <c r="A527" s="3" t="s">
        <v>2088</v>
      </c>
      <c r="B527" s="3" t="s">
        <v>2089</v>
      </c>
      <c r="C527" s="3" t="s">
        <v>2090</v>
      </c>
      <c r="D527" s="4">
        <v>6.213743225376E12</v>
      </c>
      <c r="E527" s="3" t="s">
        <v>2091</v>
      </c>
      <c r="F527" s="3">
        <v>40210.0</v>
      </c>
    </row>
    <row r="528" ht="14.25" customHeight="1">
      <c r="A528" s="3" t="s">
        <v>2092</v>
      </c>
      <c r="B528" s="3" t="s">
        <v>2093</v>
      </c>
      <c r="C528" s="3" t="s">
        <v>2094</v>
      </c>
      <c r="D528" s="4">
        <v>6.219562131438E12</v>
      </c>
      <c r="E528" s="3" t="s">
        <v>2095</v>
      </c>
      <c r="F528" s="3">
        <v>40129.0</v>
      </c>
    </row>
    <row r="529" ht="14.25" customHeight="1">
      <c r="A529" s="3" t="s">
        <v>2096</v>
      </c>
      <c r="B529" s="3" t="s">
        <v>2097</v>
      </c>
      <c r="C529" s="3" t="s">
        <v>2098</v>
      </c>
      <c r="D529" s="4">
        <v>6.239026008883E12</v>
      </c>
      <c r="E529" s="3" t="s">
        <v>2099</v>
      </c>
      <c r="F529" s="3">
        <v>40185.0</v>
      </c>
    </row>
    <row r="530" ht="14.25" customHeight="1">
      <c r="A530" s="3" t="s">
        <v>2100</v>
      </c>
      <c r="B530" s="3" t="s">
        <v>2101</v>
      </c>
      <c r="C530" s="3" t="s">
        <v>2102</v>
      </c>
      <c r="D530" s="4">
        <v>6.280723786697E12</v>
      </c>
      <c r="E530" s="3" t="s">
        <v>2103</v>
      </c>
      <c r="F530" s="3">
        <v>40198.0</v>
      </c>
    </row>
    <row r="531" ht="14.25" customHeight="1">
      <c r="A531" s="3" t="s">
        <v>2104</v>
      </c>
      <c r="B531" s="3" t="s">
        <v>2105</v>
      </c>
      <c r="C531" s="3" t="s">
        <v>2106</v>
      </c>
      <c r="D531" s="4">
        <v>6.286386244918E12</v>
      </c>
      <c r="E531" s="3" t="s">
        <v>2107</v>
      </c>
      <c r="F531" s="3">
        <v>40130.0</v>
      </c>
    </row>
    <row r="532" ht="14.25" customHeight="1">
      <c r="A532" s="3" t="s">
        <v>2108</v>
      </c>
      <c r="B532" s="3" t="s">
        <v>2109</v>
      </c>
      <c r="C532" s="3" t="s">
        <v>2110</v>
      </c>
      <c r="D532" s="4">
        <v>6.233775552912E12</v>
      </c>
      <c r="E532" s="3" t="s">
        <v>2111</v>
      </c>
      <c r="F532" s="3">
        <v>40206.0</v>
      </c>
    </row>
    <row r="533" ht="14.25" customHeight="1">
      <c r="A533" s="3" t="s">
        <v>2112</v>
      </c>
      <c r="B533" s="3" t="s">
        <v>2113</v>
      </c>
      <c r="C533" s="3" t="s">
        <v>2114</v>
      </c>
      <c r="D533" s="4">
        <v>6.294464478641E12</v>
      </c>
      <c r="E533" s="3" t="s">
        <v>2115</v>
      </c>
      <c r="F533" s="3">
        <v>40223.0</v>
      </c>
    </row>
    <row r="534" ht="14.25" customHeight="1">
      <c r="A534" s="3" t="s">
        <v>2116</v>
      </c>
      <c r="B534" s="3" t="s">
        <v>2117</v>
      </c>
      <c r="C534" s="3" t="s">
        <v>2118</v>
      </c>
      <c r="D534" s="4">
        <v>6.285783080347E12</v>
      </c>
      <c r="E534" s="3" t="s">
        <v>2119</v>
      </c>
      <c r="F534" s="3">
        <v>40169.0</v>
      </c>
    </row>
    <row r="535" ht="14.25" customHeight="1">
      <c r="A535" s="3" t="s">
        <v>2120</v>
      </c>
      <c r="B535" s="3" t="s">
        <v>2121</v>
      </c>
      <c r="C535" s="3" t="s">
        <v>2122</v>
      </c>
      <c r="D535" s="4">
        <v>6.235394669913E12</v>
      </c>
      <c r="E535" s="3" t="s">
        <v>2123</v>
      </c>
      <c r="F535" s="3">
        <v>40155.0</v>
      </c>
    </row>
    <row r="536" ht="14.25" customHeight="1">
      <c r="A536" s="3" t="s">
        <v>2124</v>
      </c>
      <c r="B536" s="3" t="s">
        <v>2125</v>
      </c>
      <c r="C536" s="3" t="s">
        <v>2126</v>
      </c>
      <c r="D536" s="4">
        <v>6.242426180885E12</v>
      </c>
      <c r="E536" s="3" t="s">
        <v>2127</v>
      </c>
      <c r="F536" s="3">
        <v>40114.0</v>
      </c>
    </row>
    <row r="537" ht="14.25" customHeight="1">
      <c r="A537" s="3" t="s">
        <v>2128</v>
      </c>
      <c r="B537" s="3" t="s">
        <v>2129</v>
      </c>
      <c r="C537" s="3" t="s">
        <v>2130</v>
      </c>
      <c r="D537" s="4">
        <v>6.27521631972E12</v>
      </c>
      <c r="E537" s="3" t="s">
        <v>2131</v>
      </c>
      <c r="F537" s="3">
        <v>40178.0</v>
      </c>
    </row>
    <row r="538" ht="14.25" customHeight="1">
      <c r="A538" s="3" t="s">
        <v>2132</v>
      </c>
      <c r="B538" s="3" t="s">
        <v>2133</v>
      </c>
      <c r="C538" s="3" t="s">
        <v>2134</v>
      </c>
      <c r="D538" s="4">
        <v>6.250194704918E12</v>
      </c>
      <c r="E538" s="3" t="s">
        <v>2135</v>
      </c>
      <c r="F538" s="3">
        <v>40132.0</v>
      </c>
    </row>
    <row r="539" ht="14.25" customHeight="1">
      <c r="A539" s="3" t="s">
        <v>2136</v>
      </c>
      <c r="B539" s="3" t="s">
        <v>2137</v>
      </c>
      <c r="C539" s="3" t="s">
        <v>2138</v>
      </c>
      <c r="D539" s="4">
        <v>6.259911212351E12</v>
      </c>
      <c r="E539" s="3" t="s">
        <v>2139</v>
      </c>
      <c r="F539" s="3">
        <v>40167.0</v>
      </c>
    </row>
    <row r="540" ht="14.25" customHeight="1">
      <c r="A540" s="3" t="s">
        <v>2140</v>
      </c>
      <c r="B540" s="3" t="s">
        <v>2141</v>
      </c>
      <c r="C540" s="3" t="s">
        <v>2142</v>
      </c>
      <c r="D540" s="4">
        <v>6.217136948141E12</v>
      </c>
      <c r="E540" s="3" t="s">
        <v>2143</v>
      </c>
      <c r="F540" s="3">
        <v>40244.0</v>
      </c>
    </row>
    <row r="541" ht="14.25" customHeight="1">
      <c r="A541" s="3" t="s">
        <v>2144</v>
      </c>
      <c r="B541" s="3" t="s">
        <v>2145</v>
      </c>
      <c r="C541" s="3" t="s">
        <v>2146</v>
      </c>
      <c r="D541" s="4">
        <v>6.244904534638E12</v>
      </c>
      <c r="E541" s="3" t="s">
        <v>2147</v>
      </c>
      <c r="F541" s="3">
        <v>40200.0</v>
      </c>
    </row>
    <row r="542" ht="14.25" customHeight="1">
      <c r="A542" s="3" t="s">
        <v>2148</v>
      </c>
      <c r="B542" s="3" t="s">
        <v>2149</v>
      </c>
      <c r="C542" s="3" t="s">
        <v>2150</v>
      </c>
      <c r="D542" s="4">
        <v>6.281258470311E12</v>
      </c>
      <c r="E542" s="3" t="s">
        <v>2151</v>
      </c>
      <c r="F542" s="3">
        <v>40161.0</v>
      </c>
    </row>
    <row r="543" ht="14.25" customHeight="1">
      <c r="A543" s="3" t="s">
        <v>2152</v>
      </c>
      <c r="B543" s="3" t="s">
        <v>2153</v>
      </c>
      <c r="C543" s="3" t="s">
        <v>2154</v>
      </c>
      <c r="D543" s="4">
        <v>6.201670911722E12</v>
      </c>
      <c r="E543" s="3" t="s">
        <v>2155</v>
      </c>
      <c r="F543" s="3">
        <v>40253.0</v>
      </c>
    </row>
    <row r="544" ht="14.25" customHeight="1">
      <c r="A544" s="3" t="s">
        <v>2156</v>
      </c>
      <c r="B544" s="3" t="s">
        <v>2157</v>
      </c>
      <c r="C544" s="3" t="s">
        <v>2158</v>
      </c>
      <c r="D544" s="4">
        <v>6.281118128698E12</v>
      </c>
      <c r="E544" s="3" t="s">
        <v>2159</v>
      </c>
      <c r="F544" s="3">
        <v>40130.0</v>
      </c>
    </row>
    <row r="545" ht="14.25" customHeight="1">
      <c r="A545" s="3" t="s">
        <v>2160</v>
      </c>
      <c r="B545" s="3" t="s">
        <v>2161</v>
      </c>
      <c r="C545" s="3" t="s">
        <v>2162</v>
      </c>
      <c r="D545" s="4">
        <v>6.246794307328E12</v>
      </c>
      <c r="E545" s="3" t="s">
        <v>2163</v>
      </c>
      <c r="F545" s="3">
        <v>40137.0</v>
      </c>
    </row>
    <row r="546" ht="14.25" customHeight="1">
      <c r="A546" s="3" t="s">
        <v>2164</v>
      </c>
      <c r="B546" s="3" t="s">
        <v>2165</v>
      </c>
      <c r="C546" s="3" t="s">
        <v>2166</v>
      </c>
      <c r="D546" s="4">
        <v>6.259516857082E12</v>
      </c>
      <c r="E546" s="3" t="s">
        <v>2167</v>
      </c>
      <c r="F546" s="3">
        <v>40146.0</v>
      </c>
    </row>
    <row r="547" ht="14.25" customHeight="1">
      <c r="A547" s="3" t="s">
        <v>2168</v>
      </c>
      <c r="B547" s="3" t="s">
        <v>2169</v>
      </c>
      <c r="C547" s="3" t="s">
        <v>2170</v>
      </c>
      <c r="D547" s="4">
        <v>6.249585771237E12</v>
      </c>
      <c r="E547" s="3" t="s">
        <v>2171</v>
      </c>
      <c r="F547" s="3">
        <v>40249.0</v>
      </c>
    </row>
    <row r="548" ht="14.25" customHeight="1">
      <c r="A548" s="3" t="s">
        <v>2172</v>
      </c>
      <c r="B548" s="3" t="s">
        <v>2173</v>
      </c>
      <c r="C548" s="3" t="s">
        <v>2174</v>
      </c>
      <c r="D548" s="4">
        <v>6.28032875373E12</v>
      </c>
      <c r="E548" s="3" t="s">
        <v>2175</v>
      </c>
      <c r="F548" s="3">
        <v>40185.0</v>
      </c>
    </row>
    <row r="549" ht="14.25" customHeight="1">
      <c r="A549" s="3" t="s">
        <v>2176</v>
      </c>
      <c r="B549" s="3" t="s">
        <v>2177</v>
      </c>
      <c r="C549" s="3" t="s">
        <v>2178</v>
      </c>
      <c r="D549" s="4">
        <v>6.232805873585E12</v>
      </c>
      <c r="E549" s="3" t="s">
        <v>2179</v>
      </c>
      <c r="F549" s="3">
        <v>40256.0</v>
      </c>
    </row>
    <row r="550" ht="14.25" customHeight="1">
      <c r="A550" s="3" t="s">
        <v>2180</v>
      </c>
      <c r="B550" s="3" t="s">
        <v>2181</v>
      </c>
      <c r="C550" s="3" t="s">
        <v>2182</v>
      </c>
      <c r="D550" s="4">
        <v>6.258710394299E12</v>
      </c>
      <c r="E550" s="3" t="s">
        <v>2183</v>
      </c>
      <c r="F550" s="3">
        <v>40176.0</v>
      </c>
    </row>
    <row r="551" ht="14.25" customHeight="1">
      <c r="A551" s="3" t="s">
        <v>2184</v>
      </c>
      <c r="B551" s="3" t="s">
        <v>2185</v>
      </c>
      <c r="C551" s="3" t="s">
        <v>2186</v>
      </c>
      <c r="D551" s="4">
        <v>6.262828568207E12</v>
      </c>
      <c r="E551" s="3" t="s">
        <v>2187</v>
      </c>
      <c r="F551" s="3">
        <v>40255.0</v>
      </c>
    </row>
    <row r="552" ht="14.25" customHeight="1">
      <c r="A552" s="3" t="s">
        <v>2188</v>
      </c>
      <c r="B552" s="3" t="s">
        <v>2189</v>
      </c>
      <c r="C552" s="3" t="s">
        <v>2190</v>
      </c>
      <c r="D552" s="4">
        <v>6.209553464115E12</v>
      </c>
      <c r="E552" s="3" t="s">
        <v>2191</v>
      </c>
      <c r="F552" s="3">
        <v>40118.0</v>
      </c>
    </row>
    <row r="553" ht="14.25" customHeight="1">
      <c r="A553" s="3" t="s">
        <v>2192</v>
      </c>
      <c r="B553" s="3" t="s">
        <v>2193</v>
      </c>
      <c r="C553" s="3" t="s">
        <v>2194</v>
      </c>
      <c r="D553" s="4">
        <v>6.274111683815E12</v>
      </c>
      <c r="E553" s="3" t="s">
        <v>2195</v>
      </c>
      <c r="F553" s="3">
        <v>40120.0</v>
      </c>
    </row>
    <row r="554" ht="14.25" customHeight="1">
      <c r="A554" s="3" t="s">
        <v>2196</v>
      </c>
      <c r="B554" s="3" t="s">
        <v>2197</v>
      </c>
      <c r="C554" s="3" t="s">
        <v>2198</v>
      </c>
      <c r="D554" s="4">
        <v>6.285303158089E12</v>
      </c>
      <c r="E554" s="3" t="s">
        <v>2199</v>
      </c>
      <c r="F554" s="3">
        <v>40202.0</v>
      </c>
    </row>
    <row r="555" ht="14.25" customHeight="1">
      <c r="A555" s="3" t="s">
        <v>2200</v>
      </c>
      <c r="B555" s="3" t="s">
        <v>2201</v>
      </c>
      <c r="C555" s="3" t="s">
        <v>2202</v>
      </c>
      <c r="D555" s="4">
        <v>6.204392829035E12</v>
      </c>
      <c r="E555" s="3" t="s">
        <v>2203</v>
      </c>
      <c r="F555" s="3">
        <v>40115.0</v>
      </c>
    </row>
    <row r="556" ht="14.25" customHeight="1">
      <c r="A556" s="3" t="s">
        <v>2204</v>
      </c>
      <c r="B556" s="3" t="s">
        <v>2205</v>
      </c>
      <c r="C556" s="3" t="s">
        <v>2206</v>
      </c>
      <c r="D556" s="4">
        <v>6.250256032417E12</v>
      </c>
      <c r="E556" s="3" t="s">
        <v>2207</v>
      </c>
      <c r="F556" s="3">
        <v>40145.0</v>
      </c>
    </row>
    <row r="557" ht="14.25" customHeight="1">
      <c r="A557" s="3" t="s">
        <v>2208</v>
      </c>
      <c r="B557" s="3" t="s">
        <v>2209</v>
      </c>
      <c r="C557" s="3" t="s">
        <v>2210</v>
      </c>
      <c r="D557" s="4">
        <v>6.266795482326E12</v>
      </c>
      <c r="E557" s="3" t="s">
        <v>2211</v>
      </c>
      <c r="F557" s="3">
        <v>40174.0</v>
      </c>
    </row>
    <row r="558" ht="14.25" customHeight="1">
      <c r="A558" s="3" t="s">
        <v>2212</v>
      </c>
      <c r="B558" s="3" t="s">
        <v>2213</v>
      </c>
      <c r="C558" s="3" t="s">
        <v>2214</v>
      </c>
      <c r="D558" s="4">
        <v>6.280841528549E12</v>
      </c>
      <c r="E558" s="3" t="s">
        <v>2215</v>
      </c>
      <c r="F558" s="3">
        <v>40193.0</v>
      </c>
    </row>
    <row r="559" ht="14.25" customHeight="1">
      <c r="A559" s="3" t="s">
        <v>2216</v>
      </c>
      <c r="B559" s="3" t="s">
        <v>2217</v>
      </c>
      <c r="C559" s="3" t="s">
        <v>2218</v>
      </c>
      <c r="D559" s="4">
        <v>6.293985524924E12</v>
      </c>
      <c r="E559" s="3" t="s">
        <v>2219</v>
      </c>
      <c r="F559" s="3">
        <v>40243.0</v>
      </c>
    </row>
    <row r="560" ht="14.25" customHeight="1">
      <c r="A560" s="3" t="s">
        <v>2220</v>
      </c>
      <c r="B560" s="3" t="s">
        <v>2221</v>
      </c>
      <c r="C560" s="3" t="s">
        <v>2222</v>
      </c>
      <c r="D560" s="4">
        <v>6.282870744051E12</v>
      </c>
      <c r="E560" s="3" t="s">
        <v>2223</v>
      </c>
      <c r="F560" s="3">
        <v>40233.0</v>
      </c>
    </row>
    <row r="561" ht="14.25" customHeight="1">
      <c r="A561" s="3" t="s">
        <v>2224</v>
      </c>
      <c r="B561" s="3" t="s">
        <v>2225</v>
      </c>
      <c r="C561" s="3" t="s">
        <v>2226</v>
      </c>
      <c r="D561" s="4">
        <v>6.254276955639E12</v>
      </c>
      <c r="E561" s="3" t="s">
        <v>2227</v>
      </c>
      <c r="F561" s="3">
        <v>40188.0</v>
      </c>
    </row>
    <row r="562" ht="14.25" customHeight="1">
      <c r="A562" s="3" t="s">
        <v>2228</v>
      </c>
      <c r="B562" s="3" t="s">
        <v>2229</v>
      </c>
      <c r="C562" s="3" t="s">
        <v>2230</v>
      </c>
      <c r="D562" s="4">
        <v>6.237038785446E12</v>
      </c>
      <c r="E562" s="3" t="s">
        <v>2231</v>
      </c>
      <c r="F562" s="3">
        <v>40174.0</v>
      </c>
    </row>
    <row r="563" ht="14.25" customHeight="1">
      <c r="A563" s="3" t="s">
        <v>2232</v>
      </c>
      <c r="B563" s="3" t="s">
        <v>2233</v>
      </c>
      <c r="C563" s="3" t="s">
        <v>2234</v>
      </c>
      <c r="D563" s="4">
        <v>6.273334112695E12</v>
      </c>
      <c r="E563" s="3" t="s">
        <v>2235</v>
      </c>
      <c r="F563" s="3">
        <v>40115.0</v>
      </c>
    </row>
    <row r="564" ht="14.25" customHeight="1">
      <c r="A564" s="3" t="s">
        <v>2236</v>
      </c>
      <c r="B564" s="3" t="s">
        <v>2237</v>
      </c>
      <c r="C564" s="3" t="s">
        <v>2238</v>
      </c>
      <c r="D564" s="4">
        <v>6.282648147013E12</v>
      </c>
      <c r="E564" s="3" t="s">
        <v>2239</v>
      </c>
      <c r="F564" s="3">
        <v>40162.0</v>
      </c>
    </row>
    <row r="565" ht="14.25" customHeight="1">
      <c r="A565" s="3" t="s">
        <v>2240</v>
      </c>
      <c r="B565" s="3" t="s">
        <v>2241</v>
      </c>
      <c r="C565" s="3" t="s">
        <v>2242</v>
      </c>
      <c r="D565" s="4">
        <v>6.242755060407E12</v>
      </c>
      <c r="E565" s="3" t="s">
        <v>2243</v>
      </c>
      <c r="F565" s="3">
        <v>40218.0</v>
      </c>
    </row>
    <row r="566" ht="14.25" customHeight="1">
      <c r="A566" s="3" t="s">
        <v>2244</v>
      </c>
      <c r="B566" s="3" t="s">
        <v>2245</v>
      </c>
      <c r="C566" s="3" t="s">
        <v>2246</v>
      </c>
      <c r="D566" s="4">
        <v>6.233789342028E12</v>
      </c>
      <c r="E566" s="3" t="s">
        <v>2247</v>
      </c>
      <c r="F566" s="3">
        <v>40163.0</v>
      </c>
    </row>
    <row r="567" ht="14.25" customHeight="1">
      <c r="A567" s="3" t="s">
        <v>2248</v>
      </c>
      <c r="B567" s="3" t="s">
        <v>732</v>
      </c>
      <c r="C567" s="3" t="s">
        <v>2249</v>
      </c>
      <c r="D567" s="4">
        <v>6.264371387123E12</v>
      </c>
      <c r="E567" s="3" t="s">
        <v>2250</v>
      </c>
      <c r="F567" s="3">
        <v>40206.0</v>
      </c>
    </row>
    <row r="568" ht="14.25" customHeight="1">
      <c r="A568" s="3" t="s">
        <v>2251</v>
      </c>
      <c r="B568" s="3" t="s">
        <v>2252</v>
      </c>
      <c r="C568" s="3" t="s">
        <v>2253</v>
      </c>
      <c r="D568" s="4">
        <v>6.230289990572E12</v>
      </c>
      <c r="E568" s="3" t="s">
        <v>2254</v>
      </c>
      <c r="F568" s="3">
        <v>40194.0</v>
      </c>
    </row>
    <row r="569" ht="14.25" customHeight="1">
      <c r="A569" s="3" t="s">
        <v>2255</v>
      </c>
      <c r="B569" s="3" t="s">
        <v>2256</v>
      </c>
      <c r="C569" s="3" t="s">
        <v>2257</v>
      </c>
      <c r="D569" s="4">
        <v>6.241098893971E12</v>
      </c>
      <c r="E569" s="3" t="s">
        <v>2258</v>
      </c>
      <c r="F569" s="3">
        <v>40256.0</v>
      </c>
    </row>
    <row r="570" ht="14.25" customHeight="1">
      <c r="A570" s="3" t="s">
        <v>2259</v>
      </c>
      <c r="B570" s="3" t="s">
        <v>2260</v>
      </c>
      <c r="C570" s="3" t="s">
        <v>2261</v>
      </c>
      <c r="D570" s="4">
        <v>6.231023163563E12</v>
      </c>
      <c r="E570" s="3" t="s">
        <v>2262</v>
      </c>
      <c r="F570" s="3">
        <v>40164.0</v>
      </c>
    </row>
    <row r="571" ht="14.25" customHeight="1">
      <c r="A571" s="3" t="s">
        <v>2263</v>
      </c>
      <c r="B571" s="3" t="s">
        <v>2264</v>
      </c>
      <c r="C571" s="3" t="s">
        <v>2265</v>
      </c>
      <c r="D571" s="4">
        <v>6.206566507435E12</v>
      </c>
      <c r="E571" s="3" t="s">
        <v>2266</v>
      </c>
      <c r="F571" s="3">
        <v>40251.0</v>
      </c>
    </row>
    <row r="572" ht="14.25" customHeight="1">
      <c r="A572" s="3" t="s">
        <v>2267</v>
      </c>
      <c r="B572" s="3" t="s">
        <v>2268</v>
      </c>
      <c r="C572" s="3" t="s">
        <v>2269</v>
      </c>
      <c r="D572" s="4">
        <v>6.231256359929E12</v>
      </c>
      <c r="E572" s="3" t="s">
        <v>2270</v>
      </c>
      <c r="F572" s="3">
        <v>40155.0</v>
      </c>
    </row>
    <row r="573" ht="14.25" customHeight="1">
      <c r="A573" s="3" t="s">
        <v>2271</v>
      </c>
      <c r="B573" s="3" t="s">
        <v>2272</v>
      </c>
      <c r="C573" s="3" t="s">
        <v>2273</v>
      </c>
      <c r="D573" s="4">
        <v>6.211530113228E12</v>
      </c>
      <c r="E573" s="3" t="s">
        <v>2274</v>
      </c>
      <c r="F573" s="3">
        <v>40248.0</v>
      </c>
    </row>
    <row r="574" ht="14.25" customHeight="1">
      <c r="A574" s="3" t="s">
        <v>2275</v>
      </c>
      <c r="B574" s="3" t="s">
        <v>2276</v>
      </c>
      <c r="C574" s="3" t="s">
        <v>2277</v>
      </c>
      <c r="D574" s="4">
        <v>6.204593906438E12</v>
      </c>
      <c r="E574" s="3" t="s">
        <v>2278</v>
      </c>
      <c r="F574" s="3">
        <v>40230.0</v>
      </c>
    </row>
    <row r="575" ht="14.25" customHeight="1">
      <c r="A575" s="3" t="s">
        <v>2279</v>
      </c>
      <c r="B575" s="3" t="s">
        <v>2280</v>
      </c>
      <c r="C575" s="3" t="s">
        <v>2281</v>
      </c>
      <c r="D575" s="4">
        <v>6.205485401692E12</v>
      </c>
      <c r="E575" s="3" t="s">
        <v>2282</v>
      </c>
      <c r="F575" s="3">
        <v>40181.0</v>
      </c>
    </row>
    <row r="576" ht="14.25" customHeight="1">
      <c r="A576" s="3" t="s">
        <v>2283</v>
      </c>
      <c r="B576" s="3" t="s">
        <v>2284</v>
      </c>
      <c r="C576" s="3" t="s">
        <v>2285</v>
      </c>
      <c r="D576" s="4">
        <v>6.236452454146E12</v>
      </c>
      <c r="E576" s="3" t="s">
        <v>2286</v>
      </c>
      <c r="F576" s="3">
        <v>40211.0</v>
      </c>
    </row>
    <row r="577" ht="14.25" customHeight="1">
      <c r="A577" s="3" t="s">
        <v>2287</v>
      </c>
      <c r="B577" s="3" t="s">
        <v>1639</v>
      </c>
      <c r="C577" s="3" t="s">
        <v>2288</v>
      </c>
      <c r="D577" s="4">
        <v>6.201603334912E12</v>
      </c>
      <c r="E577" s="3" t="s">
        <v>2289</v>
      </c>
      <c r="F577" s="3">
        <v>40138.0</v>
      </c>
    </row>
    <row r="578" ht="14.25" customHeight="1">
      <c r="A578" s="3" t="s">
        <v>2290</v>
      </c>
      <c r="B578" s="3" t="s">
        <v>2291</v>
      </c>
      <c r="C578" s="3" t="s">
        <v>2292</v>
      </c>
      <c r="D578" s="4">
        <v>6.20764730169E12</v>
      </c>
      <c r="E578" s="3" t="s">
        <v>2293</v>
      </c>
      <c r="F578" s="3">
        <v>40226.0</v>
      </c>
    </row>
    <row r="579" ht="14.25" customHeight="1">
      <c r="A579" s="3" t="s">
        <v>2294</v>
      </c>
      <c r="B579" s="3" t="s">
        <v>2295</v>
      </c>
      <c r="C579" s="3" t="s">
        <v>2296</v>
      </c>
      <c r="D579" s="4">
        <v>6.291050241118E12</v>
      </c>
      <c r="E579" s="3" t="s">
        <v>2297</v>
      </c>
      <c r="F579" s="3">
        <v>40251.0</v>
      </c>
    </row>
    <row r="580" ht="14.25" customHeight="1">
      <c r="A580" s="3" t="s">
        <v>2298</v>
      </c>
      <c r="B580" s="3" t="s">
        <v>2299</v>
      </c>
      <c r="C580" s="3" t="s">
        <v>2300</v>
      </c>
      <c r="D580" s="4">
        <v>6.272974356586E12</v>
      </c>
      <c r="E580" s="3" t="s">
        <v>2301</v>
      </c>
      <c r="F580" s="3">
        <v>40189.0</v>
      </c>
    </row>
    <row r="581" ht="14.25" customHeight="1">
      <c r="A581" s="3" t="s">
        <v>2302</v>
      </c>
      <c r="B581" s="3" t="s">
        <v>2303</v>
      </c>
      <c r="C581" s="3" t="s">
        <v>2304</v>
      </c>
      <c r="D581" s="4">
        <v>6.206341390386E12</v>
      </c>
      <c r="E581" s="3" t="s">
        <v>2305</v>
      </c>
      <c r="F581" s="3">
        <v>40127.0</v>
      </c>
    </row>
    <row r="582" ht="14.25" customHeight="1">
      <c r="A582" s="3" t="s">
        <v>2306</v>
      </c>
      <c r="B582" s="3" t="s">
        <v>2307</v>
      </c>
      <c r="C582" s="3" t="s">
        <v>2308</v>
      </c>
      <c r="D582" s="4">
        <v>6.23318979164E12</v>
      </c>
      <c r="E582" s="3" t="s">
        <v>2309</v>
      </c>
      <c r="F582" s="3">
        <v>40118.0</v>
      </c>
    </row>
    <row r="583" ht="14.25" customHeight="1">
      <c r="A583" s="3" t="s">
        <v>2310</v>
      </c>
      <c r="B583" s="3" t="s">
        <v>2311</v>
      </c>
      <c r="C583" s="3" t="s">
        <v>2312</v>
      </c>
      <c r="D583" s="4">
        <v>6.251175641545E12</v>
      </c>
      <c r="E583" s="3" t="s">
        <v>2313</v>
      </c>
      <c r="F583" s="3">
        <v>40256.0</v>
      </c>
    </row>
    <row r="584" ht="14.25" customHeight="1">
      <c r="A584" s="3" t="s">
        <v>2314</v>
      </c>
      <c r="B584" s="3" t="s">
        <v>2315</v>
      </c>
      <c r="C584" s="3" t="s">
        <v>2316</v>
      </c>
      <c r="D584" s="4">
        <v>6.291509016341E12</v>
      </c>
      <c r="E584" s="3" t="s">
        <v>2317</v>
      </c>
      <c r="F584" s="3">
        <v>40243.0</v>
      </c>
    </row>
    <row r="585" ht="14.25" customHeight="1">
      <c r="A585" s="3" t="s">
        <v>2318</v>
      </c>
      <c r="B585" s="3" t="s">
        <v>2319</v>
      </c>
      <c r="C585" s="3" t="s">
        <v>2320</v>
      </c>
      <c r="D585" s="4">
        <v>6.264733533985E12</v>
      </c>
      <c r="E585" s="3" t="s">
        <v>2321</v>
      </c>
      <c r="F585" s="3">
        <v>40169.0</v>
      </c>
    </row>
    <row r="586" ht="14.25" customHeight="1">
      <c r="A586" s="3" t="s">
        <v>2322</v>
      </c>
      <c r="B586" s="3" t="s">
        <v>2323</v>
      </c>
      <c r="C586" s="3" t="s">
        <v>2324</v>
      </c>
      <c r="D586" s="4">
        <v>6.294389559013E12</v>
      </c>
      <c r="E586" s="3" t="s">
        <v>2325</v>
      </c>
      <c r="F586" s="3">
        <v>40127.0</v>
      </c>
    </row>
    <row r="587" ht="14.25" customHeight="1">
      <c r="A587" s="3" t="s">
        <v>2326</v>
      </c>
      <c r="B587" s="3" t="s">
        <v>2327</v>
      </c>
      <c r="C587" s="3" t="s">
        <v>2328</v>
      </c>
      <c r="D587" s="4">
        <v>6.223511176229E12</v>
      </c>
      <c r="E587" s="3" t="s">
        <v>2329</v>
      </c>
      <c r="F587" s="3">
        <v>40152.0</v>
      </c>
    </row>
    <row r="588" ht="14.25" customHeight="1">
      <c r="A588" s="3" t="s">
        <v>2330</v>
      </c>
      <c r="B588" s="3" t="s">
        <v>2331</v>
      </c>
      <c r="C588" s="3" t="s">
        <v>2332</v>
      </c>
      <c r="D588" s="4">
        <v>6.240065574318E12</v>
      </c>
      <c r="E588" s="3" t="s">
        <v>2333</v>
      </c>
      <c r="F588" s="3">
        <v>40195.0</v>
      </c>
    </row>
    <row r="589" ht="14.25" customHeight="1">
      <c r="A589" s="3" t="s">
        <v>2334</v>
      </c>
      <c r="B589" s="3" t="s">
        <v>2335</v>
      </c>
      <c r="C589" s="3" t="s">
        <v>2336</v>
      </c>
      <c r="D589" s="4">
        <v>6.231575298086E12</v>
      </c>
      <c r="E589" s="3" t="s">
        <v>2337</v>
      </c>
      <c r="F589" s="3">
        <v>40209.0</v>
      </c>
    </row>
    <row r="590" ht="14.25" customHeight="1">
      <c r="A590" s="3" t="s">
        <v>2338</v>
      </c>
      <c r="B590" s="3" t="s">
        <v>2339</v>
      </c>
      <c r="C590" s="3" t="s">
        <v>2340</v>
      </c>
      <c r="D590" s="4">
        <v>6.23040049012E12</v>
      </c>
      <c r="E590" s="3" t="s">
        <v>2341</v>
      </c>
      <c r="F590" s="3">
        <v>40252.0</v>
      </c>
    </row>
    <row r="591" ht="14.25" customHeight="1">
      <c r="A591" s="3" t="s">
        <v>2342</v>
      </c>
      <c r="B591" s="3" t="s">
        <v>2343</v>
      </c>
      <c r="C591" s="3" t="s">
        <v>2344</v>
      </c>
      <c r="D591" s="4">
        <v>6.215797061512E12</v>
      </c>
      <c r="E591" s="3" t="s">
        <v>2345</v>
      </c>
      <c r="F591" s="3">
        <v>40238.0</v>
      </c>
    </row>
    <row r="592" ht="14.25" customHeight="1">
      <c r="A592" s="3" t="s">
        <v>2346</v>
      </c>
      <c r="B592" s="3" t="s">
        <v>2347</v>
      </c>
      <c r="C592" s="3" t="s">
        <v>2348</v>
      </c>
      <c r="D592" s="4">
        <v>6.220308462126E12</v>
      </c>
      <c r="E592" s="3" t="s">
        <v>2349</v>
      </c>
      <c r="F592" s="3">
        <v>40144.0</v>
      </c>
    </row>
    <row r="593" ht="14.25" customHeight="1">
      <c r="A593" s="3" t="s">
        <v>2350</v>
      </c>
      <c r="B593" s="3" t="s">
        <v>2351</v>
      </c>
      <c r="C593" s="3" t="s">
        <v>2352</v>
      </c>
      <c r="D593" s="4">
        <v>6.28218251557E12</v>
      </c>
      <c r="E593" s="3" t="s">
        <v>2353</v>
      </c>
      <c r="F593" s="3">
        <v>40233.0</v>
      </c>
    </row>
    <row r="594" ht="14.25" customHeight="1">
      <c r="A594" s="3" t="s">
        <v>2354</v>
      </c>
      <c r="B594" s="3" t="s">
        <v>2355</v>
      </c>
      <c r="C594" s="3" t="s">
        <v>2356</v>
      </c>
      <c r="D594" s="4">
        <v>6.209878481893E12</v>
      </c>
      <c r="E594" s="3" t="s">
        <v>2357</v>
      </c>
      <c r="F594" s="3">
        <v>40245.0</v>
      </c>
    </row>
    <row r="595" ht="14.25" customHeight="1">
      <c r="A595" s="3" t="s">
        <v>2358</v>
      </c>
      <c r="B595" s="3" t="s">
        <v>2359</v>
      </c>
      <c r="C595" s="3" t="s">
        <v>2360</v>
      </c>
      <c r="D595" s="4">
        <v>6.245218504318E12</v>
      </c>
      <c r="E595" s="3" t="s">
        <v>2361</v>
      </c>
      <c r="F595" s="3">
        <v>40122.0</v>
      </c>
    </row>
    <row r="596" ht="14.25" customHeight="1">
      <c r="A596" s="3" t="s">
        <v>2362</v>
      </c>
      <c r="B596" s="3" t="s">
        <v>2363</v>
      </c>
      <c r="C596" s="3" t="s">
        <v>2364</v>
      </c>
      <c r="D596" s="4">
        <v>6.23450717868E12</v>
      </c>
      <c r="E596" s="3" t="s">
        <v>2365</v>
      </c>
      <c r="F596" s="3">
        <v>40198.0</v>
      </c>
    </row>
    <row r="597" ht="14.25" customHeight="1">
      <c r="A597" s="3" t="s">
        <v>2366</v>
      </c>
      <c r="B597" s="3" t="s">
        <v>2213</v>
      </c>
      <c r="C597" s="3" t="s">
        <v>2367</v>
      </c>
      <c r="D597" s="4">
        <v>6.281171720164E12</v>
      </c>
      <c r="E597" s="3" t="s">
        <v>2368</v>
      </c>
      <c r="F597" s="3">
        <v>40185.0</v>
      </c>
    </row>
    <row r="598" ht="14.25" customHeight="1">
      <c r="A598" s="3" t="s">
        <v>2369</v>
      </c>
      <c r="B598" s="3" t="s">
        <v>2370</v>
      </c>
      <c r="C598" s="3" t="s">
        <v>2371</v>
      </c>
      <c r="D598" s="4">
        <v>6.236296838018E12</v>
      </c>
      <c r="E598" s="3" t="s">
        <v>2372</v>
      </c>
      <c r="F598" s="3">
        <v>40223.0</v>
      </c>
    </row>
    <row r="599" ht="14.25" customHeight="1">
      <c r="A599" s="3" t="s">
        <v>2373</v>
      </c>
      <c r="B599" s="3" t="s">
        <v>2374</v>
      </c>
      <c r="C599" s="3" t="s">
        <v>2375</v>
      </c>
      <c r="D599" s="4">
        <v>6.251208179104E12</v>
      </c>
      <c r="E599" s="3" t="s">
        <v>2376</v>
      </c>
      <c r="F599" s="3">
        <v>40254.0</v>
      </c>
    </row>
    <row r="600" ht="14.25" customHeight="1">
      <c r="A600" s="3" t="s">
        <v>2377</v>
      </c>
      <c r="B600" s="3" t="s">
        <v>2378</v>
      </c>
      <c r="C600" s="3" t="s">
        <v>2379</v>
      </c>
      <c r="D600" s="4">
        <v>6.29037284135E12</v>
      </c>
      <c r="E600" s="3" t="s">
        <v>2380</v>
      </c>
      <c r="F600" s="3">
        <v>40229.0</v>
      </c>
    </row>
    <row r="601" ht="14.25" customHeight="1">
      <c r="A601" s="3" t="s">
        <v>2381</v>
      </c>
      <c r="B601" s="3" t="s">
        <v>2382</v>
      </c>
      <c r="C601" s="3" t="s">
        <v>2383</v>
      </c>
      <c r="D601" s="4">
        <v>6.290815920161E12</v>
      </c>
      <c r="E601" s="3" t="s">
        <v>2384</v>
      </c>
      <c r="F601" s="3">
        <v>40157.0</v>
      </c>
    </row>
    <row r="602" ht="14.25" customHeight="1">
      <c r="A602" s="3" t="s">
        <v>2385</v>
      </c>
      <c r="B602" s="3" t="s">
        <v>2386</v>
      </c>
      <c r="C602" s="3" t="s">
        <v>2387</v>
      </c>
      <c r="D602" s="4">
        <v>6.246554394596E12</v>
      </c>
      <c r="E602" s="3" t="s">
        <v>2388</v>
      </c>
      <c r="F602" s="3">
        <v>40173.0</v>
      </c>
    </row>
    <row r="603" ht="14.25" customHeight="1">
      <c r="A603" s="3" t="s">
        <v>2389</v>
      </c>
      <c r="B603" s="3" t="s">
        <v>2390</v>
      </c>
      <c r="C603" s="3" t="s">
        <v>2391</v>
      </c>
      <c r="D603" s="4">
        <v>6.225212662084E12</v>
      </c>
      <c r="E603" s="3" t="s">
        <v>2392</v>
      </c>
      <c r="F603" s="3">
        <v>40127.0</v>
      </c>
    </row>
    <row r="604" ht="14.25" customHeight="1">
      <c r="A604" s="3" t="s">
        <v>2393</v>
      </c>
      <c r="B604" s="3" t="s">
        <v>2394</v>
      </c>
      <c r="C604" s="3" t="s">
        <v>2395</v>
      </c>
      <c r="D604" s="4">
        <v>6.21367292099E12</v>
      </c>
      <c r="E604" s="3" t="s">
        <v>2396</v>
      </c>
      <c r="F604" s="3">
        <v>40112.0</v>
      </c>
    </row>
    <row r="605" ht="14.25" customHeight="1">
      <c r="A605" s="3" t="s">
        <v>2397</v>
      </c>
      <c r="B605" s="3" t="s">
        <v>2398</v>
      </c>
      <c r="C605" s="3" t="s">
        <v>2399</v>
      </c>
      <c r="D605" s="4">
        <v>6.254588185607E12</v>
      </c>
      <c r="E605" s="3" t="s">
        <v>2400</v>
      </c>
      <c r="F605" s="3">
        <v>40166.0</v>
      </c>
    </row>
    <row r="606" ht="14.25" customHeight="1">
      <c r="A606" s="3" t="s">
        <v>2401</v>
      </c>
      <c r="B606" s="3" t="s">
        <v>2402</v>
      </c>
      <c r="C606" s="3" t="s">
        <v>2403</v>
      </c>
      <c r="D606" s="4">
        <v>6.213776010501E12</v>
      </c>
      <c r="E606" s="3" t="s">
        <v>2404</v>
      </c>
      <c r="F606" s="3">
        <v>40212.0</v>
      </c>
    </row>
    <row r="607" ht="14.25" customHeight="1">
      <c r="A607" s="3" t="s">
        <v>2405</v>
      </c>
      <c r="B607" s="3" t="s">
        <v>2406</v>
      </c>
      <c r="C607" s="3" t="s">
        <v>2407</v>
      </c>
      <c r="D607" s="4">
        <v>6.25519473927E12</v>
      </c>
      <c r="E607" s="3" t="s">
        <v>2408</v>
      </c>
      <c r="F607" s="3">
        <v>40204.0</v>
      </c>
    </row>
    <row r="608" ht="14.25" customHeight="1">
      <c r="A608" s="3" t="s">
        <v>2409</v>
      </c>
      <c r="B608" s="3" t="s">
        <v>2410</v>
      </c>
      <c r="C608" s="3" t="s">
        <v>2411</v>
      </c>
      <c r="D608" s="4">
        <v>6.250914890753E12</v>
      </c>
      <c r="E608" s="3" t="s">
        <v>2412</v>
      </c>
      <c r="F608" s="3">
        <v>40126.0</v>
      </c>
    </row>
    <row r="609" ht="14.25" customHeight="1">
      <c r="A609" s="3" t="s">
        <v>2413</v>
      </c>
      <c r="B609" s="3" t="s">
        <v>2414</v>
      </c>
      <c r="C609" s="3" t="s">
        <v>2415</v>
      </c>
      <c r="D609" s="4">
        <v>6.261753044855E12</v>
      </c>
      <c r="E609" s="3" t="s">
        <v>2416</v>
      </c>
      <c r="F609" s="3">
        <v>40117.0</v>
      </c>
    </row>
    <row r="610" ht="14.25" customHeight="1">
      <c r="A610" s="3" t="s">
        <v>2417</v>
      </c>
      <c r="B610" s="3" t="s">
        <v>2418</v>
      </c>
      <c r="C610" s="3" t="s">
        <v>2419</v>
      </c>
      <c r="D610" s="4">
        <v>6.231446309065E12</v>
      </c>
      <c r="E610" s="3" t="s">
        <v>2420</v>
      </c>
      <c r="F610" s="3">
        <v>40245.0</v>
      </c>
    </row>
    <row r="611" ht="14.25" customHeight="1">
      <c r="A611" s="3" t="s">
        <v>2421</v>
      </c>
      <c r="B611" s="3" t="s">
        <v>2422</v>
      </c>
      <c r="C611" s="3" t="s">
        <v>2423</v>
      </c>
      <c r="D611" s="4">
        <v>6.240774957666E12</v>
      </c>
      <c r="E611" s="3" t="s">
        <v>2424</v>
      </c>
      <c r="F611" s="3">
        <v>40190.0</v>
      </c>
    </row>
    <row r="612" ht="14.25" customHeight="1">
      <c r="A612" s="3" t="s">
        <v>2425</v>
      </c>
      <c r="B612" s="3" t="s">
        <v>2426</v>
      </c>
      <c r="C612" s="3" t="s">
        <v>2427</v>
      </c>
      <c r="D612" s="4">
        <v>6.207536763538E12</v>
      </c>
      <c r="E612" s="3" t="s">
        <v>2428</v>
      </c>
      <c r="F612" s="3">
        <v>40184.0</v>
      </c>
    </row>
    <row r="613" ht="14.25" customHeight="1">
      <c r="A613" s="3" t="s">
        <v>2429</v>
      </c>
      <c r="B613" s="3" t="s">
        <v>2430</v>
      </c>
      <c r="C613" s="3" t="s">
        <v>2431</v>
      </c>
      <c r="D613" s="4">
        <v>6.207169518324E12</v>
      </c>
      <c r="E613" s="3" t="s">
        <v>2432</v>
      </c>
      <c r="F613" s="3">
        <v>40230.0</v>
      </c>
    </row>
    <row r="614" ht="14.25" customHeight="1">
      <c r="A614" s="3" t="s">
        <v>2433</v>
      </c>
      <c r="B614" s="3" t="s">
        <v>2434</v>
      </c>
      <c r="C614" s="3" t="s">
        <v>2435</v>
      </c>
      <c r="D614" s="4">
        <v>6.206795224925E12</v>
      </c>
      <c r="E614" s="3" t="s">
        <v>2436</v>
      </c>
      <c r="F614" s="3">
        <v>40256.0</v>
      </c>
    </row>
    <row r="615" ht="14.25" customHeight="1">
      <c r="A615" s="3" t="s">
        <v>2437</v>
      </c>
      <c r="B615" s="3" t="s">
        <v>2438</v>
      </c>
      <c r="C615" s="3" t="s">
        <v>2439</v>
      </c>
      <c r="D615" s="4">
        <v>6.247431002018E12</v>
      </c>
      <c r="E615" s="3" t="s">
        <v>2440</v>
      </c>
      <c r="F615" s="3">
        <v>40187.0</v>
      </c>
    </row>
    <row r="616" ht="14.25" customHeight="1">
      <c r="A616" s="3" t="s">
        <v>2441</v>
      </c>
      <c r="B616" s="3" t="s">
        <v>2442</v>
      </c>
      <c r="C616" s="3" t="s">
        <v>2443</v>
      </c>
      <c r="D616" s="4">
        <v>6.269750897869E12</v>
      </c>
      <c r="E616" s="3" t="s">
        <v>2444</v>
      </c>
      <c r="F616" s="3">
        <v>40131.0</v>
      </c>
    </row>
    <row r="617" ht="14.25" customHeight="1">
      <c r="A617" s="3" t="s">
        <v>2445</v>
      </c>
      <c r="B617" s="3" t="s">
        <v>2446</v>
      </c>
      <c r="C617" s="3" t="s">
        <v>2447</v>
      </c>
      <c r="D617" s="4">
        <v>6.26396885922E12</v>
      </c>
      <c r="E617" s="3" t="s">
        <v>2448</v>
      </c>
      <c r="F617" s="3">
        <v>40132.0</v>
      </c>
    </row>
    <row r="618" ht="14.25" customHeight="1">
      <c r="A618" s="3" t="s">
        <v>2449</v>
      </c>
      <c r="B618" s="3" t="s">
        <v>2450</v>
      </c>
      <c r="C618" s="3" t="s">
        <v>2451</v>
      </c>
      <c r="D618" s="4">
        <v>6.249206595306E12</v>
      </c>
      <c r="E618" s="3" t="s">
        <v>2452</v>
      </c>
      <c r="F618" s="3">
        <v>40252.0</v>
      </c>
    </row>
    <row r="619" ht="14.25" customHeight="1">
      <c r="A619" s="3" t="s">
        <v>2453</v>
      </c>
      <c r="B619" s="3" t="s">
        <v>2454</v>
      </c>
      <c r="C619" s="3" t="s">
        <v>2455</v>
      </c>
      <c r="D619" s="4">
        <v>6.267526151903E12</v>
      </c>
      <c r="E619" s="3" t="s">
        <v>2456</v>
      </c>
      <c r="F619" s="3">
        <v>40155.0</v>
      </c>
    </row>
    <row r="620" ht="14.25" customHeight="1">
      <c r="A620" s="3" t="s">
        <v>2457</v>
      </c>
      <c r="B620" s="3" t="s">
        <v>2458</v>
      </c>
      <c r="C620" s="3" t="s">
        <v>2459</v>
      </c>
      <c r="D620" s="4">
        <v>6.224831616487E12</v>
      </c>
      <c r="E620" s="3" t="s">
        <v>2460</v>
      </c>
      <c r="F620" s="3">
        <v>40142.0</v>
      </c>
    </row>
    <row r="621" ht="14.25" customHeight="1">
      <c r="A621" s="3" t="s">
        <v>2461</v>
      </c>
      <c r="B621" s="3" t="s">
        <v>2462</v>
      </c>
      <c r="C621" s="3" t="s">
        <v>2463</v>
      </c>
      <c r="D621" s="4">
        <v>6.278613368486E12</v>
      </c>
      <c r="E621" s="3" t="s">
        <v>2464</v>
      </c>
      <c r="F621" s="3">
        <v>40247.0</v>
      </c>
    </row>
    <row r="622" ht="14.25" customHeight="1">
      <c r="A622" s="3" t="s">
        <v>2465</v>
      </c>
      <c r="B622" s="3" t="s">
        <v>2466</v>
      </c>
      <c r="C622" s="3" t="s">
        <v>2467</v>
      </c>
      <c r="D622" s="4">
        <v>6.222662943929E12</v>
      </c>
      <c r="E622" s="3" t="s">
        <v>2468</v>
      </c>
      <c r="F622" s="3">
        <v>40115.0</v>
      </c>
    </row>
    <row r="623" ht="14.25" customHeight="1">
      <c r="A623" s="3" t="s">
        <v>2469</v>
      </c>
      <c r="B623" s="3" t="s">
        <v>2470</v>
      </c>
      <c r="C623" s="3" t="s">
        <v>2471</v>
      </c>
      <c r="D623" s="4">
        <v>6.275887657015E12</v>
      </c>
      <c r="E623" s="3" t="s">
        <v>2472</v>
      </c>
      <c r="F623" s="3">
        <v>40244.0</v>
      </c>
    </row>
    <row r="624" ht="14.25" customHeight="1">
      <c r="A624" s="3" t="s">
        <v>2473</v>
      </c>
      <c r="B624" s="3" t="s">
        <v>2474</v>
      </c>
      <c r="C624" s="3" t="s">
        <v>2475</v>
      </c>
      <c r="D624" s="4">
        <v>6.266956394849E12</v>
      </c>
      <c r="E624" s="3" t="s">
        <v>2476</v>
      </c>
      <c r="F624" s="3">
        <v>40143.0</v>
      </c>
    </row>
    <row r="625" ht="14.25" customHeight="1">
      <c r="D625" s="5"/>
    </row>
    <row r="626" ht="14.25" customHeight="1">
      <c r="D626" s="5"/>
    </row>
    <row r="627" ht="14.25" customHeight="1">
      <c r="D627" s="5"/>
    </row>
    <row r="628" ht="14.25" customHeight="1">
      <c r="D628" s="5"/>
    </row>
    <row r="629" ht="14.25" customHeight="1">
      <c r="D629" s="5"/>
    </row>
    <row r="630" ht="14.25" customHeight="1">
      <c r="D630" s="5"/>
    </row>
    <row r="631" ht="14.25" customHeight="1">
      <c r="D631" s="5"/>
    </row>
    <row r="632" ht="14.25" customHeight="1">
      <c r="D632" s="5"/>
    </row>
    <row r="633" ht="14.25" customHeight="1">
      <c r="D633" s="5"/>
    </row>
    <row r="634" ht="14.25" customHeight="1">
      <c r="D634" s="5"/>
    </row>
    <row r="635" ht="14.25" customHeight="1">
      <c r="D635" s="5"/>
    </row>
    <row r="636" ht="14.25" customHeight="1">
      <c r="D636" s="5"/>
    </row>
    <row r="637" ht="14.25" customHeight="1">
      <c r="D637" s="5"/>
    </row>
    <row r="638" ht="14.25" customHeight="1">
      <c r="D638" s="5"/>
    </row>
    <row r="639" ht="14.25" customHeight="1">
      <c r="D639" s="5"/>
    </row>
    <row r="640" ht="14.25" customHeight="1">
      <c r="D640" s="5"/>
    </row>
    <row r="641" ht="14.25" customHeight="1">
      <c r="D641" s="5"/>
    </row>
    <row r="642" ht="14.25" customHeight="1">
      <c r="D642" s="5"/>
    </row>
    <row r="643" ht="14.25" customHeight="1">
      <c r="D643" s="5"/>
    </row>
    <row r="644" ht="14.25" customHeight="1">
      <c r="D644" s="5"/>
    </row>
    <row r="645" ht="14.25" customHeight="1">
      <c r="D645" s="5"/>
    </row>
    <row r="646" ht="14.25" customHeight="1">
      <c r="D646" s="5"/>
    </row>
    <row r="647" ht="14.25" customHeight="1">
      <c r="D647" s="5"/>
    </row>
    <row r="648" ht="14.25" customHeight="1">
      <c r="D648" s="5"/>
    </row>
    <row r="649" ht="14.25" customHeight="1">
      <c r="D649" s="5"/>
    </row>
    <row r="650" ht="14.25" customHeight="1">
      <c r="D650" s="5"/>
    </row>
    <row r="651" ht="14.25" customHeight="1">
      <c r="D651" s="5"/>
    </row>
    <row r="652" ht="14.25" customHeight="1">
      <c r="D652" s="5"/>
    </row>
    <row r="653" ht="14.25" customHeight="1">
      <c r="D653" s="5"/>
    </row>
    <row r="654" ht="14.25" customHeight="1">
      <c r="D654" s="5"/>
    </row>
    <row r="655" ht="14.25" customHeight="1">
      <c r="D655" s="5"/>
    </row>
    <row r="656" ht="14.25" customHeight="1">
      <c r="D656" s="5"/>
    </row>
    <row r="657" ht="14.25" customHeight="1">
      <c r="D657" s="5"/>
    </row>
    <row r="658" ht="14.25" customHeight="1">
      <c r="D658" s="5"/>
    </row>
    <row r="659" ht="14.25" customHeight="1">
      <c r="D659" s="5"/>
    </row>
    <row r="660" ht="14.25" customHeight="1">
      <c r="D660" s="5"/>
    </row>
    <row r="661" ht="14.25" customHeight="1">
      <c r="D661" s="5"/>
    </row>
    <row r="662" ht="14.25" customHeight="1">
      <c r="D662" s="5"/>
    </row>
    <row r="663" ht="14.25" customHeight="1">
      <c r="D663" s="5"/>
    </row>
    <row r="664" ht="14.25" customHeight="1">
      <c r="D664" s="5"/>
    </row>
    <row r="665" ht="14.25" customHeight="1">
      <c r="D665" s="5"/>
    </row>
    <row r="666" ht="14.25" customHeight="1">
      <c r="D666" s="5"/>
    </row>
    <row r="667" ht="14.25" customHeight="1">
      <c r="D667" s="5"/>
    </row>
    <row r="668" ht="14.25" customHeight="1">
      <c r="D668" s="5"/>
    </row>
    <row r="669" ht="14.25" customHeight="1">
      <c r="D669" s="5"/>
    </row>
    <row r="670" ht="14.25" customHeight="1">
      <c r="D670" s="5"/>
    </row>
    <row r="671" ht="14.25" customHeight="1">
      <c r="D671" s="5"/>
    </row>
    <row r="672" ht="14.25" customHeight="1">
      <c r="D672" s="5"/>
    </row>
    <row r="673" ht="14.25" customHeight="1">
      <c r="D673" s="5"/>
    </row>
    <row r="674" ht="14.25" customHeight="1">
      <c r="D674" s="5"/>
    </row>
    <row r="675" ht="14.25" customHeight="1">
      <c r="D675" s="5"/>
    </row>
    <row r="676" ht="14.25" customHeight="1">
      <c r="D676" s="5"/>
    </row>
    <row r="677" ht="14.25" customHeight="1">
      <c r="D677" s="5"/>
    </row>
    <row r="678" ht="14.25" customHeight="1">
      <c r="D678" s="5"/>
    </row>
    <row r="679" ht="14.25" customHeight="1">
      <c r="D679" s="5"/>
    </row>
    <row r="680" ht="14.25" customHeight="1">
      <c r="D680" s="5"/>
    </row>
    <row r="681" ht="14.25" customHeight="1">
      <c r="D681" s="5"/>
    </row>
    <row r="682" ht="14.25" customHeight="1">
      <c r="D682" s="5"/>
    </row>
    <row r="683" ht="14.25" customHeight="1">
      <c r="D683" s="5"/>
    </row>
    <row r="684" ht="14.25" customHeight="1">
      <c r="D684" s="5"/>
    </row>
    <row r="685" ht="14.25" customHeight="1">
      <c r="D685" s="5"/>
    </row>
    <row r="686" ht="14.25" customHeight="1">
      <c r="D686" s="5"/>
    </row>
    <row r="687" ht="14.25" customHeight="1">
      <c r="D687" s="5"/>
    </row>
    <row r="688" ht="14.25" customHeight="1">
      <c r="D688" s="5"/>
    </row>
    <row r="689" ht="14.25" customHeight="1">
      <c r="D689" s="5"/>
    </row>
    <row r="690" ht="14.25" customHeight="1">
      <c r="D690" s="5"/>
    </row>
    <row r="691" ht="14.25" customHeight="1">
      <c r="D691" s="5"/>
    </row>
    <row r="692" ht="14.25" customHeight="1">
      <c r="D692" s="5"/>
    </row>
    <row r="693" ht="14.25" customHeight="1">
      <c r="D693" s="5"/>
    </row>
    <row r="694" ht="14.25" customHeight="1">
      <c r="D694" s="5"/>
    </row>
    <row r="695" ht="14.25" customHeight="1">
      <c r="D695" s="5"/>
    </row>
    <row r="696" ht="14.25" customHeight="1">
      <c r="D696" s="5"/>
    </row>
    <row r="697" ht="14.25" customHeight="1">
      <c r="D697" s="5"/>
    </row>
    <row r="698" ht="14.25" customHeight="1">
      <c r="D698" s="5"/>
    </row>
    <row r="699" ht="14.25" customHeight="1">
      <c r="D699" s="5"/>
    </row>
    <row r="700" ht="14.25" customHeight="1">
      <c r="D700" s="5"/>
    </row>
    <row r="701" ht="14.25" customHeight="1">
      <c r="D701" s="5"/>
    </row>
    <row r="702" ht="14.25" customHeight="1">
      <c r="D702" s="5"/>
    </row>
    <row r="703" ht="14.25" customHeight="1">
      <c r="D703" s="5"/>
    </row>
    <row r="704" ht="14.25" customHeight="1">
      <c r="D704" s="5"/>
    </row>
    <row r="705" ht="14.25" customHeight="1">
      <c r="D705" s="5"/>
    </row>
    <row r="706" ht="14.25" customHeight="1">
      <c r="D706" s="5"/>
    </row>
    <row r="707" ht="14.25" customHeight="1">
      <c r="D707" s="5"/>
    </row>
    <row r="708" ht="14.25" customHeight="1">
      <c r="D708" s="5"/>
    </row>
    <row r="709" ht="14.25" customHeight="1">
      <c r="D709" s="5"/>
    </row>
    <row r="710" ht="14.25" customHeight="1">
      <c r="D710" s="5"/>
    </row>
    <row r="711" ht="14.25" customHeight="1">
      <c r="D711" s="5"/>
    </row>
    <row r="712" ht="14.25" customHeight="1">
      <c r="D712" s="5"/>
    </row>
    <row r="713" ht="14.25" customHeight="1">
      <c r="D713" s="5"/>
    </row>
    <row r="714" ht="14.25" customHeight="1">
      <c r="D714" s="5"/>
    </row>
    <row r="715" ht="14.25" customHeight="1">
      <c r="D715" s="5"/>
    </row>
    <row r="716" ht="14.25" customHeight="1">
      <c r="D716" s="5"/>
    </row>
    <row r="717" ht="14.25" customHeight="1">
      <c r="D717" s="5"/>
    </row>
    <row r="718" ht="14.25" customHeight="1">
      <c r="D718" s="5"/>
    </row>
    <row r="719" ht="14.25" customHeight="1">
      <c r="D719" s="5"/>
    </row>
    <row r="720" ht="14.25" customHeight="1">
      <c r="D720" s="5"/>
    </row>
    <row r="721" ht="14.25" customHeight="1">
      <c r="D721" s="5"/>
    </row>
    <row r="722" ht="14.25" customHeight="1">
      <c r="D722" s="5"/>
    </row>
    <row r="723" ht="14.25" customHeight="1">
      <c r="D723" s="5"/>
    </row>
    <row r="724" ht="14.25" customHeight="1">
      <c r="D724" s="5"/>
    </row>
    <row r="725" ht="14.25" customHeight="1">
      <c r="D725" s="5"/>
    </row>
    <row r="726" ht="14.25" customHeight="1">
      <c r="D726" s="5"/>
    </row>
    <row r="727" ht="14.25" customHeight="1">
      <c r="D727" s="5"/>
    </row>
    <row r="728" ht="14.25" customHeight="1">
      <c r="D728" s="5"/>
    </row>
    <row r="729" ht="14.25" customHeight="1">
      <c r="D729" s="5"/>
    </row>
    <row r="730" ht="14.25" customHeight="1">
      <c r="D730" s="5"/>
    </row>
    <row r="731" ht="14.25" customHeight="1">
      <c r="D731" s="5"/>
    </row>
    <row r="732" ht="14.25" customHeight="1">
      <c r="D732" s="5"/>
    </row>
    <row r="733" ht="14.25" customHeight="1">
      <c r="D733" s="5"/>
    </row>
    <row r="734" ht="14.25" customHeight="1">
      <c r="D734" s="5"/>
    </row>
    <row r="735" ht="14.25" customHeight="1">
      <c r="D735" s="5"/>
    </row>
    <row r="736" ht="14.25" customHeight="1">
      <c r="D736" s="5"/>
    </row>
    <row r="737" ht="14.25" customHeight="1">
      <c r="D737" s="5"/>
    </row>
    <row r="738" ht="14.25" customHeight="1">
      <c r="D738" s="5"/>
    </row>
    <row r="739" ht="14.25" customHeight="1">
      <c r="D739" s="5"/>
    </row>
    <row r="740" ht="14.25" customHeight="1">
      <c r="D740" s="5"/>
    </row>
    <row r="741" ht="14.25" customHeight="1">
      <c r="D741" s="5"/>
    </row>
    <row r="742" ht="14.25" customHeight="1">
      <c r="D742" s="5"/>
    </row>
    <row r="743" ht="14.25" customHeight="1">
      <c r="D743" s="5"/>
    </row>
    <row r="744" ht="14.25" customHeight="1">
      <c r="D744" s="5"/>
    </row>
    <row r="745" ht="14.25" customHeight="1">
      <c r="D745" s="5"/>
    </row>
    <row r="746" ht="14.25" customHeight="1">
      <c r="D746" s="5"/>
    </row>
    <row r="747" ht="14.25" customHeight="1">
      <c r="D747" s="5"/>
    </row>
    <row r="748" ht="14.25" customHeight="1">
      <c r="D748" s="5"/>
    </row>
    <row r="749" ht="14.25" customHeight="1">
      <c r="D749" s="5"/>
    </row>
    <row r="750" ht="14.25" customHeight="1">
      <c r="D750" s="5"/>
    </row>
    <row r="751" ht="14.25" customHeight="1">
      <c r="D751" s="5"/>
    </row>
    <row r="752" ht="14.25" customHeight="1">
      <c r="D752" s="5"/>
    </row>
    <row r="753" ht="14.25" customHeight="1">
      <c r="D753" s="5"/>
    </row>
    <row r="754" ht="14.25" customHeight="1">
      <c r="D754" s="5"/>
    </row>
    <row r="755" ht="14.25" customHeight="1">
      <c r="D755" s="5"/>
    </row>
    <row r="756" ht="14.25" customHeight="1">
      <c r="D756" s="5"/>
    </row>
    <row r="757" ht="14.25" customHeight="1">
      <c r="D757" s="5"/>
    </row>
    <row r="758" ht="14.25" customHeight="1">
      <c r="D758" s="5"/>
    </row>
    <row r="759" ht="14.25" customHeight="1">
      <c r="D759" s="5"/>
    </row>
    <row r="760" ht="14.25" customHeight="1">
      <c r="D760" s="5"/>
    </row>
    <row r="761" ht="14.25" customHeight="1">
      <c r="D761" s="5"/>
    </row>
    <row r="762" ht="14.25" customHeight="1">
      <c r="D762" s="5"/>
    </row>
    <row r="763" ht="14.25" customHeight="1">
      <c r="D763" s="5"/>
    </row>
    <row r="764" ht="14.25" customHeight="1">
      <c r="D764" s="5"/>
    </row>
    <row r="765" ht="14.25" customHeight="1">
      <c r="D765" s="5"/>
    </row>
    <row r="766" ht="14.25" customHeight="1">
      <c r="D766" s="5"/>
    </row>
    <row r="767" ht="14.25" customHeight="1">
      <c r="D767" s="5"/>
    </row>
    <row r="768" ht="14.25" customHeight="1">
      <c r="D768" s="5"/>
    </row>
    <row r="769" ht="14.25" customHeight="1">
      <c r="D769" s="5"/>
    </row>
    <row r="770" ht="14.25" customHeight="1">
      <c r="D770" s="5"/>
    </row>
    <row r="771" ht="14.25" customHeight="1">
      <c r="D771" s="5"/>
    </row>
    <row r="772" ht="14.25" customHeight="1">
      <c r="D772" s="5"/>
    </row>
    <row r="773" ht="14.25" customHeight="1">
      <c r="D773" s="5"/>
    </row>
    <row r="774" ht="14.25" customHeight="1">
      <c r="D774" s="5"/>
    </row>
    <row r="775" ht="14.25" customHeight="1">
      <c r="D775" s="5"/>
    </row>
    <row r="776" ht="14.25" customHeight="1">
      <c r="D776" s="5"/>
    </row>
    <row r="777" ht="14.25" customHeight="1">
      <c r="D777" s="5"/>
    </row>
    <row r="778" ht="14.25" customHeight="1">
      <c r="D778" s="5"/>
    </row>
    <row r="779" ht="14.25" customHeight="1">
      <c r="D779" s="5"/>
    </row>
    <row r="780" ht="14.25" customHeight="1">
      <c r="D780" s="5"/>
    </row>
    <row r="781" ht="14.25" customHeight="1">
      <c r="D781" s="5"/>
    </row>
    <row r="782" ht="14.25" customHeight="1">
      <c r="D782" s="5"/>
    </row>
    <row r="783" ht="14.25" customHeight="1">
      <c r="D783" s="5"/>
    </row>
    <row r="784" ht="14.25" customHeight="1">
      <c r="D784" s="5"/>
    </row>
    <row r="785" ht="14.25" customHeight="1">
      <c r="D785" s="5"/>
    </row>
    <row r="786" ht="14.25" customHeight="1">
      <c r="D786" s="5"/>
    </row>
    <row r="787" ht="14.25" customHeight="1">
      <c r="D787" s="5"/>
    </row>
    <row r="788" ht="14.25" customHeight="1">
      <c r="D788" s="5"/>
    </row>
    <row r="789" ht="14.25" customHeight="1">
      <c r="D789" s="5"/>
    </row>
    <row r="790" ht="14.25" customHeight="1">
      <c r="D790" s="5"/>
    </row>
    <row r="791" ht="14.25" customHeight="1">
      <c r="D791" s="5"/>
    </row>
    <row r="792" ht="14.25" customHeight="1">
      <c r="D792" s="5"/>
    </row>
    <row r="793" ht="14.25" customHeight="1">
      <c r="D793" s="5"/>
    </row>
    <row r="794" ht="14.25" customHeight="1">
      <c r="D794" s="5"/>
    </row>
    <row r="795" ht="14.25" customHeight="1">
      <c r="D795" s="5"/>
    </row>
    <row r="796" ht="14.25" customHeight="1">
      <c r="D796" s="5"/>
    </row>
    <row r="797" ht="14.25" customHeight="1">
      <c r="D797" s="5"/>
    </row>
    <row r="798" ht="14.25" customHeight="1">
      <c r="D798" s="5"/>
    </row>
    <row r="799" ht="14.25" customHeight="1">
      <c r="D799" s="5"/>
    </row>
    <row r="800" ht="14.25" customHeight="1">
      <c r="D800" s="5"/>
    </row>
    <row r="801" ht="14.25" customHeight="1">
      <c r="D801" s="5"/>
    </row>
    <row r="802" ht="14.25" customHeight="1">
      <c r="D802" s="5"/>
    </row>
    <row r="803" ht="14.25" customHeight="1">
      <c r="D803" s="5"/>
    </row>
    <row r="804" ht="14.25" customHeight="1">
      <c r="D804" s="5"/>
    </row>
    <row r="805" ht="14.25" customHeight="1">
      <c r="D805" s="5"/>
    </row>
    <row r="806" ht="14.25" customHeight="1">
      <c r="D806" s="5"/>
    </row>
    <row r="807" ht="14.25" customHeight="1">
      <c r="D807" s="5"/>
    </row>
    <row r="808" ht="14.25" customHeight="1">
      <c r="D808" s="5"/>
    </row>
    <row r="809" ht="14.25" customHeight="1">
      <c r="D809" s="5"/>
    </row>
    <row r="810" ht="14.25" customHeight="1">
      <c r="D810" s="5"/>
    </row>
    <row r="811" ht="14.25" customHeight="1">
      <c r="D811" s="5"/>
    </row>
    <row r="812" ht="14.25" customHeight="1">
      <c r="D812" s="5"/>
    </row>
    <row r="813" ht="14.25" customHeight="1">
      <c r="D813" s="5"/>
    </row>
    <row r="814" ht="14.25" customHeight="1">
      <c r="D814" s="5"/>
    </row>
    <row r="815" ht="14.25" customHeight="1">
      <c r="D815" s="5"/>
    </row>
    <row r="816" ht="14.25" customHeight="1">
      <c r="D816" s="5"/>
    </row>
    <row r="817" ht="14.25" customHeight="1">
      <c r="D817" s="5"/>
    </row>
    <row r="818" ht="14.25" customHeight="1">
      <c r="D818" s="5"/>
    </row>
    <row r="819" ht="14.25" customHeight="1">
      <c r="D819" s="5"/>
    </row>
    <row r="820" ht="14.25" customHeight="1">
      <c r="D820" s="5"/>
    </row>
    <row r="821" ht="14.25" customHeight="1">
      <c r="D821" s="5"/>
    </row>
    <row r="822" ht="14.25" customHeight="1">
      <c r="D822" s="5"/>
    </row>
    <row r="823" ht="14.25" customHeight="1">
      <c r="D823" s="5"/>
    </row>
    <row r="824" ht="14.25" customHeight="1">
      <c r="D824" s="5"/>
    </row>
    <row r="825" ht="14.25" customHeight="1">
      <c r="D825" s="5"/>
    </row>
    <row r="826" ht="14.25" customHeight="1">
      <c r="D826" s="5"/>
    </row>
    <row r="827" ht="14.25" customHeight="1">
      <c r="D827" s="5"/>
    </row>
    <row r="828" ht="14.25" customHeight="1">
      <c r="D828" s="5"/>
    </row>
    <row r="829" ht="14.25" customHeight="1">
      <c r="D829" s="5"/>
    </row>
    <row r="830" ht="14.25" customHeight="1">
      <c r="D830" s="5"/>
    </row>
    <row r="831" ht="14.25" customHeight="1">
      <c r="D831" s="5"/>
    </row>
    <row r="832" ht="14.25" customHeight="1">
      <c r="D832" s="5"/>
    </row>
    <row r="833" ht="14.25" customHeight="1">
      <c r="D833" s="5"/>
    </row>
    <row r="834" ht="14.25" customHeight="1">
      <c r="D834" s="5"/>
    </row>
    <row r="835" ht="14.25" customHeight="1">
      <c r="D835" s="5"/>
    </row>
    <row r="836" ht="14.25" customHeight="1">
      <c r="D836" s="5"/>
    </row>
    <row r="837" ht="14.25" customHeight="1">
      <c r="D837" s="5"/>
    </row>
    <row r="838" ht="14.25" customHeight="1">
      <c r="D838" s="5"/>
    </row>
    <row r="839" ht="14.25" customHeight="1">
      <c r="D839" s="5"/>
    </row>
    <row r="840" ht="14.25" customHeight="1">
      <c r="D840" s="5"/>
    </row>
    <row r="841" ht="14.25" customHeight="1">
      <c r="D841" s="5"/>
    </row>
    <row r="842" ht="14.25" customHeight="1">
      <c r="D842" s="5"/>
    </row>
    <row r="843" ht="14.25" customHeight="1">
      <c r="D843" s="5"/>
    </row>
    <row r="844" ht="14.25" customHeight="1">
      <c r="D844" s="5"/>
    </row>
    <row r="845" ht="14.25" customHeight="1">
      <c r="D845" s="5"/>
    </row>
    <row r="846" ht="14.25" customHeight="1">
      <c r="D846" s="5"/>
    </row>
    <row r="847" ht="14.25" customHeight="1">
      <c r="D847" s="5"/>
    </row>
    <row r="848" ht="14.25" customHeight="1">
      <c r="D848" s="5"/>
    </row>
    <row r="849" ht="14.25" customHeight="1">
      <c r="D849" s="5"/>
    </row>
    <row r="850" ht="14.25" customHeight="1">
      <c r="D850" s="5"/>
    </row>
    <row r="851" ht="14.25" customHeight="1">
      <c r="D851" s="5"/>
    </row>
    <row r="852" ht="14.25" customHeight="1">
      <c r="D852" s="5"/>
    </row>
    <row r="853" ht="14.25" customHeight="1">
      <c r="D853" s="5"/>
    </row>
    <row r="854" ht="14.25" customHeight="1">
      <c r="D854" s="5"/>
    </row>
    <row r="855" ht="14.25" customHeight="1">
      <c r="D855" s="5"/>
    </row>
    <row r="856" ht="14.25" customHeight="1">
      <c r="D856" s="5"/>
    </row>
    <row r="857" ht="14.25" customHeight="1">
      <c r="D857" s="5"/>
    </row>
    <row r="858" ht="14.25" customHeight="1">
      <c r="D858" s="5"/>
    </row>
    <row r="859" ht="14.25" customHeight="1">
      <c r="D859" s="5"/>
    </row>
    <row r="860" ht="14.25" customHeight="1">
      <c r="D860" s="5"/>
    </row>
    <row r="861" ht="14.25" customHeight="1">
      <c r="D861" s="5"/>
    </row>
    <row r="862" ht="14.25" customHeight="1">
      <c r="D862" s="5"/>
    </row>
    <row r="863" ht="14.25" customHeight="1">
      <c r="D863" s="5"/>
    </row>
    <row r="864" ht="14.25" customHeight="1">
      <c r="D864" s="5"/>
    </row>
    <row r="865" ht="14.25" customHeight="1">
      <c r="D865" s="5"/>
    </row>
    <row r="866" ht="14.25" customHeight="1">
      <c r="D866" s="5"/>
    </row>
    <row r="867" ht="14.25" customHeight="1">
      <c r="D867" s="5"/>
    </row>
    <row r="868" ht="14.25" customHeight="1">
      <c r="D868" s="5"/>
    </row>
    <row r="869" ht="14.25" customHeight="1">
      <c r="D869" s="5"/>
    </row>
    <row r="870" ht="14.25" customHeight="1">
      <c r="D870" s="5"/>
    </row>
    <row r="871" ht="14.25" customHeight="1">
      <c r="D871" s="5"/>
    </row>
    <row r="872" ht="14.25" customHeight="1">
      <c r="D872" s="5"/>
    </row>
    <row r="873" ht="14.25" customHeight="1">
      <c r="D873" s="5"/>
    </row>
    <row r="874" ht="14.25" customHeight="1">
      <c r="D874" s="5"/>
    </row>
    <row r="875" ht="14.25" customHeight="1">
      <c r="D875" s="5"/>
    </row>
    <row r="876" ht="14.25" customHeight="1">
      <c r="D876" s="5"/>
    </row>
    <row r="877" ht="14.25" customHeight="1">
      <c r="D877" s="5"/>
    </row>
    <row r="878" ht="14.25" customHeight="1">
      <c r="D878" s="5"/>
    </row>
    <row r="879" ht="14.25" customHeight="1">
      <c r="D879" s="5"/>
    </row>
    <row r="880" ht="14.25" customHeight="1">
      <c r="D880" s="5"/>
    </row>
    <row r="881" ht="14.25" customHeight="1">
      <c r="D881" s="5"/>
    </row>
    <row r="882" ht="14.25" customHeight="1">
      <c r="D882" s="5"/>
    </row>
    <row r="883" ht="14.25" customHeight="1">
      <c r="D883" s="5"/>
    </row>
    <row r="884" ht="14.25" customHeight="1">
      <c r="D884" s="5"/>
    </row>
    <row r="885" ht="14.25" customHeight="1">
      <c r="D885" s="5"/>
    </row>
    <row r="886" ht="14.25" customHeight="1">
      <c r="D886" s="5"/>
    </row>
    <row r="887" ht="14.25" customHeight="1">
      <c r="D887" s="5"/>
    </row>
    <row r="888" ht="14.25" customHeight="1">
      <c r="D888" s="5"/>
    </row>
    <row r="889" ht="14.25" customHeight="1">
      <c r="D889" s="5"/>
    </row>
    <row r="890" ht="14.25" customHeight="1">
      <c r="D890" s="5"/>
    </row>
    <row r="891" ht="14.25" customHeight="1">
      <c r="D891" s="5"/>
    </row>
    <row r="892" ht="14.25" customHeight="1">
      <c r="D892" s="5"/>
    </row>
    <row r="893" ht="14.25" customHeight="1">
      <c r="D893" s="5"/>
    </row>
    <row r="894" ht="14.25" customHeight="1">
      <c r="D894" s="5"/>
    </row>
    <row r="895" ht="14.25" customHeight="1">
      <c r="D895" s="5"/>
    </row>
    <row r="896" ht="14.25" customHeight="1">
      <c r="D896" s="5"/>
    </row>
    <row r="897" ht="14.25" customHeight="1">
      <c r="D897" s="5"/>
    </row>
    <row r="898" ht="14.25" customHeight="1">
      <c r="D898" s="5"/>
    </row>
    <row r="899" ht="14.25" customHeight="1">
      <c r="D899" s="5"/>
    </row>
    <row r="900" ht="14.25" customHeight="1">
      <c r="D900" s="5"/>
    </row>
    <row r="901" ht="14.25" customHeight="1">
      <c r="D901" s="5"/>
    </row>
    <row r="902" ht="14.25" customHeight="1">
      <c r="D902" s="5"/>
    </row>
    <row r="903" ht="14.25" customHeight="1">
      <c r="D903" s="5"/>
    </row>
    <row r="904" ht="14.25" customHeight="1">
      <c r="D904" s="5"/>
    </row>
    <row r="905" ht="14.25" customHeight="1">
      <c r="D905" s="5"/>
    </row>
    <row r="906" ht="14.25" customHeight="1">
      <c r="D906" s="5"/>
    </row>
    <row r="907" ht="14.25" customHeight="1">
      <c r="D907" s="5"/>
    </row>
    <row r="908" ht="14.25" customHeight="1">
      <c r="D908" s="5"/>
    </row>
    <row r="909" ht="14.25" customHeight="1">
      <c r="D909" s="5"/>
    </row>
    <row r="910" ht="14.25" customHeight="1">
      <c r="D910" s="5"/>
    </row>
    <row r="911" ht="14.25" customHeight="1">
      <c r="D911" s="5"/>
    </row>
    <row r="912" ht="14.25" customHeight="1">
      <c r="D912" s="5"/>
    </row>
    <row r="913" ht="14.25" customHeight="1">
      <c r="D913" s="5"/>
    </row>
    <row r="914" ht="14.25" customHeight="1">
      <c r="D914" s="5"/>
    </row>
    <row r="915" ht="14.25" customHeight="1">
      <c r="D915" s="5"/>
    </row>
    <row r="916" ht="14.25" customHeight="1">
      <c r="D916" s="5"/>
    </row>
    <row r="917" ht="14.25" customHeight="1">
      <c r="D917" s="5"/>
    </row>
    <row r="918" ht="14.25" customHeight="1">
      <c r="D918" s="5"/>
    </row>
    <row r="919" ht="14.25" customHeight="1">
      <c r="D919" s="5"/>
    </row>
    <row r="920" ht="14.25" customHeight="1">
      <c r="D920" s="5"/>
    </row>
    <row r="921" ht="14.25" customHeight="1">
      <c r="D921" s="5"/>
    </row>
    <row r="922" ht="14.25" customHeight="1">
      <c r="D922" s="5"/>
    </row>
    <row r="923" ht="14.25" customHeight="1">
      <c r="D923" s="5"/>
    </row>
    <row r="924" ht="14.25" customHeight="1">
      <c r="D924" s="5"/>
    </row>
    <row r="925" ht="14.25" customHeight="1">
      <c r="D925" s="5"/>
    </row>
    <row r="926" ht="14.25" customHeight="1">
      <c r="D926" s="5"/>
    </row>
    <row r="927" ht="14.25" customHeight="1">
      <c r="D927" s="5"/>
    </row>
    <row r="928" ht="14.25" customHeight="1">
      <c r="D928" s="5"/>
    </row>
    <row r="929" ht="14.25" customHeight="1">
      <c r="D929" s="5"/>
    </row>
    <row r="930" ht="14.25" customHeight="1">
      <c r="D930" s="5"/>
    </row>
    <row r="931" ht="14.25" customHeight="1">
      <c r="D931" s="5"/>
    </row>
    <row r="932" ht="14.25" customHeight="1">
      <c r="D932" s="5"/>
    </row>
    <row r="933" ht="14.25" customHeight="1">
      <c r="D933" s="5"/>
    </row>
    <row r="934" ht="14.25" customHeight="1">
      <c r="D934" s="5"/>
    </row>
    <row r="935" ht="14.25" customHeight="1">
      <c r="D935" s="5"/>
    </row>
    <row r="936" ht="14.25" customHeight="1">
      <c r="D936" s="5"/>
    </row>
    <row r="937" ht="14.25" customHeight="1">
      <c r="D937" s="5"/>
    </row>
    <row r="938" ht="14.25" customHeight="1">
      <c r="D938" s="5"/>
    </row>
    <row r="939" ht="14.25" customHeight="1">
      <c r="D939" s="5"/>
    </row>
    <row r="940" ht="14.25" customHeight="1">
      <c r="D940" s="5"/>
    </row>
    <row r="941" ht="14.25" customHeight="1">
      <c r="D941" s="5"/>
    </row>
    <row r="942" ht="14.25" customHeight="1">
      <c r="D942" s="5"/>
    </row>
    <row r="943" ht="14.25" customHeight="1">
      <c r="D943" s="5"/>
    </row>
    <row r="944" ht="14.25" customHeight="1">
      <c r="D944" s="5"/>
    </row>
    <row r="945" ht="14.25" customHeight="1">
      <c r="D945" s="5"/>
    </row>
    <row r="946" ht="14.25" customHeight="1">
      <c r="D946" s="5"/>
    </row>
    <row r="947" ht="14.25" customHeight="1">
      <c r="D947" s="5"/>
    </row>
    <row r="948" ht="14.25" customHeight="1">
      <c r="D948" s="5"/>
    </row>
    <row r="949" ht="14.25" customHeight="1">
      <c r="D949" s="5"/>
    </row>
    <row r="950" ht="14.25" customHeight="1">
      <c r="D950" s="5"/>
    </row>
    <row r="951" ht="14.25" customHeight="1">
      <c r="D951" s="5"/>
    </row>
    <row r="952" ht="14.25" customHeight="1">
      <c r="D952" s="5"/>
    </row>
    <row r="953" ht="14.25" customHeight="1">
      <c r="D953" s="5"/>
    </row>
    <row r="954" ht="14.25" customHeight="1">
      <c r="D954" s="5"/>
    </row>
    <row r="955" ht="14.25" customHeight="1">
      <c r="D955" s="5"/>
    </row>
    <row r="956" ht="14.25" customHeight="1">
      <c r="D956" s="5"/>
    </row>
    <row r="957" ht="14.25" customHeight="1">
      <c r="D957" s="5"/>
    </row>
    <row r="958" ht="14.25" customHeight="1">
      <c r="D958" s="5"/>
    </row>
    <row r="959" ht="14.25" customHeight="1">
      <c r="D959" s="5"/>
    </row>
    <row r="960" ht="14.25" customHeight="1">
      <c r="D960" s="5"/>
    </row>
    <row r="961" ht="14.25" customHeight="1">
      <c r="D961" s="5"/>
    </row>
    <row r="962" ht="14.25" customHeight="1">
      <c r="D962" s="5"/>
    </row>
    <row r="963" ht="14.25" customHeight="1">
      <c r="D963" s="5"/>
    </row>
    <row r="964" ht="14.25" customHeight="1">
      <c r="D964" s="5"/>
    </row>
    <row r="965" ht="14.25" customHeight="1">
      <c r="D965" s="5"/>
    </row>
    <row r="966" ht="14.25" customHeight="1">
      <c r="D966" s="5"/>
    </row>
    <row r="967" ht="14.25" customHeight="1">
      <c r="D967" s="5"/>
    </row>
    <row r="968" ht="14.25" customHeight="1">
      <c r="D968" s="5"/>
    </row>
    <row r="969" ht="14.25" customHeight="1">
      <c r="D969" s="5"/>
    </row>
    <row r="970" ht="14.25" customHeight="1">
      <c r="D970" s="5"/>
    </row>
    <row r="971" ht="14.25" customHeight="1">
      <c r="D971" s="5"/>
    </row>
    <row r="972" ht="14.25" customHeight="1">
      <c r="D972" s="5"/>
    </row>
    <row r="973" ht="14.25" customHeight="1">
      <c r="D973" s="5"/>
    </row>
    <row r="974" ht="14.25" customHeight="1">
      <c r="D974" s="5"/>
    </row>
    <row r="975" ht="14.25" customHeight="1">
      <c r="D975" s="5"/>
    </row>
    <row r="976" ht="14.25" customHeight="1">
      <c r="D976" s="5"/>
    </row>
    <row r="977" ht="14.25" customHeight="1">
      <c r="D977" s="5"/>
    </row>
    <row r="978" ht="14.25" customHeight="1">
      <c r="D978" s="5"/>
    </row>
    <row r="979" ht="14.25" customHeight="1">
      <c r="D979" s="5"/>
    </row>
    <row r="980" ht="14.25" customHeight="1">
      <c r="D980" s="5"/>
    </row>
    <row r="981" ht="14.25" customHeight="1">
      <c r="D981" s="5"/>
    </row>
    <row r="982" ht="14.25" customHeight="1">
      <c r="D982" s="5"/>
    </row>
    <row r="983" ht="14.25" customHeight="1">
      <c r="D983" s="5"/>
    </row>
    <row r="984" ht="14.25" customHeight="1">
      <c r="D984" s="5"/>
    </row>
    <row r="985" ht="14.25" customHeight="1">
      <c r="D985" s="5"/>
    </row>
    <row r="986" ht="14.25" customHeight="1">
      <c r="D986" s="5"/>
    </row>
    <row r="987" ht="14.25" customHeight="1">
      <c r="D987" s="5"/>
    </row>
    <row r="988" ht="14.25" customHeight="1">
      <c r="D988" s="5"/>
    </row>
    <row r="989" ht="14.25" customHeight="1">
      <c r="D989" s="5"/>
    </row>
    <row r="990" ht="14.25" customHeight="1">
      <c r="D990" s="5"/>
    </row>
    <row r="991" ht="14.25" customHeight="1">
      <c r="D991" s="5"/>
    </row>
    <row r="992" ht="14.25" customHeight="1">
      <c r="D992" s="5"/>
    </row>
    <row r="993" ht="14.25" customHeight="1">
      <c r="D993" s="5"/>
    </row>
    <row r="994" ht="14.25" customHeight="1">
      <c r="D994" s="5"/>
    </row>
    <row r="995" ht="14.25" customHeight="1">
      <c r="D995" s="5"/>
    </row>
    <row r="996" ht="14.25" customHeight="1">
      <c r="D996" s="5"/>
    </row>
    <row r="997" ht="14.25" customHeight="1">
      <c r="D997" s="5"/>
    </row>
    <row r="998" ht="14.25" customHeight="1">
      <c r="D998" s="5"/>
    </row>
    <row r="999" ht="14.25" customHeight="1">
      <c r="D999" s="5"/>
    </row>
    <row r="1000" ht="14.25" customHeight="1">
      <c r="D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1.5"/>
    <col customWidth="1" min="3" max="3" width="29.13"/>
    <col customWidth="1" min="4" max="4" width="15.13"/>
    <col customWidth="1" min="5" max="5" width="15.25"/>
    <col customWidth="1" min="6" max="6" width="12.13"/>
    <col customWidth="1" min="7" max="7" width="15.25"/>
    <col customWidth="1" min="8" max="26" width="8.63"/>
  </cols>
  <sheetData>
    <row r="1" ht="14.25" customHeight="1">
      <c r="A1" s="6" t="s">
        <v>2477</v>
      </c>
      <c r="B1" s="6" t="s">
        <v>2478</v>
      </c>
      <c r="C1" s="6" t="s">
        <v>2479</v>
      </c>
      <c r="D1" s="6" t="s">
        <v>2480</v>
      </c>
      <c r="E1" s="6" t="s">
        <v>2481</v>
      </c>
      <c r="F1" s="6" t="s">
        <v>2482</v>
      </c>
      <c r="G1" s="6" t="s">
        <v>2483</v>
      </c>
    </row>
    <row r="2" ht="14.25" customHeight="1">
      <c r="A2" s="7" t="s">
        <v>2484</v>
      </c>
      <c r="B2" s="7" t="s">
        <v>2485</v>
      </c>
      <c r="C2" s="7" t="s">
        <v>2486</v>
      </c>
      <c r="D2" s="4">
        <v>6.249285122393E12</v>
      </c>
      <c r="E2" s="7" t="s">
        <v>2487</v>
      </c>
      <c r="F2" s="7" t="s">
        <v>2488</v>
      </c>
      <c r="G2" s="7" t="s">
        <v>2489</v>
      </c>
    </row>
    <row r="3" ht="14.25" customHeight="1">
      <c r="A3" s="7" t="s">
        <v>2490</v>
      </c>
      <c r="B3" s="7" t="s">
        <v>2491</v>
      </c>
      <c r="C3" s="7" t="s">
        <v>2492</v>
      </c>
      <c r="D3" s="4">
        <v>6.28685291201E12</v>
      </c>
      <c r="E3" s="7" t="s">
        <v>2493</v>
      </c>
      <c r="F3" s="7" t="s">
        <v>2494</v>
      </c>
      <c r="G3" s="7" t="s">
        <v>2495</v>
      </c>
    </row>
    <row r="4" ht="14.25" customHeight="1">
      <c r="A4" s="7" t="s">
        <v>2496</v>
      </c>
      <c r="B4" s="7" t="s">
        <v>2497</v>
      </c>
      <c r="C4" s="7" t="s">
        <v>2498</v>
      </c>
      <c r="D4" s="4">
        <v>6.240407859755E12</v>
      </c>
      <c r="E4" s="7" t="s">
        <v>2499</v>
      </c>
      <c r="F4" s="7" t="s">
        <v>2494</v>
      </c>
      <c r="G4" s="7" t="s">
        <v>2500</v>
      </c>
    </row>
    <row r="5" ht="14.25" customHeight="1">
      <c r="A5" s="7" t="s">
        <v>2501</v>
      </c>
      <c r="B5" s="7" t="s">
        <v>2502</v>
      </c>
      <c r="C5" s="7" t="s">
        <v>2503</v>
      </c>
      <c r="D5" s="4">
        <v>6.299861938361E12</v>
      </c>
      <c r="E5" s="7" t="s">
        <v>2504</v>
      </c>
      <c r="F5" s="7" t="s">
        <v>2488</v>
      </c>
      <c r="G5" s="7" t="s">
        <v>2505</v>
      </c>
    </row>
    <row r="6" ht="14.25" customHeight="1">
      <c r="A6" s="7" t="s">
        <v>2506</v>
      </c>
      <c r="B6" s="7" t="s">
        <v>2507</v>
      </c>
      <c r="C6" s="7" t="s">
        <v>2508</v>
      </c>
      <c r="D6" s="4">
        <v>6.248979811625E12</v>
      </c>
      <c r="E6" s="7" t="s">
        <v>2509</v>
      </c>
      <c r="F6" s="7" t="s">
        <v>2494</v>
      </c>
      <c r="G6" s="7" t="s">
        <v>2510</v>
      </c>
    </row>
    <row r="7" ht="14.25" customHeight="1">
      <c r="A7" s="7" t="s">
        <v>2511</v>
      </c>
      <c r="B7" s="7" t="s">
        <v>2512</v>
      </c>
      <c r="C7" s="7" t="s">
        <v>2513</v>
      </c>
      <c r="D7" s="4">
        <v>6.225307314162E12</v>
      </c>
      <c r="E7" s="7" t="s">
        <v>2514</v>
      </c>
      <c r="F7" s="7" t="s">
        <v>2494</v>
      </c>
      <c r="G7" s="7" t="s">
        <v>2515</v>
      </c>
    </row>
    <row r="8" ht="14.25" customHeight="1">
      <c r="A8" s="7" t="s">
        <v>2516</v>
      </c>
      <c r="B8" s="7" t="s">
        <v>2517</v>
      </c>
      <c r="C8" s="7" t="s">
        <v>2518</v>
      </c>
      <c r="D8" s="4">
        <v>6.237593865189E12</v>
      </c>
      <c r="E8" s="7" t="s">
        <v>2519</v>
      </c>
      <c r="F8" s="7" t="s">
        <v>2494</v>
      </c>
      <c r="G8" s="7" t="s">
        <v>2520</v>
      </c>
    </row>
    <row r="9" ht="14.25" customHeight="1">
      <c r="A9" s="7" t="s">
        <v>2521</v>
      </c>
      <c r="B9" s="7" t="s">
        <v>2522</v>
      </c>
      <c r="C9" s="7" t="s">
        <v>2523</v>
      </c>
      <c r="D9" s="4">
        <v>6.243950844967E12</v>
      </c>
      <c r="E9" s="7" t="s">
        <v>2524</v>
      </c>
      <c r="F9" s="7" t="s">
        <v>2525</v>
      </c>
      <c r="G9" s="7" t="s">
        <v>2526</v>
      </c>
    </row>
    <row r="10" ht="14.25" customHeight="1">
      <c r="A10" s="7" t="s">
        <v>2527</v>
      </c>
      <c r="B10" s="7" t="s">
        <v>2528</v>
      </c>
      <c r="C10" s="7" t="s">
        <v>2529</v>
      </c>
      <c r="D10" s="4">
        <v>6.250886356415E12</v>
      </c>
      <c r="E10" s="7" t="s">
        <v>2530</v>
      </c>
      <c r="F10" s="7" t="s">
        <v>2494</v>
      </c>
      <c r="G10" s="7" t="s">
        <v>2531</v>
      </c>
    </row>
    <row r="11" ht="14.25" customHeight="1">
      <c r="A11" s="7" t="s">
        <v>2532</v>
      </c>
      <c r="B11" s="7" t="s">
        <v>2533</v>
      </c>
      <c r="C11" s="7" t="s">
        <v>2534</v>
      </c>
      <c r="D11" s="4">
        <v>6.260057872109E12</v>
      </c>
      <c r="E11" s="7" t="s">
        <v>2535</v>
      </c>
      <c r="F11" s="7" t="s">
        <v>2494</v>
      </c>
      <c r="G11" s="7" t="s">
        <v>2536</v>
      </c>
    </row>
    <row r="12" ht="14.25" customHeight="1">
      <c r="A12" s="7" t="s">
        <v>2537</v>
      </c>
      <c r="B12" s="7" t="s">
        <v>2538</v>
      </c>
      <c r="C12" s="7" t="s">
        <v>2539</v>
      </c>
      <c r="D12" s="4">
        <v>6.287422412541E12</v>
      </c>
      <c r="E12" s="7" t="s">
        <v>2540</v>
      </c>
      <c r="F12" s="7" t="s">
        <v>2488</v>
      </c>
      <c r="G12" s="7" t="s">
        <v>2541</v>
      </c>
    </row>
    <row r="13" ht="14.25" customHeight="1">
      <c r="A13" s="7" t="s">
        <v>2542</v>
      </c>
      <c r="B13" s="7" t="s">
        <v>2543</v>
      </c>
      <c r="C13" s="7" t="s">
        <v>2544</v>
      </c>
      <c r="D13" s="4">
        <v>6.293018999364E12</v>
      </c>
      <c r="E13" s="7" t="s">
        <v>2545</v>
      </c>
      <c r="F13" s="7" t="s">
        <v>2494</v>
      </c>
      <c r="G13" s="7" t="s">
        <v>2546</v>
      </c>
    </row>
    <row r="14" ht="14.25" customHeight="1">
      <c r="A14" s="7" t="s">
        <v>2547</v>
      </c>
      <c r="B14" s="7" t="s">
        <v>2548</v>
      </c>
      <c r="C14" s="7" t="s">
        <v>2549</v>
      </c>
      <c r="D14" s="4">
        <v>6.26833174952E12</v>
      </c>
      <c r="E14" s="7" t="s">
        <v>2550</v>
      </c>
      <c r="F14" s="7" t="s">
        <v>2494</v>
      </c>
      <c r="G14" s="7" t="s">
        <v>2551</v>
      </c>
    </row>
    <row r="15" ht="14.25" customHeight="1">
      <c r="A15" s="7" t="s">
        <v>2552</v>
      </c>
      <c r="B15" s="7" t="s">
        <v>2553</v>
      </c>
      <c r="C15" s="7" t="s">
        <v>2554</v>
      </c>
      <c r="D15" s="4">
        <v>6.294195549748E12</v>
      </c>
      <c r="E15" s="7" t="s">
        <v>2555</v>
      </c>
      <c r="F15" s="7" t="s">
        <v>2525</v>
      </c>
      <c r="G15" s="7" t="s">
        <v>2556</v>
      </c>
    </row>
    <row r="16" ht="14.25" customHeight="1">
      <c r="A16" s="7" t="s">
        <v>2557</v>
      </c>
      <c r="B16" s="7" t="s">
        <v>2558</v>
      </c>
      <c r="C16" s="7" t="s">
        <v>2559</v>
      </c>
      <c r="D16" s="4">
        <v>6.239046635819E12</v>
      </c>
      <c r="E16" s="7" t="s">
        <v>2560</v>
      </c>
      <c r="F16" s="7" t="s">
        <v>2494</v>
      </c>
      <c r="G16" s="7" t="s">
        <v>2561</v>
      </c>
    </row>
    <row r="17" ht="14.25" customHeight="1">
      <c r="A17" s="7" t="s">
        <v>2562</v>
      </c>
      <c r="B17" s="7" t="s">
        <v>2563</v>
      </c>
      <c r="C17" s="7" t="s">
        <v>2564</v>
      </c>
      <c r="D17" s="4">
        <v>6.221428613713E12</v>
      </c>
      <c r="E17" s="7" t="s">
        <v>2565</v>
      </c>
      <c r="F17" s="7" t="s">
        <v>2494</v>
      </c>
      <c r="G17" s="7" t="s">
        <v>2566</v>
      </c>
    </row>
    <row r="18" ht="14.25" customHeight="1">
      <c r="A18" s="7" t="s">
        <v>2567</v>
      </c>
      <c r="B18" s="7" t="s">
        <v>2568</v>
      </c>
      <c r="C18" s="7" t="s">
        <v>2569</v>
      </c>
      <c r="D18" s="4">
        <v>6.253338498499E12</v>
      </c>
      <c r="E18" s="7" t="s">
        <v>2570</v>
      </c>
      <c r="F18" s="7" t="s">
        <v>2494</v>
      </c>
      <c r="G18" s="7" t="s">
        <v>2571</v>
      </c>
    </row>
    <row r="19" ht="14.25" customHeight="1">
      <c r="A19" s="7" t="s">
        <v>2572</v>
      </c>
      <c r="B19" s="7" t="s">
        <v>2573</v>
      </c>
      <c r="C19" s="7" t="s">
        <v>2574</v>
      </c>
      <c r="D19" s="4">
        <v>6.285685644122E12</v>
      </c>
      <c r="E19" s="7" t="s">
        <v>2575</v>
      </c>
      <c r="F19" s="7" t="s">
        <v>2494</v>
      </c>
      <c r="G19" s="7" t="s">
        <v>2576</v>
      </c>
    </row>
    <row r="20" ht="14.25" customHeight="1">
      <c r="A20" s="7" t="s">
        <v>2577</v>
      </c>
      <c r="B20" s="7" t="s">
        <v>2578</v>
      </c>
      <c r="C20" s="7" t="s">
        <v>2579</v>
      </c>
      <c r="D20" s="4">
        <v>6.237514656117E12</v>
      </c>
      <c r="E20" s="7" t="s">
        <v>2580</v>
      </c>
      <c r="F20" s="7" t="s">
        <v>2494</v>
      </c>
      <c r="G20" s="7" t="s">
        <v>2581</v>
      </c>
    </row>
    <row r="21" ht="14.25" customHeight="1">
      <c r="A21" s="7" t="s">
        <v>2582</v>
      </c>
      <c r="B21" s="7" t="s">
        <v>2583</v>
      </c>
      <c r="C21" s="7" t="s">
        <v>2584</v>
      </c>
      <c r="D21" s="4">
        <v>6.278592647561E12</v>
      </c>
      <c r="E21" s="7" t="s">
        <v>2585</v>
      </c>
      <c r="F21" s="7" t="s">
        <v>2494</v>
      </c>
      <c r="G21" s="7" t="s">
        <v>2586</v>
      </c>
    </row>
    <row r="22" ht="14.25" customHeight="1">
      <c r="A22" s="7" t="s">
        <v>2587</v>
      </c>
      <c r="B22" s="7" t="s">
        <v>2588</v>
      </c>
      <c r="C22" s="7" t="s">
        <v>2589</v>
      </c>
      <c r="D22" s="4">
        <v>6.23621335371E12</v>
      </c>
      <c r="E22" s="7" t="s">
        <v>2590</v>
      </c>
      <c r="F22" s="7" t="s">
        <v>2488</v>
      </c>
      <c r="G22" s="7" t="s">
        <v>2591</v>
      </c>
    </row>
    <row r="23" ht="14.25" customHeight="1">
      <c r="A23" s="7" t="s">
        <v>2592</v>
      </c>
      <c r="B23" s="7" t="s">
        <v>2593</v>
      </c>
      <c r="C23" s="7" t="s">
        <v>2594</v>
      </c>
      <c r="D23" s="4">
        <v>6.253521101212E12</v>
      </c>
      <c r="E23" s="7" t="s">
        <v>2595</v>
      </c>
      <c r="F23" s="7" t="s">
        <v>2494</v>
      </c>
      <c r="G23" s="7" t="s">
        <v>2596</v>
      </c>
    </row>
    <row r="24" ht="14.25" customHeight="1">
      <c r="A24" s="7" t="s">
        <v>2597</v>
      </c>
      <c r="B24" s="7" t="s">
        <v>2598</v>
      </c>
      <c r="C24" s="7" t="s">
        <v>2599</v>
      </c>
      <c r="D24" s="4">
        <v>6.239264668872E12</v>
      </c>
      <c r="E24" s="7" t="s">
        <v>2600</v>
      </c>
      <c r="F24" s="7" t="s">
        <v>2494</v>
      </c>
      <c r="G24" s="7" t="s">
        <v>2601</v>
      </c>
    </row>
    <row r="25" ht="14.25" customHeight="1">
      <c r="A25" s="7" t="s">
        <v>2602</v>
      </c>
      <c r="B25" s="7" t="s">
        <v>2603</v>
      </c>
      <c r="C25" s="7" t="s">
        <v>2604</v>
      </c>
      <c r="D25" s="4">
        <v>6.234065418855E12</v>
      </c>
      <c r="E25" s="7" t="s">
        <v>2605</v>
      </c>
      <c r="F25" s="7" t="s">
        <v>2494</v>
      </c>
      <c r="G25" s="7" t="s">
        <v>2606</v>
      </c>
    </row>
    <row r="26" ht="14.25" customHeight="1">
      <c r="A26" s="7" t="s">
        <v>2607</v>
      </c>
      <c r="B26" s="7" t="s">
        <v>2608</v>
      </c>
      <c r="C26" s="7" t="s">
        <v>2609</v>
      </c>
      <c r="D26" s="4">
        <v>6.267253857991E12</v>
      </c>
      <c r="E26" s="7" t="s">
        <v>2610</v>
      </c>
      <c r="F26" s="7" t="s">
        <v>2488</v>
      </c>
      <c r="G26" s="7" t="s">
        <v>2611</v>
      </c>
    </row>
    <row r="27" ht="14.25" customHeight="1">
      <c r="A27" s="7" t="s">
        <v>2612</v>
      </c>
      <c r="B27" s="7" t="s">
        <v>2613</v>
      </c>
      <c r="C27" s="7" t="s">
        <v>2614</v>
      </c>
      <c r="D27" s="4">
        <v>6.200199546067E12</v>
      </c>
      <c r="E27" s="7" t="s">
        <v>2615</v>
      </c>
      <c r="F27" s="7" t="s">
        <v>2494</v>
      </c>
      <c r="G27" s="7" t="s">
        <v>2616</v>
      </c>
    </row>
    <row r="28" ht="14.25" customHeight="1">
      <c r="A28" s="7" t="s">
        <v>2617</v>
      </c>
      <c r="B28" s="7" t="s">
        <v>2618</v>
      </c>
      <c r="C28" s="7" t="s">
        <v>2619</v>
      </c>
      <c r="D28" s="4">
        <v>6.200360607725E12</v>
      </c>
      <c r="E28" s="7" t="s">
        <v>2620</v>
      </c>
      <c r="F28" s="7" t="s">
        <v>2494</v>
      </c>
      <c r="G28" s="7" t="s">
        <v>2621</v>
      </c>
    </row>
    <row r="29" ht="14.25" customHeight="1">
      <c r="A29" s="7" t="s">
        <v>2622</v>
      </c>
      <c r="B29" s="7" t="s">
        <v>2623</v>
      </c>
      <c r="C29" s="7" t="s">
        <v>2624</v>
      </c>
      <c r="D29" s="4">
        <v>6.221716824775E12</v>
      </c>
      <c r="E29" s="7" t="s">
        <v>2625</v>
      </c>
      <c r="F29" s="7" t="s">
        <v>2494</v>
      </c>
      <c r="G29" s="7" t="s">
        <v>2626</v>
      </c>
    </row>
    <row r="30" ht="14.25" customHeight="1">
      <c r="A30" s="7" t="s">
        <v>2627</v>
      </c>
      <c r="B30" s="7" t="s">
        <v>2628</v>
      </c>
      <c r="C30" s="7" t="s">
        <v>2629</v>
      </c>
      <c r="D30" s="4">
        <v>6.206501309952E12</v>
      </c>
      <c r="E30" s="7" t="s">
        <v>2630</v>
      </c>
      <c r="F30" s="7" t="s">
        <v>2488</v>
      </c>
      <c r="G30" s="7" t="s">
        <v>2631</v>
      </c>
    </row>
    <row r="31" ht="14.25" customHeight="1">
      <c r="A31" s="7" t="s">
        <v>2632</v>
      </c>
      <c r="B31" s="7" t="s">
        <v>2633</v>
      </c>
      <c r="C31" s="7" t="s">
        <v>2634</v>
      </c>
      <c r="D31" s="4">
        <v>6.265396364754E12</v>
      </c>
      <c r="E31" s="7" t="s">
        <v>2635</v>
      </c>
      <c r="F31" s="7" t="s">
        <v>2494</v>
      </c>
      <c r="G31" s="7" t="s">
        <v>2636</v>
      </c>
    </row>
    <row r="32" ht="14.25" customHeight="1">
      <c r="A32" s="7" t="s">
        <v>2637</v>
      </c>
      <c r="B32" s="7" t="s">
        <v>2638</v>
      </c>
      <c r="C32" s="7" t="s">
        <v>2639</v>
      </c>
      <c r="D32" s="4">
        <v>6.215516255096E12</v>
      </c>
      <c r="E32" s="7" t="s">
        <v>2640</v>
      </c>
      <c r="F32" s="7" t="s">
        <v>2488</v>
      </c>
      <c r="G32" s="7" t="s">
        <v>2641</v>
      </c>
    </row>
    <row r="33" ht="14.25" customHeight="1">
      <c r="A33" s="7" t="s">
        <v>2642</v>
      </c>
      <c r="B33" s="7" t="s">
        <v>2643</v>
      </c>
      <c r="C33" s="7" t="s">
        <v>2644</v>
      </c>
      <c r="D33" s="4">
        <v>6.262015311851E12</v>
      </c>
      <c r="E33" s="7" t="s">
        <v>2645</v>
      </c>
      <c r="F33" s="7" t="s">
        <v>2494</v>
      </c>
      <c r="G33" s="7" t="s">
        <v>2646</v>
      </c>
    </row>
    <row r="34" ht="14.25" customHeight="1">
      <c r="A34" s="7" t="s">
        <v>2647</v>
      </c>
      <c r="B34" s="7" t="s">
        <v>2648</v>
      </c>
      <c r="C34" s="7" t="s">
        <v>2649</v>
      </c>
      <c r="D34" s="4">
        <v>6.226971907754E12</v>
      </c>
      <c r="E34" s="7" t="s">
        <v>2650</v>
      </c>
      <c r="F34" s="7" t="s">
        <v>2494</v>
      </c>
      <c r="G34" s="7" t="s">
        <v>2651</v>
      </c>
    </row>
    <row r="35" ht="14.25" customHeight="1">
      <c r="A35" s="7" t="s">
        <v>2652</v>
      </c>
      <c r="B35" s="7" t="s">
        <v>2653</v>
      </c>
      <c r="C35" s="7" t="s">
        <v>2654</v>
      </c>
      <c r="D35" s="4">
        <v>6.259769954624E12</v>
      </c>
      <c r="E35" s="7" t="s">
        <v>2655</v>
      </c>
      <c r="F35" s="7" t="s">
        <v>2494</v>
      </c>
      <c r="G35" s="7" t="s">
        <v>2656</v>
      </c>
    </row>
    <row r="36" ht="14.25" customHeight="1">
      <c r="A36" s="7" t="s">
        <v>2657</v>
      </c>
      <c r="B36" s="7" t="s">
        <v>2658</v>
      </c>
      <c r="C36" s="7" t="s">
        <v>2659</v>
      </c>
      <c r="D36" s="4">
        <v>6.201291741536E12</v>
      </c>
      <c r="E36" s="7" t="s">
        <v>2660</v>
      </c>
      <c r="F36" s="7" t="s">
        <v>2525</v>
      </c>
      <c r="G36" s="7" t="s">
        <v>2661</v>
      </c>
    </row>
    <row r="37" ht="14.25" customHeight="1">
      <c r="A37" s="7" t="s">
        <v>2662</v>
      </c>
      <c r="B37" s="7" t="s">
        <v>2663</v>
      </c>
      <c r="C37" s="7" t="s">
        <v>2664</v>
      </c>
      <c r="D37" s="4">
        <v>6.259043213054E12</v>
      </c>
      <c r="E37" s="7" t="s">
        <v>2665</v>
      </c>
      <c r="F37" s="7" t="s">
        <v>2488</v>
      </c>
      <c r="G37" s="7" t="s">
        <v>2666</v>
      </c>
    </row>
    <row r="38" ht="14.25" customHeight="1">
      <c r="A38" s="7" t="s">
        <v>2667</v>
      </c>
      <c r="B38" s="7" t="s">
        <v>2668</v>
      </c>
      <c r="C38" s="7" t="s">
        <v>2669</v>
      </c>
      <c r="D38" s="4">
        <v>6.226055865442E12</v>
      </c>
      <c r="E38" s="7" t="s">
        <v>2670</v>
      </c>
      <c r="F38" s="7" t="s">
        <v>2488</v>
      </c>
      <c r="G38" s="7" t="s">
        <v>2671</v>
      </c>
    </row>
    <row r="39" ht="14.25" customHeight="1">
      <c r="A39" s="7" t="s">
        <v>2672</v>
      </c>
      <c r="B39" s="7" t="s">
        <v>2673</v>
      </c>
      <c r="C39" s="7" t="s">
        <v>2674</v>
      </c>
      <c r="D39" s="4">
        <v>6.271278475806E12</v>
      </c>
      <c r="E39" s="7" t="s">
        <v>2675</v>
      </c>
      <c r="F39" s="7" t="s">
        <v>2488</v>
      </c>
      <c r="G39" s="7" t="s">
        <v>2676</v>
      </c>
    </row>
    <row r="40" ht="14.25" customHeight="1">
      <c r="A40" s="7" t="s">
        <v>2677</v>
      </c>
      <c r="B40" s="7" t="s">
        <v>2678</v>
      </c>
      <c r="C40" s="7" t="s">
        <v>2679</v>
      </c>
      <c r="D40" s="4">
        <v>6.254358388846E12</v>
      </c>
      <c r="E40" s="7" t="s">
        <v>2680</v>
      </c>
      <c r="F40" s="7" t="s">
        <v>2494</v>
      </c>
      <c r="G40" s="7" t="s">
        <v>2681</v>
      </c>
    </row>
    <row r="41" ht="14.25" customHeight="1">
      <c r="A41" s="7" t="s">
        <v>2682</v>
      </c>
      <c r="B41" s="7" t="s">
        <v>2683</v>
      </c>
      <c r="C41" s="7" t="s">
        <v>2684</v>
      </c>
      <c r="D41" s="4">
        <v>6.279152964777E12</v>
      </c>
      <c r="E41" s="7" t="s">
        <v>2685</v>
      </c>
      <c r="F41" s="7" t="s">
        <v>2494</v>
      </c>
      <c r="G41" s="7" t="s">
        <v>2686</v>
      </c>
    </row>
    <row r="42" ht="14.25" customHeight="1">
      <c r="A42" s="7" t="s">
        <v>2687</v>
      </c>
      <c r="B42" s="7" t="s">
        <v>2688</v>
      </c>
      <c r="C42" s="7" t="s">
        <v>2689</v>
      </c>
      <c r="D42" s="4">
        <v>6.207587137138E12</v>
      </c>
      <c r="E42" s="7" t="s">
        <v>2690</v>
      </c>
      <c r="F42" s="7" t="s">
        <v>2494</v>
      </c>
      <c r="G42" s="7" t="s">
        <v>2691</v>
      </c>
    </row>
    <row r="43" ht="14.25" customHeight="1">
      <c r="A43" s="7" t="s">
        <v>2692</v>
      </c>
      <c r="B43" s="7" t="s">
        <v>2693</v>
      </c>
      <c r="C43" s="7" t="s">
        <v>2694</v>
      </c>
      <c r="D43" s="4">
        <v>6.251573187508E12</v>
      </c>
      <c r="E43" s="7" t="s">
        <v>2695</v>
      </c>
      <c r="F43" s="7" t="s">
        <v>2494</v>
      </c>
      <c r="G43" s="7" t="s">
        <v>2696</v>
      </c>
    </row>
    <row r="44" ht="14.25" customHeight="1">
      <c r="A44" s="7" t="s">
        <v>2697</v>
      </c>
      <c r="B44" s="7" t="s">
        <v>2698</v>
      </c>
      <c r="C44" s="7" t="s">
        <v>2699</v>
      </c>
      <c r="D44" s="4">
        <v>6.293319396233E12</v>
      </c>
      <c r="E44" s="7" t="s">
        <v>2700</v>
      </c>
      <c r="F44" s="7" t="s">
        <v>2488</v>
      </c>
      <c r="G44" s="7" t="s">
        <v>2701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88"/>
    <col customWidth="1" min="2" max="2" width="15.25"/>
    <col customWidth="1" min="3" max="3" width="12.25"/>
    <col customWidth="1" min="4" max="4" width="16.13"/>
    <col customWidth="1" min="5" max="5" width="15.75"/>
    <col customWidth="1" min="6" max="6" width="11.5"/>
    <col customWidth="1" min="7" max="7" width="14.75"/>
    <col customWidth="1" min="8" max="8" width="9.88"/>
    <col customWidth="1" min="9" max="9" width="9.63"/>
    <col customWidth="1" min="10" max="10" width="22.0"/>
    <col customWidth="1" min="11" max="11" width="23.5"/>
    <col customWidth="1" min="12" max="53" width="8.63"/>
    <col customWidth="1" min="54" max="54" width="10.5"/>
    <col customWidth="1" min="55" max="64" width="8.63"/>
  </cols>
  <sheetData>
    <row r="1" ht="14.25" customHeight="1">
      <c r="A1" s="8" t="s">
        <v>2702</v>
      </c>
      <c r="B1" s="9" t="s">
        <v>2703</v>
      </c>
      <c r="C1" s="9" t="s">
        <v>2704</v>
      </c>
      <c r="D1" s="10" t="s">
        <v>2705</v>
      </c>
      <c r="E1" s="11" t="s">
        <v>2706</v>
      </c>
      <c r="F1" s="12" t="s">
        <v>2707</v>
      </c>
      <c r="G1" s="13" t="s">
        <v>2708</v>
      </c>
      <c r="H1" s="14" t="s">
        <v>2709</v>
      </c>
      <c r="I1" s="14" t="s">
        <v>0</v>
      </c>
      <c r="J1" s="13" t="s">
        <v>2477</v>
      </c>
    </row>
    <row r="2" ht="14.25" customHeight="1">
      <c r="A2" s="15" t="s">
        <v>2710</v>
      </c>
      <c r="B2" s="16">
        <v>45078.0</v>
      </c>
      <c r="C2" s="17">
        <v>45079.0</v>
      </c>
      <c r="D2" s="18">
        <v>5.0</v>
      </c>
      <c r="E2" s="19">
        <v>3.0</v>
      </c>
      <c r="F2" s="20">
        <v>16000.0</v>
      </c>
      <c r="G2" s="21" t="s">
        <v>2711</v>
      </c>
      <c r="H2" s="19">
        <v>5.0</v>
      </c>
      <c r="I2" s="21" t="s">
        <v>482</v>
      </c>
      <c r="J2" s="22" t="s">
        <v>2532</v>
      </c>
    </row>
    <row r="3" ht="14.25" customHeight="1">
      <c r="A3" s="15" t="s">
        <v>2712</v>
      </c>
      <c r="B3" s="16">
        <v>45078.0</v>
      </c>
      <c r="C3" s="17">
        <v>45080.0</v>
      </c>
      <c r="D3" s="18">
        <v>15.0</v>
      </c>
      <c r="E3" s="19">
        <v>4.0</v>
      </c>
      <c r="F3" s="20">
        <v>22500.0</v>
      </c>
      <c r="G3" s="21" t="s">
        <v>2711</v>
      </c>
      <c r="H3" s="19">
        <v>5.0</v>
      </c>
      <c r="I3" s="21" t="s">
        <v>910</v>
      </c>
      <c r="J3" s="22" t="s">
        <v>2501</v>
      </c>
      <c r="K3" s="23"/>
    </row>
    <row r="4" ht="14.25" customHeight="1">
      <c r="A4" s="15" t="s">
        <v>2713</v>
      </c>
      <c r="B4" s="16">
        <v>45078.0</v>
      </c>
      <c r="C4" s="17">
        <v>45083.0</v>
      </c>
      <c r="D4" s="18">
        <v>8.0</v>
      </c>
      <c r="E4" s="19">
        <v>4.0</v>
      </c>
      <c r="F4" s="20">
        <v>18000.0</v>
      </c>
      <c r="G4" s="21" t="s">
        <v>2711</v>
      </c>
      <c r="H4" s="19">
        <v>5.0</v>
      </c>
      <c r="I4" s="21" t="s">
        <v>158</v>
      </c>
      <c r="J4" s="22" t="s">
        <v>2637</v>
      </c>
      <c r="K4" s="23"/>
    </row>
    <row r="5" ht="14.25" customHeight="1">
      <c r="A5" s="15" t="s">
        <v>2714</v>
      </c>
      <c r="B5" s="16">
        <v>45078.0</v>
      </c>
      <c r="C5" s="17">
        <v>45079.0</v>
      </c>
      <c r="D5" s="18">
        <v>4.0</v>
      </c>
      <c r="E5" s="19">
        <v>2.0</v>
      </c>
      <c r="F5" s="20">
        <v>14000.0</v>
      </c>
      <c r="G5" s="24" t="s">
        <v>2711</v>
      </c>
      <c r="H5" s="19">
        <v>3.0</v>
      </c>
      <c r="I5" s="21" t="s">
        <v>648</v>
      </c>
      <c r="J5" s="22" t="s">
        <v>2682</v>
      </c>
      <c r="K5" s="23"/>
    </row>
    <row r="6" ht="14.25" customHeight="1">
      <c r="A6" s="15" t="s">
        <v>2715</v>
      </c>
      <c r="B6" s="16">
        <v>45078.0</v>
      </c>
      <c r="C6" s="17">
        <v>45079.0</v>
      </c>
      <c r="D6" s="18">
        <v>60.0</v>
      </c>
      <c r="E6" s="19">
        <v>24.0</v>
      </c>
      <c r="F6" s="20">
        <v>76000.0</v>
      </c>
      <c r="G6" s="21" t="s">
        <v>2711</v>
      </c>
      <c r="H6" s="19">
        <v>5.0</v>
      </c>
      <c r="I6" s="21" t="s">
        <v>1854</v>
      </c>
      <c r="J6" s="22" t="s">
        <v>2552</v>
      </c>
      <c r="K6" s="23"/>
    </row>
    <row r="7" ht="14.25" customHeight="1">
      <c r="A7" s="15" t="s">
        <v>2716</v>
      </c>
      <c r="B7" s="16">
        <v>45078.0</v>
      </c>
      <c r="C7" s="17">
        <v>45080.0</v>
      </c>
      <c r="D7" s="18">
        <v>7.0</v>
      </c>
      <c r="E7" s="19">
        <v>10.0</v>
      </c>
      <c r="F7" s="20">
        <v>30000.0</v>
      </c>
      <c r="G7" s="21" t="s">
        <v>2711</v>
      </c>
      <c r="H7" s="19">
        <v>5.0</v>
      </c>
      <c r="I7" s="21" t="s">
        <v>170</v>
      </c>
      <c r="J7" s="22" t="s">
        <v>2662</v>
      </c>
      <c r="K7" s="23"/>
    </row>
    <row r="8" ht="14.25" customHeight="1">
      <c r="A8" s="15" t="s">
        <v>2717</v>
      </c>
      <c r="B8" s="16">
        <v>45078.0</v>
      </c>
      <c r="C8" s="17">
        <v>45081.0</v>
      </c>
      <c r="D8" s="18">
        <v>17.0</v>
      </c>
      <c r="E8" s="19">
        <v>4.0</v>
      </c>
      <c r="F8" s="20">
        <v>23100.0</v>
      </c>
      <c r="G8" s="21" t="s">
        <v>2711</v>
      </c>
      <c r="H8" s="19">
        <v>5.0</v>
      </c>
      <c r="I8" s="21" t="s">
        <v>214</v>
      </c>
      <c r="J8" s="22" t="s">
        <v>2627</v>
      </c>
      <c r="K8" s="23"/>
    </row>
    <row r="9" ht="14.25" customHeight="1">
      <c r="A9" s="15" t="s">
        <v>2718</v>
      </c>
      <c r="B9" s="16">
        <v>45078.0</v>
      </c>
      <c r="C9" s="17">
        <v>45082.0</v>
      </c>
      <c r="D9" s="18">
        <v>36.0</v>
      </c>
      <c r="E9" s="19">
        <v>17.0</v>
      </c>
      <c r="F9" s="20">
        <v>54800.0</v>
      </c>
      <c r="G9" s="21" t="s">
        <v>2711</v>
      </c>
      <c r="H9" s="19">
        <v>5.0</v>
      </c>
      <c r="I9" s="21" t="s">
        <v>1236</v>
      </c>
      <c r="J9" s="22" t="s">
        <v>2552</v>
      </c>
      <c r="K9" s="25"/>
    </row>
    <row r="10" ht="14.25" customHeight="1">
      <c r="A10" s="15" t="s">
        <v>2719</v>
      </c>
      <c r="B10" s="16">
        <v>45078.0</v>
      </c>
      <c r="C10" s="17">
        <v>45081.0</v>
      </c>
      <c r="D10" s="18">
        <v>1.0</v>
      </c>
      <c r="E10" s="19">
        <v>3.0</v>
      </c>
      <c r="F10" s="20">
        <v>16000.0</v>
      </c>
      <c r="G10" s="21" t="s">
        <v>2711</v>
      </c>
      <c r="H10" s="19">
        <v>4.0</v>
      </c>
      <c r="I10" s="21" t="s">
        <v>1208</v>
      </c>
      <c r="J10" s="22" t="s">
        <v>2582</v>
      </c>
    </row>
    <row r="11" ht="14.25" customHeight="1">
      <c r="A11" s="15" t="s">
        <v>2720</v>
      </c>
      <c r="B11" s="16">
        <v>45078.0</v>
      </c>
      <c r="C11" s="17">
        <v>45081.0</v>
      </c>
      <c r="D11" s="18">
        <v>3.0</v>
      </c>
      <c r="E11" s="19">
        <v>2.0</v>
      </c>
      <c r="F11" s="20">
        <v>14000.0</v>
      </c>
      <c r="G11" s="21" t="s">
        <v>2711</v>
      </c>
      <c r="H11" s="19">
        <v>5.0</v>
      </c>
      <c r="I11" s="21" t="s">
        <v>704</v>
      </c>
      <c r="J11" s="22" t="s">
        <v>2687</v>
      </c>
    </row>
    <row r="12" ht="14.25" customHeight="1">
      <c r="A12" s="15" t="s">
        <v>2721</v>
      </c>
      <c r="B12" s="16">
        <v>45078.0</v>
      </c>
      <c r="C12" s="17">
        <v>45082.0</v>
      </c>
      <c r="D12" s="18">
        <v>76.0</v>
      </c>
      <c r="E12" s="19">
        <v>24.0</v>
      </c>
      <c r="F12" s="20">
        <v>80800.0</v>
      </c>
      <c r="G12" s="21" t="s">
        <v>2711</v>
      </c>
      <c r="H12" s="19">
        <v>4.0</v>
      </c>
      <c r="I12" s="21" t="s">
        <v>1410</v>
      </c>
      <c r="J12" s="22" t="s">
        <v>2552</v>
      </c>
    </row>
    <row r="13" ht="14.25" customHeight="1">
      <c r="A13" s="15" t="s">
        <v>2722</v>
      </c>
      <c r="B13" s="16">
        <v>45078.0</v>
      </c>
      <c r="C13" s="17">
        <v>45083.0</v>
      </c>
      <c r="D13" s="18">
        <v>5.0</v>
      </c>
      <c r="E13" s="19">
        <v>1.0</v>
      </c>
      <c r="F13" s="20">
        <v>12000.0</v>
      </c>
      <c r="G13" s="21" t="s">
        <v>2711</v>
      </c>
      <c r="H13" s="19">
        <v>4.0</v>
      </c>
      <c r="I13" s="21" t="s">
        <v>86</v>
      </c>
      <c r="J13" s="22" t="s">
        <v>2617</v>
      </c>
    </row>
    <row r="14" ht="14.25" customHeight="1">
      <c r="A14" s="15" t="s">
        <v>2723</v>
      </c>
      <c r="B14" s="16">
        <v>45078.0</v>
      </c>
      <c r="C14" s="17">
        <v>45080.0</v>
      </c>
      <c r="D14" s="18">
        <v>21.0</v>
      </c>
      <c r="E14" s="19">
        <v>20.0</v>
      </c>
      <c r="F14" s="20">
        <v>56300.0</v>
      </c>
      <c r="G14" s="21" t="s">
        <v>2711</v>
      </c>
      <c r="H14" s="19">
        <v>5.0</v>
      </c>
      <c r="I14" s="21" t="s">
        <v>498</v>
      </c>
      <c r="J14" s="22" t="s">
        <v>2552</v>
      </c>
    </row>
    <row r="15" ht="14.25" customHeight="1">
      <c r="A15" s="15" t="s">
        <v>2724</v>
      </c>
      <c r="B15" s="16">
        <v>45078.0</v>
      </c>
      <c r="C15" s="17">
        <v>45081.0</v>
      </c>
      <c r="D15" s="18">
        <v>1.0</v>
      </c>
      <c r="E15" s="19">
        <v>1.0</v>
      </c>
      <c r="F15" s="20">
        <v>12000.0</v>
      </c>
      <c r="G15" s="21" t="s">
        <v>2711</v>
      </c>
      <c r="H15" s="19">
        <v>5.0</v>
      </c>
      <c r="I15" s="21" t="s">
        <v>234</v>
      </c>
      <c r="J15" s="22" t="s">
        <v>2692</v>
      </c>
    </row>
    <row r="16" ht="14.25" customHeight="1">
      <c r="A16" s="15" t="s">
        <v>2725</v>
      </c>
      <c r="B16" s="16">
        <v>45078.0</v>
      </c>
      <c r="C16" s="17">
        <v>45081.0</v>
      </c>
      <c r="D16" s="18">
        <v>61.0</v>
      </c>
      <c r="E16" s="19">
        <v>12.0</v>
      </c>
      <c r="F16" s="20">
        <v>52300.0</v>
      </c>
      <c r="G16" s="21" t="s">
        <v>2711</v>
      </c>
      <c r="H16" s="19">
        <v>5.0</v>
      </c>
      <c r="I16" s="21" t="s">
        <v>819</v>
      </c>
      <c r="J16" s="22" t="s">
        <v>2552</v>
      </c>
    </row>
    <row r="17" ht="14.25" customHeight="1">
      <c r="A17" s="15" t="s">
        <v>2726</v>
      </c>
      <c r="B17" s="16">
        <v>45078.0</v>
      </c>
      <c r="C17" s="17">
        <v>45081.0</v>
      </c>
      <c r="D17" s="18">
        <v>6.0</v>
      </c>
      <c r="E17" s="19">
        <v>2.0</v>
      </c>
      <c r="F17" s="20">
        <v>14000.0</v>
      </c>
      <c r="G17" s="21" t="s">
        <v>2711</v>
      </c>
      <c r="H17" s="19">
        <v>4.0</v>
      </c>
      <c r="I17" s="21" t="s">
        <v>2152</v>
      </c>
      <c r="J17" s="22" t="s">
        <v>2582</v>
      </c>
    </row>
    <row r="18" ht="14.25" customHeight="1">
      <c r="A18" s="15" t="s">
        <v>2727</v>
      </c>
      <c r="B18" s="16">
        <v>45078.0</v>
      </c>
      <c r="C18" s="17">
        <v>45080.0</v>
      </c>
      <c r="D18" s="18">
        <v>3.0</v>
      </c>
      <c r="E18" s="19">
        <v>2.0</v>
      </c>
      <c r="F18" s="20">
        <v>14000.0</v>
      </c>
      <c r="G18" s="21" t="s">
        <v>2711</v>
      </c>
      <c r="H18" s="19">
        <v>5.0</v>
      </c>
      <c r="I18" s="21" t="s">
        <v>1363</v>
      </c>
      <c r="J18" s="22" t="s">
        <v>2612</v>
      </c>
    </row>
    <row r="19" ht="14.25" customHeight="1">
      <c r="A19" s="15" t="s">
        <v>2728</v>
      </c>
      <c r="B19" s="16">
        <v>45078.0</v>
      </c>
      <c r="C19" s="17">
        <v>45082.0</v>
      </c>
      <c r="D19" s="18">
        <v>33.0</v>
      </c>
      <c r="E19" s="19">
        <v>22.0</v>
      </c>
      <c r="F19" s="20">
        <v>63900.0</v>
      </c>
      <c r="G19" s="21" t="s">
        <v>2711</v>
      </c>
      <c r="H19" s="19">
        <v>4.0</v>
      </c>
      <c r="I19" s="21" t="s">
        <v>302</v>
      </c>
      <c r="J19" s="22" t="s">
        <v>2552</v>
      </c>
    </row>
    <row r="20" ht="14.25" customHeight="1">
      <c r="A20" s="15" t="s">
        <v>2729</v>
      </c>
      <c r="B20" s="16">
        <v>45078.0</v>
      </c>
      <c r="C20" s="17">
        <v>45081.0</v>
      </c>
      <c r="D20" s="18">
        <v>5.0</v>
      </c>
      <c r="E20" s="19">
        <v>1.0</v>
      </c>
      <c r="F20" s="20">
        <v>12000.0</v>
      </c>
      <c r="G20" s="21" t="s">
        <v>2711</v>
      </c>
      <c r="H20" s="19">
        <v>4.0</v>
      </c>
      <c r="I20" s="21" t="s">
        <v>1969</v>
      </c>
      <c r="J20" s="22" t="s">
        <v>2496</v>
      </c>
    </row>
    <row r="21" ht="14.25" customHeight="1">
      <c r="A21" s="15" t="s">
        <v>2730</v>
      </c>
      <c r="B21" s="16">
        <v>45078.0</v>
      </c>
      <c r="C21" s="17">
        <v>45081.0</v>
      </c>
      <c r="D21" s="18">
        <v>60.0</v>
      </c>
      <c r="E21" s="19">
        <v>18.0</v>
      </c>
      <c r="F21" s="20">
        <v>64000.0</v>
      </c>
      <c r="G21" s="21" t="s">
        <v>2711</v>
      </c>
      <c r="H21" s="19">
        <v>4.0</v>
      </c>
      <c r="I21" s="21" t="s">
        <v>2350</v>
      </c>
      <c r="J21" s="22" t="s">
        <v>2552</v>
      </c>
    </row>
    <row r="22" ht="14.25" customHeight="1">
      <c r="A22" s="15" t="s">
        <v>2731</v>
      </c>
      <c r="B22" s="16">
        <v>45078.0</v>
      </c>
      <c r="C22" s="17">
        <v>45079.0</v>
      </c>
      <c r="D22" s="18">
        <v>6.0</v>
      </c>
      <c r="E22" s="19">
        <v>2.0</v>
      </c>
      <c r="F22" s="20">
        <v>14000.0</v>
      </c>
      <c r="G22" s="21" t="s">
        <v>2711</v>
      </c>
      <c r="H22" s="19">
        <v>5.0</v>
      </c>
      <c r="I22" s="21" t="s">
        <v>202</v>
      </c>
      <c r="J22" s="22" t="s">
        <v>2582</v>
      </c>
    </row>
    <row r="23" ht="14.25" customHeight="1">
      <c r="A23" s="15" t="s">
        <v>2732</v>
      </c>
      <c r="B23" s="16">
        <v>45078.0</v>
      </c>
      <c r="C23" s="17">
        <v>45083.0</v>
      </c>
      <c r="D23" s="18">
        <v>11.0</v>
      </c>
      <c r="E23" s="19">
        <v>9.0</v>
      </c>
      <c r="F23" s="20">
        <v>28000.0</v>
      </c>
      <c r="G23" s="21" t="s">
        <v>2711</v>
      </c>
      <c r="H23" s="19">
        <v>5.0</v>
      </c>
      <c r="I23" s="21" t="s">
        <v>1997</v>
      </c>
      <c r="J23" s="22" t="s">
        <v>2537</v>
      </c>
    </row>
    <row r="24" ht="14.25" customHeight="1">
      <c r="A24" s="15" t="s">
        <v>2733</v>
      </c>
      <c r="B24" s="16">
        <v>45078.0</v>
      </c>
      <c r="C24" s="17">
        <v>45079.0</v>
      </c>
      <c r="D24" s="18">
        <v>6.0</v>
      </c>
      <c r="E24" s="19">
        <v>3.0</v>
      </c>
      <c r="F24" s="20">
        <v>16000.0</v>
      </c>
      <c r="G24" s="21" t="s">
        <v>2711</v>
      </c>
      <c r="H24" s="19">
        <v>5.0</v>
      </c>
      <c r="I24" s="21" t="s">
        <v>2290</v>
      </c>
      <c r="J24" s="22" t="s">
        <v>2532</v>
      </c>
    </row>
    <row r="25" ht="14.25" customHeight="1">
      <c r="A25" s="15" t="s">
        <v>2734</v>
      </c>
      <c r="B25" s="16">
        <v>45078.0</v>
      </c>
      <c r="C25" s="17">
        <v>45081.0</v>
      </c>
      <c r="D25" s="18">
        <v>17.0</v>
      </c>
      <c r="E25" s="19">
        <v>8.0</v>
      </c>
      <c r="F25" s="20">
        <v>31100.0</v>
      </c>
      <c r="G25" s="21" t="s">
        <v>2711</v>
      </c>
      <c r="H25" s="19">
        <v>5.0</v>
      </c>
      <c r="I25" s="21" t="s">
        <v>1740</v>
      </c>
      <c r="J25" s="22" t="s">
        <v>2667</v>
      </c>
    </row>
    <row r="26" ht="14.25" customHeight="1">
      <c r="A26" s="15" t="s">
        <v>2735</v>
      </c>
      <c r="B26" s="16">
        <v>45078.0</v>
      </c>
      <c r="C26" s="17">
        <v>45083.0</v>
      </c>
      <c r="D26" s="18">
        <v>6.0</v>
      </c>
      <c r="E26" s="19">
        <v>1.0</v>
      </c>
      <c r="F26" s="20">
        <v>12000.0</v>
      </c>
      <c r="G26" s="21" t="s">
        <v>2711</v>
      </c>
      <c r="H26" s="19">
        <v>5.0</v>
      </c>
      <c r="I26" s="21" t="s">
        <v>10</v>
      </c>
      <c r="J26" s="22" t="s">
        <v>2506</v>
      </c>
    </row>
    <row r="27" ht="14.25" customHeight="1">
      <c r="A27" s="15" t="s">
        <v>2736</v>
      </c>
      <c r="B27" s="16">
        <v>45078.0</v>
      </c>
      <c r="C27" s="17">
        <v>45081.0</v>
      </c>
      <c r="D27" s="18">
        <v>2.0</v>
      </c>
      <c r="E27" s="19">
        <v>2.0</v>
      </c>
      <c r="F27" s="20">
        <v>14000.0</v>
      </c>
      <c r="G27" s="21" t="s">
        <v>2711</v>
      </c>
      <c r="H27" s="19">
        <v>4.0</v>
      </c>
      <c r="I27" s="21" t="s">
        <v>830</v>
      </c>
      <c r="J27" s="22" t="s">
        <v>2592</v>
      </c>
    </row>
    <row r="28" ht="14.25" customHeight="1">
      <c r="A28" s="15" t="s">
        <v>2737</v>
      </c>
      <c r="B28" s="16">
        <v>45078.0</v>
      </c>
      <c r="C28" s="17">
        <v>45080.0</v>
      </c>
      <c r="D28" s="18">
        <v>5.0</v>
      </c>
      <c r="E28" s="19">
        <v>2.0</v>
      </c>
      <c r="F28" s="20">
        <v>14000.0</v>
      </c>
      <c r="G28" s="21" t="s">
        <v>2711</v>
      </c>
      <c r="H28" s="19">
        <v>5.0</v>
      </c>
      <c r="I28" s="21" t="s">
        <v>442</v>
      </c>
      <c r="J28" s="22" t="s">
        <v>2617</v>
      </c>
    </row>
    <row r="29" ht="14.25" customHeight="1">
      <c r="A29" s="15" t="s">
        <v>2738</v>
      </c>
      <c r="B29" s="17">
        <v>45078.0</v>
      </c>
      <c r="C29" s="17">
        <f>B29 + RANDBETWEEN(1,5)</f>
        <v>45083</v>
      </c>
      <c r="D29" s="18">
        <v>13.0</v>
      </c>
      <c r="E29" s="19">
        <v>6.0</v>
      </c>
      <c r="F29" s="20">
        <v>22000.0</v>
      </c>
      <c r="G29" s="21" t="s">
        <v>2711</v>
      </c>
      <c r="H29" s="19">
        <v>4.0</v>
      </c>
      <c r="I29" s="21" t="s">
        <v>1180</v>
      </c>
      <c r="J29" s="22" t="s">
        <v>2484</v>
      </c>
    </row>
    <row r="30" ht="14.25" customHeight="1">
      <c r="A30" s="15" t="s">
        <v>2739</v>
      </c>
      <c r="B30" s="16">
        <v>45078.0</v>
      </c>
      <c r="C30" s="17">
        <v>45081.0</v>
      </c>
      <c r="D30" s="18">
        <v>4.0</v>
      </c>
      <c r="E30" s="19">
        <v>2.0</v>
      </c>
      <c r="F30" s="20">
        <v>14000.0</v>
      </c>
      <c r="G30" s="21" t="s">
        <v>2711</v>
      </c>
      <c r="H30" s="19">
        <v>4.0</v>
      </c>
      <c r="I30" s="21" t="s">
        <v>1021</v>
      </c>
      <c r="J30" s="22" t="s">
        <v>2602</v>
      </c>
    </row>
    <row r="31" ht="14.25" customHeight="1">
      <c r="A31" s="15" t="s">
        <v>2740</v>
      </c>
      <c r="B31" s="17">
        <v>45078.0</v>
      </c>
      <c r="C31" s="17">
        <f>B31 + RANDBETWEEN(1,5)</f>
        <v>45079</v>
      </c>
      <c r="D31" s="18">
        <v>1.0</v>
      </c>
      <c r="E31" s="19">
        <v>2.0</v>
      </c>
      <c r="F31" s="20">
        <v>14000.0</v>
      </c>
      <c r="G31" s="21" t="s">
        <v>2711</v>
      </c>
      <c r="H31" s="19">
        <v>5.0</v>
      </c>
      <c r="I31" s="21" t="s">
        <v>1145</v>
      </c>
      <c r="J31" s="22" t="s">
        <v>2687</v>
      </c>
    </row>
    <row r="32" ht="14.25" customHeight="1">
      <c r="A32" s="15" t="s">
        <v>2741</v>
      </c>
      <c r="B32" s="16">
        <v>45079.0</v>
      </c>
      <c r="C32" s="17">
        <v>45080.0</v>
      </c>
      <c r="D32" s="18">
        <v>2.0</v>
      </c>
      <c r="E32" s="19">
        <v>1.0</v>
      </c>
      <c r="F32" s="20">
        <v>12000.0</v>
      </c>
      <c r="G32" s="21" t="s">
        <v>2711</v>
      </c>
      <c r="H32" s="19">
        <v>5.0</v>
      </c>
      <c r="I32" s="21" t="s">
        <v>688</v>
      </c>
      <c r="J32" s="22" t="s">
        <v>2692</v>
      </c>
    </row>
    <row r="33" ht="14.25" customHeight="1">
      <c r="A33" s="15" t="s">
        <v>2742</v>
      </c>
      <c r="B33" s="16">
        <v>45079.0</v>
      </c>
      <c r="C33" s="17">
        <v>45082.0</v>
      </c>
      <c r="D33" s="18">
        <v>8.0</v>
      </c>
      <c r="E33" s="19">
        <v>7.0</v>
      </c>
      <c r="F33" s="20">
        <v>24000.0</v>
      </c>
      <c r="G33" s="21" t="s">
        <v>2711</v>
      </c>
      <c r="H33" s="19">
        <v>4.0</v>
      </c>
      <c r="I33" s="21" t="s">
        <v>2346</v>
      </c>
      <c r="J33" s="22" t="s">
        <v>2672</v>
      </c>
    </row>
    <row r="34" ht="14.25" customHeight="1">
      <c r="A34" s="15" t="s">
        <v>2743</v>
      </c>
      <c r="B34" s="16">
        <v>45079.0</v>
      </c>
      <c r="C34" s="17">
        <v>45084.0</v>
      </c>
      <c r="D34" s="18">
        <v>6.0</v>
      </c>
      <c r="E34" s="19">
        <v>3.0</v>
      </c>
      <c r="F34" s="20">
        <v>16000.0</v>
      </c>
      <c r="G34" s="21" t="s">
        <v>2711</v>
      </c>
      <c r="H34" s="19">
        <v>5.0</v>
      </c>
      <c r="I34" s="21" t="s">
        <v>640</v>
      </c>
      <c r="J34" s="22" t="s">
        <v>2612</v>
      </c>
    </row>
    <row r="35" ht="14.25" customHeight="1">
      <c r="A35" s="15" t="s">
        <v>2744</v>
      </c>
      <c r="B35" s="16">
        <v>45079.0</v>
      </c>
      <c r="C35" s="17">
        <v>45084.0</v>
      </c>
      <c r="D35" s="18">
        <v>4.0</v>
      </c>
      <c r="E35" s="19">
        <v>2.0</v>
      </c>
      <c r="F35" s="20">
        <v>14000.0</v>
      </c>
      <c r="G35" s="21" t="s">
        <v>2711</v>
      </c>
      <c r="H35" s="19">
        <v>5.0</v>
      </c>
      <c r="I35" s="21" t="s">
        <v>2377</v>
      </c>
      <c r="J35" s="22" t="s">
        <v>2647</v>
      </c>
    </row>
    <row r="36" ht="14.25" customHeight="1">
      <c r="A36" s="15" t="s">
        <v>2745</v>
      </c>
      <c r="B36" s="16">
        <v>45079.0</v>
      </c>
      <c r="C36" s="17">
        <v>45080.0</v>
      </c>
      <c r="D36" s="18">
        <v>5.0</v>
      </c>
      <c r="E36" s="19">
        <v>3.0</v>
      </c>
      <c r="F36" s="20">
        <v>16000.0</v>
      </c>
      <c r="G36" s="21" t="s">
        <v>2711</v>
      </c>
      <c r="H36" s="19">
        <v>4.0</v>
      </c>
      <c r="I36" s="21" t="s">
        <v>660</v>
      </c>
      <c r="J36" s="22" t="s">
        <v>2547</v>
      </c>
    </row>
    <row r="37" ht="14.25" customHeight="1">
      <c r="A37" s="15" t="s">
        <v>2746</v>
      </c>
      <c r="B37" s="17">
        <v>45079.0</v>
      </c>
      <c r="C37" s="17">
        <f>B37 + RANDBETWEEN(1,5)</f>
        <v>45080</v>
      </c>
      <c r="D37" s="18">
        <v>14.0</v>
      </c>
      <c r="E37" s="19">
        <v>10.0</v>
      </c>
      <c r="F37" s="20">
        <v>30000.0</v>
      </c>
      <c r="G37" s="21" t="s">
        <v>2747</v>
      </c>
      <c r="H37" s="21"/>
      <c r="I37" s="21" t="s">
        <v>374</v>
      </c>
      <c r="J37" s="22" t="s">
        <v>2637</v>
      </c>
    </row>
    <row r="38" ht="14.25" customHeight="1">
      <c r="A38" s="15" t="s">
        <v>2748</v>
      </c>
      <c r="B38" s="16">
        <v>45079.0</v>
      </c>
      <c r="C38" s="17">
        <v>45084.0</v>
      </c>
      <c r="D38" s="18">
        <v>14.0</v>
      </c>
      <c r="E38" s="19">
        <v>4.0</v>
      </c>
      <c r="F38" s="20">
        <v>18000.0</v>
      </c>
      <c r="G38" s="21" t="s">
        <v>2711</v>
      </c>
      <c r="H38" s="19">
        <v>5.0</v>
      </c>
      <c r="I38" s="21" t="s">
        <v>34</v>
      </c>
      <c r="J38" s="22" t="s">
        <v>2607</v>
      </c>
    </row>
    <row r="39" ht="14.25" customHeight="1">
      <c r="A39" s="15" t="s">
        <v>2749</v>
      </c>
      <c r="B39" s="16">
        <v>45079.0</v>
      </c>
      <c r="C39" s="17">
        <v>45084.0</v>
      </c>
      <c r="D39" s="18">
        <v>9.0</v>
      </c>
      <c r="E39" s="19">
        <v>5.0</v>
      </c>
      <c r="F39" s="20">
        <v>20000.0</v>
      </c>
      <c r="G39" s="21" t="s">
        <v>2711</v>
      </c>
      <c r="H39" s="19">
        <v>3.0</v>
      </c>
      <c r="I39" s="21" t="s">
        <v>1129</v>
      </c>
      <c r="J39" s="22" t="s">
        <v>2667</v>
      </c>
    </row>
    <row r="40" ht="14.25" customHeight="1">
      <c r="A40" s="15" t="s">
        <v>2750</v>
      </c>
      <c r="B40" s="16">
        <v>45079.0</v>
      </c>
      <c r="C40" s="17">
        <v>45082.0</v>
      </c>
      <c r="D40" s="18">
        <v>10.0</v>
      </c>
      <c r="E40" s="19">
        <v>6.0</v>
      </c>
      <c r="F40" s="20">
        <v>22000.0</v>
      </c>
      <c r="G40" s="21" t="s">
        <v>2711</v>
      </c>
      <c r="H40" s="19">
        <v>5.0</v>
      </c>
      <c r="I40" s="21" t="s">
        <v>318</v>
      </c>
      <c r="J40" s="22" t="s">
        <v>2537</v>
      </c>
    </row>
    <row r="41" ht="14.25" customHeight="1">
      <c r="A41" s="15" t="s">
        <v>2751</v>
      </c>
      <c r="B41" s="16">
        <v>45079.0</v>
      </c>
      <c r="C41" s="17">
        <v>45080.0</v>
      </c>
      <c r="D41" s="18">
        <v>56.0</v>
      </c>
      <c r="E41" s="19">
        <v>12.0</v>
      </c>
      <c r="F41" s="20">
        <v>50800.0</v>
      </c>
      <c r="G41" s="21" t="s">
        <v>2711</v>
      </c>
      <c r="H41" s="19">
        <v>5.0</v>
      </c>
      <c r="I41" s="21" t="s">
        <v>585</v>
      </c>
      <c r="J41" s="22" t="s">
        <v>2657</v>
      </c>
    </row>
    <row r="42" ht="14.25" customHeight="1">
      <c r="A42" s="15" t="s">
        <v>2752</v>
      </c>
      <c r="B42" s="16">
        <v>45079.0</v>
      </c>
      <c r="C42" s="17">
        <v>45081.0</v>
      </c>
      <c r="D42" s="18">
        <v>6.0</v>
      </c>
      <c r="E42" s="19">
        <v>1.0</v>
      </c>
      <c r="F42" s="20">
        <v>12000.0</v>
      </c>
      <c r="G42" s="21" t="s">
        <v>2711</v>
      </c>
      <c r="H42" s="19">
        <v>4.0</v>
      </c>
      <c r="I42" s="21" t="s">
        <v>549</v>
      </c>
      <c r="J42" s="22" t="s">
        <v>2687</v>
      </c>
    </row>
    <row r="43" ht="14.25" customHeight="1">
      <c r="A43" s="15" t="s">
        <v>2753</v>
      </c>
      <c r="B43" s="16">
        <v>45079.0</v>
      </c>
      <c r="C43" s="17">
        <v>45080.0</v>
      </c>
      <c r="D43" s="18">
        <v>5.0</v>
      </c>
      <c r="E43" s="19">
        <v>3.0</v>
      </c>
      <c r="F43" s="20">
        <v>16000.0</v>
      </c>
      <c r="G43" s="21" t="s">
        <v>2711</v>
      </c>
      <c r="H43" s="19">
        <v>4.0</v>
      </c>
      <c r="I43" s="21" t="s">
        <v>926</v>
      </c>
      <c r="J43" s="22" t="s">
        <v>2572</v>
      </c>
    </row>
    <row r="44" ht="14.25" customHeight="1">
      <c r="A44" s="15" t="s">
        <v>2754</v>
      </c>
      <c r="B44" s="16">
        <v>45079.0</v>
      </c>
      <c r="C44" s="17">
        <v>45082.0</v>
      </c>
      <c r="D44" s="18">
        <v>3.0</v>
      </c>
      <c r="E44" s="19">
        <v>1.0</v>
      </c>
      <c r="F44" s="20">
        <v>12000.0</v>
      </c>
      <c r="G44" s="21" t="s">
        <v>2711</v>
      </c>
      <c r="H44" s="19">
        <v>4.0</v>
      </c>
      <c r="I44" s="21" t="s">
        <v>989</v>
      </c>
      <c r="J44" s="22" t="s">
        <v>2557</v>
      </c>
    </row>
    <row r="45" ht="14.25" customHeight="1">
      <c r="A45" s="15" t="s">
        <v>2755</v>
      </c>
      <c r="B45" s="16">
        <v>45079.0</v>
      </c>
      <c r="C45" s="17">
        <v>45082.0</v>
      </c>
      <c r="D45" s="18">
        <v>9.0</v>
      </c>
      <c r="E45" s="19">
        <v>5.0</v>
      </c>
      <c r="F45" s="20">
        <v>20000.0</v>
      </c>
      <c r="G45" s="21" t="s">
        <v>2711</v>
      </c>
      <c r="H45" s="19">
        <v>4.0</v>
      </c>
      <c r="I45" s="21" t="s">
        <v>1830</v>
      </c>
      <c r="J45" s="22" t="s">
        <v>2672</v>
      </c>
    </row>
    <row r="46" ht="14.25" customHeight="1">
      <c r="A46" s="15" t="s">
        <v>2756</v>
      </c>
      <c r="B46" s="16">
        <v>45079.0</v>
      </c>
      <c r="C46" s="17">
        <v>45082.0</v>
      </c>
      <c r="D46" s="18">
        <v>19.0</v>
      </c>
      <c r="E46" s="19">
        <v>5.0</v>
      </c>
      <c r="F46" s="20">
        <v>25700.0</v>
      </c>
      <c r="G46" s="21" t="s">
        <v>2711</v>
      </c>
      <c r="H46" s="19">
        <v>4.0</v>
      </c>
      <c r="I46" s="21" t="s">
        <v>1808</v>
      </c>
      <c r="J46" s="22" t="s">
        <v>2607</v>
      </c>
    </row>
    <row r="47" ht="14.25" customHeight="1">
      <c r="A47" s="15" t="s">
        <v>2757</v>
      </c>
      <c r="B47" s="16">
        <v>45079.0</v>
      </c>
      <c r="C47" s="17">
        <v>45080.0</v>
      </c>
      <c r="D47" s="18">
        <v>11.0</v>
      </c>
      <c r="E47" s="19">
        <v>6.0</v>
      </c>
      <c r="F47" s="20">
        <v>22000.0</v>
      </c>
      <c r="G47" s="21" t="s">
        <v>2711</v>
      </c>
      <c r="H47" s="19">
        <v>5.0</v>
      </c>
      <c r="I47" s="21" t="s">
        <v>270</v>
      </c>
      <c r="J47" s="22" t="s">
        <v>2662</v>
      </c>
    </row>
    <row r="48" ht="14.25" customHeight="1">
      <c r="A48" s="15" t="s">
        <v>2758</v>
      </c>
      <c r="B48" s="16">
        <v>45079.0</v>
      </c>
      <c r="C48" s="17">
        <v>45082.0</v>
      </c>
      <c r="D48" s="18">
        <v>1.0</v>
      </c>
      <c r="E48" s="19">
        <v>1.0</v>
      </c>
      <c r="F48" s="20">
        <v>12000.0</v>
      </c>
      <c r="G48" s="21" t="s">
        <v>2711</v>
      </c>
      <c r="H48" s="19">
        <v>3.0</v>
      </c>
      <c r="I48" s="21" t="s">
        <v>613</v>
      </c>
      <c r="J48" s="22" t="s">
        <v>2506</v>
      </c>
    </row>
    <row r="49" ht="14.25" customHeight="1">
      <c r="A49" s="15" t="s">
        <v>2759</v>
      </c>
      <c r="B49" s="16">
        <v>45079.0</v>
      </c>
      <c r="C49" s="17">
        <v>45083.0</v>
      </c>
      <c r="D49" s="18">
        <v>4.0</v>
      </c>
      <c r="E49" s="19">
        <v>1.0</v>
      </c>
      <c r="F49" s="20">
        <v>12000.0</v>
      </c>
      <c r="G49" s="21" t="s">
        <v>2711</v>
      </c>
      <c r="H49" s="19">
        <v>4.0</v>
      </c>
      <c r="I49" s="21" t="s">
        <v>478</v>
      </c>
      <c r="J49" s="22" t="s">
        <v>2652</v>
      </c>
    </row>
    <row r="50" ht="14.25" customHeight="1">
      <c r="A50" s="15" t="s">
        <v>2760</v>
      </c>
      <c r="B50" s="16">
        <v>45079.0</v>
      </c>
      <c r="C50" s="17">
        <v>45084.0</v>
      </c>
      <c r="D50" s="18">
        <v>11.0</v>
      </c>
      <c r="E50" s="19">
        <v>5.0</v>
      </c>
      <c r="F50" s="20">
        <v>20000.0</v>
      </c>
      <c r="G50" s="21" t="s">
        <v>2711</v>
      </c>
      <c r="H50" s="19">
        <v>4.0</v>
      </c>
      <c r="I50" s="21" t="s">
        <v>1394</v>
      </c>
      <c r="J50" s="22" t="s">
        <v>2662</v>
      </c>
    </row>
    <row r="51" ht="14.25" customHeight="1">
      <c r="A51" s="15" t="s">
        <v>2761</v>
      </c>
      <c r="B51" s="16">
        <v>45079.0</v>
      </c>
      <c r="C51" s="17">
        <v>45080.0</v>
      </c>
      <c r="D51" s="18">
        <v>5.0</v>
      </c>
      <c r="E51" s="19">
        <v>3.0</v>
      </c>
      <c r="F51" s="20">
        <v>16000.0</v>
      </c>
      <c r="G51" s="21" t="s">
        <v>2711</v>
      </c>
      <c r="H51" s="19">
        <v>5.0</v>
      </c>
      <c r="I51" s="21" t="s">
        <v>2196</v>
      </c>
      <c r="J51" s="22" t="s">
        <v>2692</v>
      </c>
    </row>
    <row r="52" ht="14.25" customHeight="1">
      <c r="A52" s="15" t="s">
        <v>2762</v>
      </c>
      <c r="B52" s="16">
        <v>45079.0</v>
      </c>
      <c r="C52" s="17">
        <v>45083.0</v>
      </c>
      <c r="D52" s="18">
        <v>5.0</v>
      </c>
      <c r="E52" s="19">
        <v>3.0</v>
      </c>
      <c r="F52" s="20">
        <v>16000.0</v>
      </c>
      <c r="G52" s="21" t="s">
        <v>2711</v>
      </c>
      <c r="H52" s="19">
        <v>4.0</v>
      </c>
      <c r="I52" s="21" t="s">
        <v>1894</v>
      </c>
      <c r="J52" s="22" t="s">
        <v>2677</v>
      </c>
    </row>
    <row r="53" ht="14.25" customHeight="1">
      <c r="A53" s="15" t="s">
        <v>2763</v>
      </c>
      <c r="B53" s="16">
        <v>45079.0</v>
      </c>
      <c r="C53" s="17">
        <v>45082.0</v>
      </c>
      <c r="D53" s="18">
        <v>1.0</v>
      </c>
      <c r="E53" s="19">
        <v>1.0</v>
      </c>
      <c r="F53" s="20">
        <v>12000.0</v>
      </c>
      <c r="G53" s="21" t="s">
        <v>2711</v>
      </c>
      <c r="H53" s="19">
        <v>5.0</v>
      </c>
      <c r="I53" s="21" t="s">
        <v>2084</v>
      </c>
      <c r="J53" s="22" t="s">
        <v>2516</v>
      </c>
    </row>
    <row r="54" ht="14.25" customHeight="1">
      <c r="A54" s="15" t="s">
        <v>2764</v>
      </c>
      <c r="B54" s="16">
        <v>45079.0</v>
      </c>
      <c r="C54" s="17">
        <v>45083.0</v>
      </c>
      <c r="D54" s="18">
        <v>15.0</v>
      </c>
      <c r="E54" s="19">
        <v>5.0</v>
      </c>
      <c r="F54" s="20">
        <v>24500.0</v>
      </c>
      <c r="G54" s="21" t="s">
        <v>2711</v>
      </c>
      <c r="H54" s="19">
        <v>5.0</v>
      </c>
      <c r="I54" s="21" t="s">
        <v>518</v>
      </c>
      <c r="J54" s="22" t="s">
        <v>2662</v>
      </c>
    </row>
    <row r="55" ht="14.25" customHeight="1">
      <c r="A55" s="15" t="s">
        <v>2765</v>
      </c>
      <c r="B55" s="16">
        <v>45079.0</v>
      </c>
      <c r="C55" s="17">
        <v>45084.0</v>
      </c>
      <c r="D55" s="18">
        <v>1.0</v>
      </c>
      <c r="E55" s="19">
        <v>3.0</v>
      </c>
      <c r="F55" s="20">
        <v>16000.0</v>
      </c>
      <c r="G55" s="21" t="s">
        <v>2711</v>
      </c>
      <c r="H55" s="19">
        <v>4.0</v>
      </c>
      <c r="I55" s="21" t="s">
        <v>498</v>
      </c>
      <c r="J55" s="22" t="s">
        <v>2642</v>
      </c>
    </row>
    <row r="56" ht="14.25" customHeight="1">
      <c r="A56" s="15" t="s">
        <v>2766</v>
      </c>
      <c r="B56" s="16">
        <v>45079.0</v>
      </c>
      <c r="C56" s="17">
        <v>45081.0</v>
      </c>
      <c r="D56" s="18">
        <v>49.0</v>
      </c>
      <c r="E56" s="19">
        <v>15.0</v>
      </c>
      <c r="F56" s="20">
        <v>54700.0</v>
      </c>
      <c r="G56" s="21" t="s">
        <v>2711</v>
      </c>
      <c r="H56" s="19">
        <v>5.0</v>
      </c>
      <c r="I56" s="21" t="s">
        <v>38</v>
      </c>
      <c r="J56" s="26" t="s">
        <v>2657</v>
      </c>
    </row>
    <row r="57" ht="14.25" customHeight="1">
      <c r="A57" s="15" t="s">
        <v>2767</v>
      </c>
      <c r="B57" s="16">
        <v>45079.0</v>
      </c>
      <c r="C57" s="17">
        <v>45081.0</v>
      </c>
      <c r="D57" s="18">
        <v>4.0</v>
      </c>
      <c r="E57" s="19">
        <v>2.0</v>
      </c>
      <c r="F57" s="20">
        <v>14000.0</v>
      </c>
      <c r="G57" s="21" t="s">
        <v>2711</v>
      </c>
      <c r="H57" s="19">
        <v>3.0</v>
      </c>
      <c r="I57" s="21" t="s">
        <v>2240</v>
      </c>
      <c r="J57" s="22" t="s">
        <v>2622</v>
      </c>
    </row>
    <row r="58" ht="14.25" customHeight="1">
      <c r="A58" s="15" t="s">
        <v>2768</v>
      </c>
      <c r="B58" s="16">
        <v>45079.0</v>
      </c>
      <c r="C58" s="17">
        <v>45082.0</v>
      </c>
      <c r="D58" s="18">
        <v>65.0</v>
      </c>
      <c r="E58" s="19">
        <v>24.0</v>
      </c>
      <c r="F58" s="20">
        <v>77500.0</v>
      </c>
      <c r="G58" s="21" t="s">
        <v>2711</v>
      </c>
      <c r="H58" s="19">
        <v>3.0</v>
      </c>
      <c r="I58" s="21" t="s">
        <v>146</v>
      </c>
      <c r="J58" s="26" t="s">
        <v>2657</v>
      </c>
    </row>
    <row r="59" ht="14.25" customHeight="1">
      <c r="A59" s="15" t="s">
        <v>2769</v>
      </c>
      <c r="B59" s="16">
        <v>45079.0</v>
      </c>
      <c r="C59" s="17">
        <v>45083.0</v>
      </c>
      <c r="D59" s="18">
        <v>5.0</v>
      </c>
      <c r="E59" s="19">
        <v>2.0</v>
      </c>
      <c r="F59" s="20">
        <v>14000.0</v>
      </c>
      <c r="G59" s="21" t="s">
        <v>2711</v>
      </c>
      <c r="H59" s="19">
        <v>5.0</v>
      </c>
      <c r="I59" s="21" t="s">
        <v>2112</v>
      </c>
      <c r="J59" s="22" t="s">
        <v>2516</v>
      </c>
    </row>
    <row r="60" ht="14.25" customHeight="1">
      <c r="A60" s="15" t="s">
        <v>2770</v>
      </c>
      <c r="B60" s="16">
        <v>45079.0</v>
      </c>
      <c r="C60" s="17">
        <v>45084.0</v>
      </c>
      <c r="D60" s="18">
        <v>38.0</v>
      </c>
      <c r="E60" s="19">
        <v>17.0</v>
      </c>
      <c r="F60" s="20">
        <v>55400.0</v>
      </c>
      <c r="G60" s="21" t="s">
        <v>2711</v>
      </c>
      <c r="H60" s="19">
        <v>5.0</v>
      </c>
      <c r="I60" s="21" t="s">
        <v>601</v>
      </c>
      <c r="J60" s="26" t="s">
        <v>2657</v>
      </c>
    </row>
    <row r="61" ht="14.25" customHeight="1">
      <c r="A61" s="15" t="s">
        <v>2771</v>
      </c>
      <c r="B61" s="16">
        <v>45079.0</v>
      </c>
      <c r="C61" s="17">
        <v>45082.0</v>
      </c>
      <c r="D61" s="18">
        <v>5.0</v>
      </c>
      <c r="E61" s="19">
        <v>1.0</v>
      </c>
      <c r="F61" s="20">
        <v>12000.0</v>
      </c>
      <c r="G61" s="21" t="s">
        <v>2711</v>
      </c>
      <c r="H61" s="19">
        <v>3.0</v>
      </c>
      <c r="I61" s="21" t="s">
        <v>1363</v>
      </c>
      <c r="J61" s="22" t="s">
        <v>2647</v>
      </c>
    </row>
    <row r="62" ht="14.25" customHeight="1">
      <c r="A62" s="15" t="s">
        <v>2772</v>
      </c>
      <c r="B62" s="16">
        <v>45079.0</v>
      </c>
      <c r="C62" s="17">
        <v>45080.0</v>
      </c>
      <c r="D62" s="18">
        <v>39.0</v>
      </c>
      <c r="E62" s="19">
        <v>17.0</v>
      </c>
      <c r="F62" s="20">
        <v>55700.0</v>
      </c>
      <c r="G62" s="21" t="s">
        <v>2711</v>
      </c>
      <c r="H62" s="19">
        <v>4.0</v>
      </c>
      <c r="I62" s="21" t="s">
        <v>2322</v>
      </c>
      <c r="J62" s="26" t="s">
        <v>2657</v>
      </c>
    </row>
    <row r="63" ht="14.25" customHeight="1">
      <c r="A63" s="15" t="s">
        <v>2773</v>
      </c>
      <c r="B63" s="16">
        <v>45079.0</v>
      </c>
      <c r="C63" s="17">
        <v>45082.0</v>
      </c>
      <c r="D63" s="18">
        <v>1.0</v>
      </c>
      <c r="E63" s="19">
        <v>2.0</v>
      </c>
      <c r="F63" s="20">
        <v>14000.0</v>
      </c>
      <c r="G63" s="21" t="s">
        <v>2711</v>
      </c>
      <c r="H63" s="19">
        <v>3.0</v>
      </c>
      <c r="I63" s="21" t="s">
        <v>676</v>
      </c>
      <c r="J63" s="22" t="s">
        <v>2582</v>
      </c>
      <c r="K63" s="27"/>
    </row>
    <row r="64" ht="14.25" customHeight="1">
      <c r="A64" s="15" t="s">
        <v>2774</v>
      </c>
      <c r="B64" s="16">
        <v>45079.0</v>
      </c>
      <c r="C64" s="17">
        <v>45084.0</v>
      </c>
      <c r="D64" s="18">
        <v>3.0</v>
      </c>
      <c r="E64" s="19">
        <v>2.0</v>
      </c>
      <c r="F64" s="20">
        <v>14000.0</v>
      </c>
      <c r="G64" s="21" t="s">
        <v>2711</v>
      </c>
      <c r="H64" s="19">
        <v>5.0</v>
      </c>
      <c r="I64" s="21" t="s">
        <v>692</v>
      </c>
      <c r="J64" s="22" t="s">
        <v>2582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</row>
    <row r="65" ht="14.25" customHeight="1">
      <c r="A65" s="15" t="s">
        <v>2775</v>
      </c>
      <c r="B65" s="16">
        <v>45079.0</v>
      </c>
      <c r="C65" s="17">
        <v>45080.0</v>
      </c>
      <c r="D65" s="18">
        <v>2.0</v>
      </c>
      <c r="E65" s="19">
        <v>3.0</v>
      </c>
      <c r="F65" s="20">
        <v>16000.0</v>
      </c>
      <c r="G65" s="21" t="s">
        <v>2711</v>
      </c>
      <c r="H65" s="19">
        <v>4.0</v>
      </c>
      <c r="I65" s="21" t="s">
        <v>803</v>
      </c>
      <c r="J65" s="22" t="s">
        <v>2577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</row>
    <row r="66" ht="14.25" customHeight="1">
      <c r="A66" s="15" t="s">
        <v>2776</v>
      </c>
      <c r="B66" s="16">
        <v>45079.0</v>
      </c>
      <c r="C66" s="17">
        <v>45080.0</v>
      </c>
      <c r="D66" s="18">
        <v>11.0</v>
      </c>
      <c r="E66" s="19">
        <v>10.0</v>
      </c>
      <c r="F66" s="20">
        <v>30000.0</v>
      </c>
      <c r="G66" s="21" t="s">
        <v>2711</v>
      </c>
      <c r="H66" s="19">
        <v>4.0</v>
      </c>
      <c r="I66" s="21" t="s">
        <v>1788</v>
      </c>
      <c r="J66" s="22" t="s">
        <v>2672</v>
      </c>
    </row>
    <row r="67" ht="14.25" customHeight="1">
      <c r="A67" s="15" t="s">
        <v>2777</v>
      </c>
      <c r="B67" s="16">
        <v>45079.0</v>
      </c>
      <c r="C67" s="17">
        <v>45080.0</v>
      </c>
      <c r="D67" s="18">
        <v>1.0</v>
      </c>
      <c r="E67" s="19">
        <v>2.0</v>
      </c>
      <c r="F67" s="20">
        <v>14000.0</v>
      </c>
      <c r="G67" s="21" t="s">
        <v>2711</v>
      </c>
      <c r="H67" s="19">
        <v>5.0</v>
      </c>
      <c r="I67" s="21" t="s">
        <v>2461</v>
      </c>
      <c r="J67" s="22" t="s">
        <v>2592</v>
      </c>
    </row>
    <row r="68" ht="14.25" customHeight="1">
      <c r="A68" s="15" t="s">
        <v>2778</v>
      </c>
      <c r="B68" s="16">
        <v>45079.0</v>
      </c>
      <c r="C68" s="17">
        <v>45081.0</v>
      </c>
      <c r="D68" s="18">
        <v>2.0</v>
      </c>
      <c r="E68" s="19">
        <v>1.0</v>
      </c>
      <c r="F68" s="20">
        <v>12000.0</v>
      </c>
      <c r="G68" s="21" t="s">
        <v>2711</v>
      </c>
      <c r="H68" s="19">
        <v>4.0</v>
      </c>
      <c r="I68" s="21" t="s">
        <v>514</v>
      </c>
      <c r="J68" s="22" t="s">
        <v>2692</v>
      </c>
    </row>
    <row r="69" ht="14.25" customHeight="1">
      <c r="A69" s="15" t="s">
        <v>2779</v>
      </c>
      <c r="B69" s="16">
        <v>45079.0</v>
      </c>
      <c r="C69" s="17">
        <v>45080.0</v>
      </c>
      <c r="D69" s="18">
        <v>8.0</v>
      </c>
      <c r="E69" s="19">
        <v>8.0</v>
      </c>
      <c r="F69" s="20">
        <v>26000.0</v>
      </c>
      <c r="G69" s="21" t="s">
        <v>2711</v>
      </c>
      <c r="H69" s="19">
        <v>5.0</v>
      </c>
      <c r="I69" s="21" t="s">
        <v>318</v>
      </c>
      <c r="J69" s="22" t="s">
        <v>2484</v>
      </c>
    </row>
    <row r="70" ht="14.25" customHeight="1">
      <c r="A70" s="15" t="s">
        <v>2780</v>
      </c>
      <c r="B70" s="16">
        <v>45079.0</v>
      </c>
      <c r="C70" s="17">
        <v>45083.0</v>
      </c>
      <c r="D70" s="18">
        <v>8.0</v>
      </c>
      <c r="E70" s="19">
        <v>8.0</v>
      </c>
      <c r="F70" s="20">
        <v>26000.0</v>
      </c>
      <c r="G70" s="21" t="s">
        <v>2711</v>
      </c>
      <c r="H70" s="19">
        <v>4.0</v>
      </c>
      <c r="I70" s="21" t="s">
        <v>2322</v>
      </c>
      <c r="J70" s="22" t="s">
        <v>2672</v>
      </c>
    </row>
    <row r="71" ht="14.25" customHeight="1">
      <c r="A71" s="15" t="s">
        <v>2781</v>
      </c>
      <c r="B71" s="16">
        <v>45079.0</v>
      </c>
      <c r="C71" s="17">
        <v>45080.0</v>
      </c>
      <c r="D71" s="18">
        <v>5.0</v>
      </c>
      <c r="E71" s="19">
        <v>2.0</v>
      </c>
      <c r="F71" s="20">
        <v>14000.0</v>
      </c>
      <c r="G71" s="21" t="s">
        <v>2711</v>
      </c>
      <c r="H71" s="19">
        <v>5.0</v>
      </c>
      <c r="I71" s="21" t="s">
        <v>1949</v>
      </c>
      <c r="J71" s="22" t="s">
        <v>2557</v>
      </c>
    </row>
    <row r="72" ht="14.25" customHeight="1">
      <c r="A72" s="15" t="s">
        <v>2782</v>
      </c>
      <c r="B72" s="16">
        <v>45079.0</v>
      </c>
      <c r="C72" s="17">
        <v>45080.0</v>
      </c>
      <c r="D72" s="18">
        <v>2.0</v>
      </c>
      <c r="E72" s="19">
        <v>2.0</v>
      </c>
      <c r="F72" s="20">
        <v>14000.0</v>
      </c>
      <c r="G72" s="24" t="s">
        <v>2711</v>
      </c>
      <c r="H72" s="19">
        <v>4.0</v>
      </c>
      <c r="I72" s="21" t="s">
        <v>767</v>
      </c>
      <c r="J72" s="22" t="s">
        <v>2632</v>
      </c>
    </row>
    <row r="73" ht="14.25" customHeight="1">
      <c r="A73" s="15" t="s">
        <v>2783</v>
      </c>
      <c r="B73" s="16">
        <v>45079.0</v>
      </c>
      <c r="C73" s="17">
        <v>45084.0</v>
      </c>
      <c r="D73" s="18">
        <v>3.0</v>
      </c>
      <c r="E73" s="19">
        <v>3.0</v>
      </c>
      <c r="F73" s="20">
        <v>16000.0</v>
      </c>
      <c r="G73" s="21" t="s">
        <v>2711</v>
      </c>
      <c r="H73" s="19">
        <v>5.0</v>
      </c>
      <c r="I73" s="21" t="s">
        <v>628</v>
      </c>
      <c r="J73" s="22" t="s">
        <v>2557</v>
      </c>
    </row>
    <row r="74" ht="14.25" customHeight="1">
      <c r="A74" s="15" t="s">
        <v>2784</v>
      </c>
      <c r="B74" s="16">
        <v>45079.0</v>
      </c>
      <c r="C74" s="17">
        <v>45080.0</v>
      </c>
      <c r="D74" s="18">
        <v>4.0</v>
      </c>
      <c r="E74" s="19">
        <v>3.0</v>
      </c>
      <c r="F74" s="20">
        <v>16000.0</v>
      </c>
      <c r="G74" s="21" t="s">
        <v>2711</v>
      </c>
      <c r="H74" s="19">
        <v>4.0</v>
      </c>
      <c r="I74" s="21" t="s">
        <v>1228</v>
      </c>
      <c r="J74" s="22" t="s">
        <v>2617</v>
      </c>
    </row>
    <row r="75" ht="14.25" customHeight="1">
      <c r="A75" s="15" t="s">
        <v>2785</v>
      </c>
      <c r="B75" s="17">
        <v>45080.0</v>
      </c>
      <c r="C75" s="17">
        <f t="shared" ref="C75:C76" si="1">B75 + RANDBETWEEN(1,5)</f>
        <v>45082</v>
      </c>
      <c r="D75" s="18">
        <v>3.0</v>
      </c>
      <c r="E75" s="19">
        <v>2.0</v>
      </c>
      <c r="F75" s="20">
        <v>14000.0</v>
      </c>
      <c r="G75" s="21" t="s">
        <v>2711</v>
      </c>
      <c r="H75" s="19">
        <v>5.0</v>
      </c>
      <c r="I75" s="21" t="s">
        <v>2144</v>
      </c>
      <c r="J75" s="22" t="s">
        <v>2567</v>
      </c>
    </row>
    <row r="76" ht="14.25" customHeight="1">
      <c r="A76" s="15" t="s">
        <v>2786</v>
      </c>
      <c r="B76" s="17">
        <v>45080.0</v>
      </c>
      <c r="C76" s="17">
        <f t="shared" si="1"/>
        <v>45085</v>
      </c>
      <c r="D76" s="18">
        <v>5.0</v>
      </c>
      <c r="E76" s="19">
        <v>3.0</v>
      </c>
      <c r="F76" s="20">
        <v>16000.0</v>
      </c>
      <c r="G76" s="21" t="s">
        <v>2711</v>
      </c>
      <c r="H76" s="19">
        <v>4.0</v>
      </c>
      <c r="I76" s="21" t="s">
        <v>2053</v>
      </c>
      <c r="J76" s="22" t="s">
        <v>2582</v>
      </c>
    </row>
    <row r="77" ht="14.25" customHeight="1">
      <c r="A77" s="15" t="s">
        <v>2787</v>
      </c>
      <c r="B77" s="16">
        <v>45080.0</v>
      </c>
      <c r="C77" s="17">
        <v>45082.0</v>
      </c>
      <c r="D77" s="18">
        <v>2.0</v>
      </c>
      <c r="E77" s="19">
        <v>3.0</v>
      </c>
      <c r="F77" s="20">
        <v>16000.0</v>
      </c>
      <c r="G77" s="21" t="s">
        <v>2711</v>
      </c>
      <c r="H77" s="19">
        <v>4.0</v>
      </c>
      <c r="I77" s="21" t="s">
        <v>1378</v>
      </c>
      <c r="J77" s="22" t="s">
        <v>2602</v>
      </c>
    </row>
    <row r="78" ht="14.25" customHeight="1">
      <c r="A78" s="15" t="s">
        <v>2788</v>
      </c>
      <c r="B78" s="16">
        <v>45080.0</v>
      </c>
      <c r="C78" s="17">
        <v>45081.0</v>
      </c>
      <c r="D78" s="18">
        <v>5.0</v>
      </c>
      <c r="E78" s="19">
        <v>1.0</v>
      </c>
      <c r="F78" s="20">
        <v>12000.0</v>
      </c>
      <c r="G78" s="21" t="s">
        <v>2711</v>
      </c>
      <c r="H78" s="19">
        <v>4.0</v>
      </c>
      <c r="I78" s="21" t="s">
        <v>950</v>
      </c>
      <c r="J78" s="22" t="s">
        <v>2567</v>
      </c>
    </row>
    <row r="79" ht="14.25" customHeight="1">
      <c r="A79" s="15" t="s">
        <v>2789</v>
      </c>
      <c r="B79" s="16">
        <v>45080.0</v>
      </c>
      <c r="C79" s="17">
        <v>45081.0</v>
      </c>
      <c r="D79" s="18">
        <v>5.0</v>
      </c>
      <c r="E79" s="19">
        <v>2.0</v>
      </c>
      <c r="F79" s="20">
        <v>14000.0</v>
      </c>
      <c r="G79" s="21" t="s">
        <v>2711</v>
      </c>
      <c r="H79" s="19">
        <v>5.0</v>
      </c>
      <c r="I79" s="21" t="s">
        <v>1101</v>
      </c>
      <c r="J79" s="22" t="s">
        <v>2617</v>
      </c>
    </row>
    <row r="80" ht="14.25" customHeight="1">
      <c r="A80" s="15" t="s">
        <v>2790</v>
      </c>
      <c r="B80" s="16">
        <v>45080.0</v>
      </c>
      <c r="C80" s="17">
        <v>45081.0</v>
      </c>
      <c r="D80" s="18">
        <v>22.0</v>
      </c>
      <c r="E80" s="19">
        <v>19.0</v>
      </c>
      <c r="F80" s="20">
        <v>54600.0</v>
      </c>
      <c r="G80" s="21" t="s">
        <v>2711</v>
      </c>
      <c r="H80" s="19">
        <v>4.0</v>
      </c>
      <c r="I80" s="21" t="s">
        <v>807</v>
      </c>
      <c r="J80" s="22" t="s">
        <v>2521</v>
      </c>
    </row>
    <row r="81" ht="14.25" customHeight="1">
      <c r="A81" s="15" t="s">
        <v>2791</v>
      </c>
      <c r="B81" s="16">
        <v>45080.0</v>
      </c>
      <c r="C81" s="17">
        <v>45082.0</v>
      </c>
      <c r="D81" s="18">
        <v>76.0</v>
      </c>
      <c r="E81" s="19">
        <v>22.0</v>
      </c>
      <c r="F81" s="20">
        <v>76800.0</v>
      </c>
      <c r="G81" s="24" t="s">
        <v>2711</v>
      </c>
      <c r="H81" s="19">
        <v>4.0</v>
      </c>
      <c r="I81" s="21" t="s">
        <v>2473</v>
      </c>
      <c r="J81" s="22" t="s">
        <v>2521</v>
      </c>
    </row>
    <row r="82" ht="14.25" customHeight="1">
      <c r="A82" s="15" t="s">
        <v>2792</v>
      </c>
      <c r="B82" s="16">
        <v>45080.0</v>
      </c>
      <c r="C82" s="17">
        <v>45083.0</v>
      </c>
      <c r="D82" s="18">
        <v>34.0</v>
      </c>
      <c r="E82" s="19">
        <v>22.0</v>
      </c>
      <c r="F82" s="20">
        <v>64200.0</v>
      </c>
      <c r="G82" s="21" t="s">
        <v>2711</v>
      </c>
      <c r="H82" s="19">
        <v>4.0</v>
      </c>
      <c r="I82" s="21" t="s">
        <v>1406</v>
      </c>
      <c r="J82" s="22" t="s">
        <v>2521</v>
      </c>
    </row>
    <row r="83" ht="14.25" customHeight="1">
      <c r="A83" s="15" t="s">
        <v>2793</v>
      </c>
      <c r="B83" s="16">
        <v>45080.0</v>
      </c>
      <c r="C83" s="17">
        <v>45085.0</v>
      </c>
      <c r="D83" s="18">
        <v>22.0</v>
      </c>
      <c r="E83" s="19">
        <v>11.0</v>
      </c>
      <c r="F83" s="20">
        <v>38600.0</v>
      </c>
      <c r="G83" s="21" t="s">
        <v>2747</v>
      </c>
      <c r="H83" s="21"/>
      <c r="I83" s="21" t="s">
        <v>474</v>
      </c>
      <c r="J83" s="22" t="s">
        <v>2521</v>
      </c>
    </row>
    <row r="84" ht="14.25" customHeight="1">
      <c r="A84" s="15" t="s">
        <v>2794</v>
      </c>
      <c r="B84" s="16">
        <v>45080.0</v>
      </c>
      <c r="C84" s="17">
        <v>45081.0</v>
      </c>
      <c r="D84" s="18">
        <v>48.0</v>
      </c>
      <c r="E84" s="19">
        <v>20.0</v>
      </c>
      <c r="F84" s="20">
        <v>64400.0</v>
      </c>
      <c r="G84" s="21" t="s">
        <v>2711</v>
      </c>
      <c r="H84" s="19">
        <v>4.0</v>
      </c>
      <c r="I84" s="21" t="s">
        <v>1949</v>
      </c>
      <c r="J84" s="22" t="s">
        <v>2521</v>
      </c>
    </row>
    <row r="85" ht="14.25" customHeight="1">
      <c r="A85" s="15" t="s">
        <v>2795</v>
      </c>
      <c r="B85" s="16">
        <v>45080.0</v>
      </c>
      <c r="C85" s="17">
        <v>45082.0</v>
      </c>
      <c r="D85" s="18">
        <v>28.0</v>
      </c>
      <c r="E85" s="19">
        <v>24.0</v>
      </c>
      <c r="F85" s="20">
        <v>66400.0</v>
      </c>
      <c r="G85" s="21" t="s">
        <v>2711</v>
      </c>
      <c r="H85" s="19">
        <v>4.0</v>
      </c>
      <c r="I85" s="21" t="s">
        <v>1374</v>
      </c>
      <c r="J85" s="22" t="s">
        <v>2521</v>
      </c>
    </row>
    <row r="86" ht="14.25" customHeight="1">
      <c r="A86" s="15" t="s">
        <v>2796</v>
      </c>
      <c r="B86" s="16">
        <v>45080.0</v>
      </c>
      <c r="C86" s="17">
        <v>45081.0</v>
      </c>
      <c r="D86" s="18">
        <v>29.0</v>
      </c>
      <c r="E86" s="19">
        <v>19.0</v>
      </c>
      <c r="F86" s="20">
        <v>56700.0</v>
      </c>
      <c r="G86" s="21" t="s">
        <v>2711</v>
      </c>
      <c r="H86" s="19">
        <v>4.0</v>
      </c>
      <c r="I86" s="21" t="s">
        <v>613</v>
      </c>
      <c r="J86" s="22" t="s">
        <v>2521</v>
      </c>
    </row>
    <row r="87" ht="14.25" customHeight="1">
      <c r="A87" s="15" t="s">
        <v>2797</v>
      </c>
      <c r="B87" s="16">
        <v>45080.0</v>
      </c>
      <c r="C87" s="17">
        <v>45082.0</v>
      </c>
      <c r="D87" s="18">
        <v>21.0</v>
      </c>
      <c r="E87" s="19">
        <v>26.0</v>
      </c>
      <c r="F87" s="20">
        <v>68300.0</v>
      </c>
      <c r="G87" s="21" t="s">
        <v>2711</v>
      </c>
      <c r="H87" s="19">
        <v>5.0</v>
      </c>
      <c r="I87" s="21" t="s">
        <v>601</v>
      </c>
      <c r="J87" s="22" t="s">
        <v>2521</v>
      </c>
    </row>
    <row r="88" ht="14.25" customHeight="1">
      <c r="A88" s="15" t="s">
        <v>2798</v>
      </c>
      <c r="B88" s="16">
        <v>45080.0</v>
      </c>
      <c r="C88" s="17">
        <v>45084.0</v>
      </c>
      <c r="D88" s="18">
        <v>6.0</v>
      </c>
      <c r="E88" s="19">
        <v>1.0</v>
      </c>
      <c r="F88" s="20">
        <v>12000.0</v>
      </c>
      <c r="G88" s="21" t="s">
        <v>2711</v>
      </c>
      <c r="H88" s="19">
        <v>5.0</v>
      </c>
      <c r="I88" s="21" t="s">
        <v>162</v>
      </c>
      <c r="J88" s="22" t="s">
        <v>2506</v>
      </c>
    </row>
    <row r="89" ht="14.25" customHeight="1">
      <c r="A89" s="15" t="s">
        <v>2799</v>
      </c>
      <c r="B89" s="16">
        <v>45080.0</v>
      </c>
      <c r="C89" s="17">
        <v>45084.0</v>
      </c>
      <c r="D89" s="18">
        <v>15.0</v>
      </c>
      <c r="E89" s="19">
        <v>6.0</v>
      </c>
      <c r="F89" s="20">
        <v>26500.0</v>
      </c>
      <c r="G89" s="21" t="s">
        <v>2711</v>
      </c>
      <c r="H89" s="19">
        <v>5.0</v>
      </c>
      <c r="I89" s="21" t="s">
        <v>2045</v>
      </c>
      <c r="J89" s="22" t="s">
        <v>2537</v>
      </c>
      <c r="K89" s="28"/>
    </row>
    <row r="90" ht="14.25" customHeight="1">
      <c r="A90" s="15" t="s">
        <v>2800</v>
      </c>
      <c r="B90" s="16">
        <v>45080.0</v>
      </c>
      <c r="C90" s="17">
        <v>45084.0</v>
      </c>
      <c r="D90" s="18">
        <v>13.0</v>
      </c>
      <c r="E90" s="19">
        <v>6.0</v>
      </c>
      <c r="F90" s="20">
        <v>22000.0</v>
      </c>
      <c r="G90" s="24" t="s">
        <v>2711</v>
      </c>
      <c r="H90" s="19">
        <v>5.0</v>
      </c>
      <c r="I90" s="21" t="s">
        <v>1378</v>
      </c>
      <c r="J90" s="22" t="s">
        <v>2484</v>
      </c>
    </row>
    <row r="91" ht="14.25" customHeight="1">
      <c r="A91" s="15" t="s">
        <v>2801</v>
      </c>
      <c r="B91" s="16">
        <v>45080.0</v>
      </c>
      <c r="C91" s="17">
        <v>45084.0</v>
      </c>
      <c r="D91" s="18">
        <v>3.0</v>
      </c>
      <c r="E91" s="19">
        <v>3.0</v>
      </c>
      <c r="F91" s="20">
        <v>16000.0</v>
      </c>
      <c r="G91" s="24" t="s">
        <v>2711</v>
      </c>
      <c r="H91" s="19">
        <v>5.0</v>
      </c>
      <c r="I91" s="21" t="s">
        <v>1910</v>
      </c>
      <c r="J91" s="22" t="s">
        <v>2516</v>
      </c>
    </row>
    <row r="92" ht="14.25" customHeight="1">
      <c r="A92" s="15" t="s">
        <v>2802</v>
      </c>
      <c r="B92" s="16">
        <v>45080.0</v>
      </c>
      <c r="C92" s="17">
        <v>45085.0</v>
      </c>
      <c r="D92" s="18">
        <v>1.0</v>
      </c>
      <c r="E92" s="19">
        <v>3.0</v>
      </c>
      <c r="F92" s="20">
        <v>16000.0</v>
      </c>
      <c r="G92" s="21" t="s">
        <v>2711</v>
      </c>
      <c r="H92" s="19">
        <v>5.0</v>
      </c>
      <c r="I92" s="21" t="s">
        <v>242</v>
      </c>
      <c r="J92" s="22" t="s">
        <v>2577</v>
      </c>
    </row>
    <row r="93" ht="14.25" customHeight="1">
      <c r="A93" s="15" t="s">
        <v>2803</v>
      </c>
      <c r="B93" s="16">
        <v>45080.0</v>
      </c>
      <c r="C93" s="17">
        <v>45081.0</v>
      </c>
      <c r="D93" s="18">
        <v>5.0</v>
      </c>
      <c r="E93" s="19">
        <v>3.0</v>
      </c>
      <c r="F93" s="20">
        <v>16000.0</v>
      </c>
      <c r="G93" s="21" t="s">
        <v>2711</v>
      </c>
      <c r="H93" s="19">
        <v>5.0</v>
      </c>
      <c r="I93" s="21" t="s">
        <v>605</v>
      </c>
      <c r="J93" s="22" t="s">
        <v>2572</v>
      </c>
    </row>
    <row r="94" ht="14.25" customHeight="1">
      <c r="A94" s="15" t="s">
        <v>2804</v>
      </c>
      <c r="B94" s="16">
        <v>45080.0</v>
      </c>
      <c r="C94" s="17">
        <v>45083.0</v>
      </c>
      <c r="D94" s="18">
        <v>9.0</v>
      </c>
      <c r="E94" s="19">
        <v>6.0</v>
      </c>
      <c r="F94" s="20">
        <v>22000.0</v>
      </c>
      <c r="G94" s="24" t="s">
        <v>2711</v>
      </c>
      <c r="H94" s="19">
        <v>3.0</v>
      </c>
      <c r="I94" s="21" t="s">
        <v>2330</v>
      </c>
      <c r="J94" s="22" t="s">
        <v>2627</v>
      </c>
    </row>
    <row r="95" ht="14.25" customHeight="1">
      <c r="A95" s="15" t="s">
        <v>2805</v>
      </c>
      <c r="B95" s="16">
        <v>45080.0</v>
      </c>
      <c r="C95" s="17">
        <v>45085.0</v>
      </c>
      <c r="D95" s="18">
        <v>11.0</v>
      </c>
      <c r="E95" s="19">
        <v>9.0</v>
      </c>
      <c r="F95" s="20">
        <v>28000.0</v>
      </c>
      <c r="G95" s="21" t="s">
        <v>2711</v>
      </c>
      <c r="H95" s="19">
        <v>3.0</v>
      </c>
      <c r="I95" s="21" t="s">
        <v>262</v>
      </c>
      <c r="J95" s="22" t="s">
        <v>2587</v>
      </c>
    </row>
    <row r="96" ht="14.25" customHeight="1">
      <c r="A96" s="15" t="s">
        <v>2806</v>
      </c>
      <c r="B96" s="16">
        <v>45080.0</v>
      </c>
      <c r="C96" s="17">
        <v>45085.0</v>
      </c>
      <c r="D96" s="18">
        <v>5.0</v>
      </c>
      <c r="E96" s="19">
        <v>2.0</v>
      </c>
      <c r="F96" s="20">
        <v>14000.0</v>
      </c>
      <c r="G96" s="24" t="s">
        <v>2711</v>
      </c>
      <c r="H96" s="19">
        <v>5.0</v>
      </c>
      <c r="I96" s="21" t="s">
        <v>482</v>
      </c>
      <c r="J96" s="22" t="s">
        <v>2677</v>
      </c>
    </row>
    <row r="97" ht="14.25" customHeight="1">
      <c r="A97" s="15" t="s">
        <v>2807</v>
      </c>
      <c r="B97" s="16">
        <v>45080.0</v>
      </c>
      <c r="C97" s="17">
        <v>45082.0</v>
      </c>
      <c r="D97" s="18">
        <v>3.0</v>
      </c>
      <c r="E97" s="19">
        <v>1.0</v>
      </c>
      <c r="F97" s="20">
        <v>12000.0</v>
      </c>
      <c r="G97" s="21" t="s">
        <v>2711</v>
      </c>
      <c r="H97" s="19">
        <v>4.0</v>
      </c>
      <c r="I97" s="21" t="s">
        <v>314</v>
      </c>
      <c r="J97" s="22" t="s">
        <v>2506</v>
      </c>
    </row>
    <row r="98" ht="14.25" customHeight="1">
      <c r="A98" s="15" t="s">
        <v>2808</v>
      </c>
      <c r="B98" s="16">
        <v>45080.0</v>
      </c>
      <c r="C98" s="17">
        <v>45084.0</v>
      </c>
      <c r="D98" s="18">
        <v>19.0</v>
      </c>
      <c r="E98" s="19">
        <v>6.0</v>
      </c>
      <c r="F98" s="20">
        <v>27700.0</v>
      </c>
      <c r="G98" s="21" t="s">
        <v>2711</v>
      </c>
      <c r="H98" s="19">
        <v>5.0</v>
      </c>
      <c r="I98" s="21" t="s">
        <v>2267</v>
      </c>
      <c r="J98" s="22" t="s">
        <v>2667</v>
      </c>
    </row>
    <row r="99" ht="14.25" customHeight="1">
      <c r="A99" s="15" t="s">
        <v>2809</v>
      </c>
      <c r="B99" s="16">
        <v>45080.0</v>
      </c>
      <c r="C99" s="17">
        <v>45084.0</v>
      </c>
      <c r="D99" s="18">
        <v>15.0</v>
      </c>
      <c r="E99" s="19">
        <v>10.0</v>
      </c>
      <c r="F99" s="20">
        <v>34500.0</v>
      </c>
      <c r="G99" s="21" t="s">
        <v>2711</v>
      </c>
      <c r="H99" s="19">
        <v>5.0</v>
      </c>
      <c r="I99" s="21" t="s">
        <v>522</v>
      </c>
      <c r="J99" s="22" t="s">
        <v>2667</v>
      </c>
    </row>
    <row r="100" ht="14.25" customHeight="1">
      <c r="A100" s="15" t="s">
        <v>2810</v>
      </c>
      <c r="B100" s="16">
        <v>45080.0</v>
      </c>
      <c r="C100" s="17">
        <v>45081.0</v>
      </c>
      <c r="D100" s="18">
        <v>13.0</v>
      </c>
      <c r="E100" s="19">
        <v>10.0</v>
      </c>
      <c r="F100" s="20">
        <v>30000.0</v>
      </c>
      <c r="G100" s="21" t="s">
        <v>2711</v>
      </c>
      <c r="H100" s="19">
        <v>3.0</v>
      </c>
      <c r="I100" s="21" t="s">
        <v>1308</v>
      </c>
      <c r="J100" s="22" t="s">
        <v>2537</v>
      </c>
    </row>
    <row r="101" ht="14.25" customHeight="1">
      <c r="A101" s="15" t="s">
        <v>2811</v>
      </c>
      <c r="B101" s="16">
        <v>45080.0</v>
      </c>
      <c r="C101" s="17">
        <v>45084.0</v>
      </c>
      <c r="D101" s="18">
        <v>2.0</v>
      </c>
      <c r="E101" s="19">
        <v>1.0</v>
      </c>
      <c r="F101" s="20">
        <v>12000.0</v>
      </c>
      <c r="G101" s="21" t="s">
        <v>2711</v>
      </c>
      <c r="H101" s="19">
        <v>3.0</v>
      </c>
      <c r="I101" s="21" t="s">
        <v>170</v>
      </c>
      <c r="J101" s="22" t="s">
        <v>2532</v>
      </c>
    </row>
    <row r="102" ht="14.25" customHeight="1">
      <c r="A102" s="15" t="s">
        <v>2812</v>
      </c>
      <c r="B102" s="16">
        <v>45080.0</v>
      </c>
      <c r="C102" s="17">
        <v>45085.0</v>
      </c>
      <c r="D102" s="18">
        <v>2.0</v>
      </c>
      <c r="E102" s="19">
        <v>2.0</v>
      </c>
      <c r="F102" s="20">
        <v>14000.0</v>
      </c>
      <c r="G102" s="21" t="s">
        <v>2711</v>
      </c>
      <c r="H102" s="19">
        <v>5.0</v>
      </c>
      <c r="I102" s="21" t="s">
        <v>640</v>
      </c>
      <c r="J102" s="22" t="s">
        <v>2677</v>
      </c>
    </row>
    <row r="103" ht="14.25" customHeight="1">
      <c r="A103" s="15" t="s">
        <v>2813</v>
      </c>
      <c r="B103" s="16">
        <v>45080.0</v>
      </c>
      <c r="C103" s="17">
        <v>45083.0</v>
      </c>
      <c r="D103" s="18">
        <v>5.0</v>
      </c>
      <c r="E103" s="19">
        <v>2.0</v>
      </c>
      <c r="F103" s="20">
        <v>14000.0</v>
      </c>
      <c r="G103" s="21" t="s">
        <v>2711</v>
      </c>
      <c r="H103" s="19">
        <v>4.0</v>
      </c>
      <c r="I103" s="21" t="s">
        <v>230</v>
      </c>
      <c r="J103" s="22" t="s">
        <v>2506</v>
      </c>
    </row>
    <row r="104" ht="14.25" customHeight="1">
      <c r="A104" s="15" t="s">
        <v>2814</v>
      </c>
      <c r="B104" s="16">
        <v>45080.0</v>
      </c>
      <c r="C104" s="17">
        <v>45083.0</v>
      </c>
      <c r="D104" s="18">
        <v>4.0</v>
      </c>
      <c r="E104" s="19">
        <v>2.0</v>
      </c>
      <c r="F104" s="20">
        <v>14000.0</v>
      </c>
      <c r="G104" s="21" t="s">
        <v>2711</v>
      </c>
      <c r="H104" s="19">
        <v>5.0</v>
      </c>
      <c r="I104" s="21" t="s">
        <v>1768</v>
      </c>
      <c r="J104" s="22" t="s">
        <v>2602</v>
      </c>
    </row>
    <row r="105" ht="14.25" customHeight="1">
      <c r="A105" s="15" t="s">
        <v>2815</v>
      </c>
      <c r="B105" s="16">
        <v>45080.0</v>
      </c>
      <c r="C105" s="17">
        <v>45083.0</v>
      </c>
      <c r="D105" s="18">
        <v>8.0</v>
      </c>
      <c r="E105" s="19">
        <v>7.0</v>
      </c>
      <c r="F105" s="20">
        <v>24000.0</v>
      </c>
      <c r="G105" s="21" t="s">
        <v>2711</v>
      </c>
      <c r="H105" s="19">
        <v>5.0</v>
      </c>
      <c r="I105" s="21" t="s">
        <v>438</v>
      </c>
      <c r="J105" s="22" t="s">
        <v>2627</v>
      </c>
    </row>
    <row r="106" ht="14.25" customHeight="1">
      <c r="A106" s="15" t="s">
        <v>2816</v>
      </c>
      <c r="B106" s="16">
        <v>45080.0</v>
      </c>
      <c r="C106" s="17">
        <v>45085.0</v>
      </c>
      <c r="D106" s="18">
        <v>7.0</v>
      </c>
      <c r="E106" s="19">
        <v>9.0</v>
      </c>
      <c r="F106" s="20">
        <v>28000.0</v>
      </c>
      <c r="G106" s="21" t="s">
        <v>2711</v>
      </c>
      <c r="H106" s="19">
        <v>5.0</v>
      </c>
      <c r="I106" s="21" t="s">
        <v>466</v>
      </c>
      <c r="J106" s="22" t="s">
        <v>2587</v>
      </c>
    </row>
    <row r="107" ht="14.25" customHeight="1">
      <c r="A107" s="15" t="s">
        <v>2817</v>
      </c>
      <c r="B107" s="16">
        <v>45080.0</v>
      </c>
      <c r="C107" s="17">
        <v>45081.0</v>
      </c>
      <c r="D107" s="18">
        <v>14.0</v>
      </c>
      <c r="E107" s="19">
        <v>9.0</v>
      </c>
      <c r="F107" s="20">
        <v>28000.0</v>
      </c>
      <c r="G107" s="21" t="s">
        <v>2711</v>
      </c>
      <c r="H107" s="19">
        <v>5.0</v>
      </c>
      <c r="I107" s="21" t="s">
        <v>118</v>
      </c>
      <c r="J107" s="22" t="s">
        <v>2501</v>
      </c>
    </row>
    <row r="108" ht="14.25" customHeight="1">
      <c r="A108" s="15" t="s">
        <v>2818</v>
      </c>
      <c r="B108" s="16">
        <v>45080.0</v>
      </c>
      <c r="C108" s="17">
        <v>45083.0</v>
      </c>
      <c r="D108" s="18">
        <v>17.0</v>
      </c>
      <c r="E108" s="19">
        <v>9.0</v>
      </c>
      <c r="F108" s="20">
        <v>33100.0</v>
      </c>
      <c r="G108" s="21" t="s">
        <v>2711</v>
      </c>
      <c r="H108" s="19">
        <v>4.0</v>
      </c>
      <c r="I108" s="21" t="s">
        <v>589</v>
      </c>
      <c r="J108" s="22" t="s">
        <v>2501</v>
      </c>
      <c r="K108" s="27"/>
    </row>
    <row r="109" ht="14.25" customHeight="1">
      <c r="A109" s="15" t="s">
        <v>2819</v>
      </c>
      <c r="B109" s="16">
        <v>45080.0</v>
      </c>
      <c r="C109" s="17">
        <v>45083.0</v>
      </c>
      <c r="D109" s="18">
        <v>20.0</v>
      </c>
      <c r="E109" s="19">
        <v>5.0</v>
      </c>
      <c r="F109" s="20">
        <v>26000.0</v>
      </c>
      <c r="G109" s="21" t="s">
        <v>2711</v>
      </c>
      <c r="H109" s="19">
        <v>5.0</v>
      </c>
      <c r="I109" s="21" t="s">
        <v>402</v>
      </c>
      <c r="J109" s="22" t="s">
        <v>2627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</row>
    <row r="110" ht="14.25" customHeight="1">
      <c r="A110" s="15" t="s">
        <v>2820</v>
      </c>
      <c r="B110" s="16">
        <v>45080.0</v>
      </c>
      <c r="C110" s="17">
        <v>45082.0</v>
      </c>
      <c r="D110" s="18">
        <v>1.0</v>
      </c>
      <c r="E110" s="19">
        <v>1.0</v>
      </c>
      <c r="F110" s="20">
        <v>12000.0</v>
      </c>
      <c r="G110" s="21" t="s">
        <v>2711</v>
      </c>
      <c r="H110" s="19">
        <v>4.0</v>
      </c>
      <c r="I110" s="21" t="s">
        <v>2377</v>
      </c>
      <c r="J110" s="22" t="s">
        <v>2557</v>
      </c>
    </row>
    <row r="111" ht="14.25" customHeight="1">
      <c r="A111" s="15" t="s">
        <v>2821</v>
      </c>
      <c r="B111" s="16">
        <v>45080.0</v>
      </c>
      <c r="C111" s="17">
        <v>45083.0</v>
      </c>
      <c r="D111" s="18">
        <v>8.0</v>
      </c>
      <c r="E111" s="19">
        <v>6.0</v>
      </c>
      <c r="F111" s="20">
        <v>22000.0</v>
      </c>
      <c r="G111" s="21" t="s">
        <v>2711</v>
      </c>
      <c r="H111" s="19">
        <v>4.0</v>
      </c>
      <c r="I111" s="21" t="s">
        <v>458</v>
      </c>
      <c r="J111" s="22" t="s">
        <v>2672</v>
      </c>
    </row>
    <row r="112" ht="14.25" customHeight="1">
      <c r="A112" s="15" t="s">
        <v>2822</v>
      </c>
      <c r="B112" s="16">
        <v>45080.0</v>
      </c>
      <c r="C112" s="17">
        <v>45083.0</v>
      </c>
      <c r="D112" s="18">
        <v>13.0</v>
      </c>
      <c r="E112" s="19">
        <v>8.0</v>
      </c>
      <c r="F112" s="20">
        <v>26000.0</v>
      </c>
      <c r="G112" s="21" t="s">
        <v>2711</v>
      </c>
      <c r="H112" s="19">
        <v>4.0</v>
      </c>
      <c r="I112" s="21" t="s">
        <v>2180</v>
      </c>
      <c r="J112" s="22" t="s">
        <v>2672</v>
      </c>
    </row>
    <row r="113" ht="14.25" customHeight="1">
      <c r="A113" s="15" t="s">
        <v>2823</v>
      </c>
      <c r="B113" s="16">
        <v>45080.0</v>
      </c>
      <c r="C113" s="17">
        <v>45085.0</v>
      </c>
      <c r="D113" s="18">
        <v>2.0</v>
      </c>
      <c r="E113" s="19">
        <v>3.0</v>
      </c>
      <c r="F113" s="20">
        <v>16000.0</v>
      </c>
      <c r="G113" s="21" t="s">
        <v>2711</v>
      </c>
      <c r="H113" s="19">
        <v>4.0</v>
      </c>
      <c r="I113" s="21" t="s">
        <v>1894</v>
      </c>
      <c r="J113" s="22" t="s">
        <v>2547</v>
      </c>
    </row>
    <row r="114" ht="14.25" customHeight="1">
      <c r="A114" s="15" t="s">
        <v>2824</v>
      </c>
      <c r="B114" s="16">
        <v>45080.0</v>
      </c>
      <c r="C114" s="17">
        <v>45082.0</v>
      </c>
      <c r="D114" s="18">
        <v>5.0</v>
      </c>
      <c r="E114" s="19">
        <v>1.0</v>
      </c>
      <c r="F114" s="20">
        <v>12000.0</v>
      </c>
      <c r="G114" s="21" t="s">
        <v>2711</v>
      </c>
      <c r="H114" s="19">
        <v>4.0</v>
      </c>
      <c r="I114" s="21" t="s">
        <v>2461</v>
      </c>
      <c r="J114" s="22" t="s">
        <v>2597</v>
      </c>
    </row>
    <row r="115" ht="14.25" customHeight="1">
      <c r="A115" s="15" t="s">
        <v>2825</v>
      </c>
      <c r="B115" s="16">
        <v>45080.0</v>
      </c>
      <c r="C115" s="17">
        <v>45085.0</v>
      </c>
      <c r="D115" s="18">
        <v>1.0</v>
      </c>
      <c r="E115" s="19">
        <v>3.0</v>
      </c>
      <c r="F115" s="20">
        <v>16000.0</v>
      </c>
      <c r="G115" s="21" t="s">
        <v>2711</v>
      </c>
      <c r="H115" s="19">
        <v>4.0</v>
      </c>
      <c r="I115" s="21" t="s">
        <v>2017</v>
      </c>
      <c r="J115" s="22" t="s">
        <v>2602</v>
      </c>
    </row>
    <row r="116" ht="14.25" customHeight="1">
      <c r="A116" s="15" t="s">
        <v>2826</v>
      </c>
      <c r="B116" s="16">
        <v>45081.0</v>
      </c>
      <c r="C116" s="17">
        <v>45086.0</v>
      </c>
      <c r="D116" s="18">
        <v>3.0</v>
      </c>
      <c r="E116" s="19">
        <v>1.0</v>
      </c>
      <c r="F116" s="20">
        <v>12000.0</v>
      </c>
      <c r="G116" s="21" t="s">
        <v>2711</v>
      </c>
      <c r="H116" s="19">
        <v>4.0</v>
      </c>
      <c r="I116" s="21" t="s">
        <v>1268</v>
      </c>
      <c r="J116" s="22" t="s">
        <v>2692</v>
      </c>
    </row>
    <row r="117" ht="14.25" customHeight="1">
      <c r="A117" s="15" t="s">
        <v>2827</v>
      </c>
      <c r="B117" s="16">
        <v>45081.0</v>
      </c>
      <c r="C117" s="17">
        <v>45083.0</v>
      </c>
      <c r="D117" s="18">
        <v>20.0</v>
      </c>
      <c r="E117" s="19">
        <v>8.0</v>
      </c>
      <c r="F117" s="20">
        <v>32000.0</v>
      </c>
      <c r="G117" s="21" t="s">
        <v>2711</v>
      </c>
      <c r="H117" s="19">
        <v>4.0</v>
      </c>
      <c r="I117" s="21" t="s">
        <v>1125</v>
      </c>
      <c r="J117" s="22" t="s">
        <v>2501</v>
      </c>
    </row>
    <row r="118" ht="14.25" customHeight="1">
      <c r="A118" s="15" t="s">
        <v>2828</v>
      </c>
      <c r="B118" s="16">
        <v>45081.0</v>
      </c>
      <c r="C118" s="17">
        <v>45082.0</v>
      </c>
      <c r="D118" s="18">
        <v>10.0</v>
      </c>
      <c r="E118" s="19">
        <v>7.0</v>
      </c>
      <c r="F118" s="20">
        <v>24000.0</v>
      </c>
      <c r="G118" s="21" t="s">
        <v>2711</v>
      </c>
      <c r="H118" s="19">
        <v>4.0</v>
      </c>
      <c r="I118" s="21" t="s">
        <v>1244</v>
      </c>
      <c r="J118" s="22" t="s">
        <v>2662</v>
      </c>
    </row>
    <row r="119" ht="14.25" customHeight="1">
      <c r="A119" s="15" t="s">
        <v>2829</v>
      </c>
      <c r="B119" s="16">
        <v>45081.0</v>
      </c>
      <c r="C119" s="17">
        <v>45082.0</v>
      </c>
      <c r="D119" s="18">
        <v>10.0</v>
      </c>
      <c r="E119" s="19">
        <v>5.0</v>
      </c>
      <c r="F119" s="20">
        <v>20000.0</v>
      </c>
      <c r="G119" s="21" t="s">
        <v>2711</v>
      </c>
      <c r="H119" s="19">
        <v>5.0</v>
      </c>
      <c r="I119" s="21" t="s">
        <v>942</v>
      </c>
      <c r="J119" s="22" t="s">
        <v>2587</v>
      </c>
    </row>
    <row r="120" ht="14.25" customHeight="1">
      <c r="A120" s="15" t="s">
        <v>2830</v>
      </c>
      <c r="B120" s="16">
        <v>45081.0</v>
      </c>
      <c r="C120" s="17">
        <v>45085.0</v>
      </c>
      <c r="D120" s="18">
        <v>2.0</v>
      </c>
      <c r="E120" s="19">
        <v>3.0</v>
      </c>
      <c r="F120" s="20">
        <v>16000.0</v>
      </c>
      <c r="G120" s="21" t="s">
        <v>2711</v>
      </c>
      <c r="H120" s="19">
        <v>4.0</v>
      </c>
      <c r="I120" s="21" t="s">
        <v>1129</v>
      </c>
      <c r="J120" s="22" t="s">
        <v>2602</v>
      </c>
    </row>
    <row r="121" ht="14.25" customHeight="1">
      <c r="A121" s="15" t="s">
        <v>2831</v>
      </c>
      <c r="B121" s="16">
        <v>45081.0</v>
      </c>
      <c r="C121" s="17">
        <v>45085.0</v>
      </c>
      <c r="D121" s="18">
        <v>6.0</v>
      </c>
      <c r="E121" s="19">
        <v>3.0</v>
      </c>
      <c r="F121" s="20">
        <v>16000.0</v>
      </c>
      <c r="G121" s="21" t="s">
        <v>2711</v>
      </c>
      <c r="H121" s="19">
        <v>4.0</v>
      </c>
      <c r="I121" s="21" t="s">
        <v>787</v>
      </c>
      <c r="J121" s="22" t="s">
        <v>2496</v>
      </c>
    </row>
    <row r="122" ht="14.25" customHeight="1">
      <c r="A122" s="15" t="s">
        <v>2832</v>
      </c>
      <c r="B122" s="16">
        <v>45081.0</v>
      </c>
      <c r="C122" s="17">
        <v>45084.0</v>
      </c>
      <c r="D122" s="18">
        <v>5.0</v>
      </c>
      <c r="E122" s="19">
        <v>3.0</v>
      </c>
      <c r="F122" s="20">
        <v>16000.0</v>
      </c>
      <c r="G122" s="21" t="s">
        <v>2711</v>
      </c>
      <c r="H122" s="19">
        <v>5.0</v>
      </c>
      <c r="I122" s="21" t="s">
        <v>894</v>
      </c>
      <c r="J122" s="22" t="s">
        <v>2532</v>
      </c>
    </row>
    <row r="123" ht="14.25" customHeight="1">
      <c r="A123" s="15" t="s">
        <v>2833</v>
      </c>
      <c r="B123" s="16">
        <v>45081.0</v>
      </c>
      <c r="C123" s="17">
        <v>45082.0</v>
      </c>
      <c r="D123" s="18">
        <v>7.0</v>
      </c>
      <c r="E123" s="19">
        <v>8.0</v>
      </c>
      <c r="F123" s="20">
        <v>26000.0</v>
      </c>
      <c r="G123" s="21" t="s">
        <v>2711</v>
      </c>
      <c r="H123" s="19">
        <v>5.0</v>
      </c>
      <c r="I123" s="21" t="s">
        <v>910</v>
      </c>
      <c r="J123" s="22" t="s">
        <v>2667</v>
      </c>
    </row>
    <row r="124" ht="14.25" customHeight="1">
      <c r="A124" s="15" t="s">
        <v>2834</v>
      </c>
      <c r="B124" s="16">
        <v>45081.0</v>
      </c>
      <c r="C124" s="17">
        <v>45084.0</v>
      </c>
      <c r="D124" s="18">
        <v>2.0</v>
      </c>
      <c r="E124" s="19">
        <v>1.0</v>
      </c>
      <c r="F124" s="20">
        <v>12000.0</v>
      </c>
      <c r="G124" s="21" t="s">
        <v>2711</v>
      </c>
      <c r="H124" s="19">
        <v>4.0</v>
      </c>
      <c r="I124" s="21" t="s">
        <v>338</v>
      </c>
      <c r="J124" s="22" t="s">
        <v>2506</v>
      </c>
    </row>
    <row r="125" ht="14.25" customHeight="1">
      <c r="A125" s="15" t="s">
        <v>2835</v>
      </c>
      <c r="B125" s="16">
        <v>45081.0</v>
      </c>
      <c r="C125" s="17">
        <v>45084.0</v>
      </c>
      <c r="D125" s="18">
        <v>13.0</v>
      </c>
      <c r="E125" s="19">
        <v>8.0</v>
      </c>
      <c r="F125" s="20">
        <v>26000.0</v>
      </c>
      <c r="G125" s="24" t="s">
        <v>2711</v>
      </c>
      <c r="H125" s="19">
        <v>5.0</v>
      </c>
      <c r="I125" s="21" t="s">
        <v>1945</v>
      </c>
      <c r="J125" s="22" t="s">
        <v>2537</v>
      </c>
    </row>
    <row r="126" ht="14.25" customHeight="1">
      <c r="A126" s="15" t="s">
        <v>2836</v>
      </c>
      <c r="B126" s="16">
        <v>45081.0</v>
      </c>
      <c r="C126" s="17">
        <v>45085.0</v>
      </c>
      <c r="D126" s="18">
        <v>10.0</v>
      </c>
      <c r="E126" s="19">
        <v>7.0</v>
      </c>
      <c r="F126" s="20">
        <v>24000.0</v>
      </c>
      <c r="G126" s="24" t="s">
        <v>2711</v>
      </c>
      <c r="H126" s="19">
        <v>5.0</v>
      </c>
      <c r="I126" s="21" t="s">
        <v>158</v>
      </c>
      <c r="J126" s="22" t="s">
        <v>2627</v>
      </c>
    </row>
    <row r="127" ht="14.25" customHeight="1">
      <c r="A127" s="15" t="s">
        <v>2837</v>
      </c>
      <c r="B127" s="16">
        <v>45081.0</v>
      </c>
      <c r="C127" s="17">
        <v>45084.0</v>
      </c>
      <c r="D127" s="18">
        <v>4.0</v>
      </c>
      <c r="E127" s="19">
        <v>2.0</v>
      </c>
      <c r="F127" s="20">
        <v>14000.0</v>
      </c>
      <c r="G127" s="21" t="s">
        <v>2711</v>
      </c>
      <c r="H127" s="19">
        <v>5.0</v>
      </c>
      <c r="I127" s="21" t="s">
        <v>418</v>
      </c>
      <c r="J127" s="22" t="s">
        <v>2622</v>
      </c>
    </row>
    <row r="128" ht="14.25" customHeight="1">
      <c r="A128" s="15" t="s">
        <v>2838</v>
      </c>
      <c r="B128" s="16">
        <v>45081.0</v>
      </c>
      <c r="C128" s="17">
        <v>45085.0</v>
      </c>
      <c r="D128" s="18">
        <v>20.0</v>
      </c>
      <c r="E128" s="19">
        <v>8.0</v>
      </c>
      <c r="F128" s="20">
        <v>32000.0</v>
      </c>
      <c r="G128" s="21" t="s">
        <v>2711</v>
      </c>
      <c r="H128" s="19">
        <v>5.0</v>
      </c>
      <c r="I128" s="21" t="s">
        <v>58</v>
      </c>
      <c r="J128" s="22" t="s">
        <v>2672</v>
      </c>
    </row>
    <row r="129" ht="14.25" customHeight="1">
      <c r="A129" s="15" t="s">
        <v>2839</v>
      </c>
      <c r="B129" s="16">
        <v>45081.0</v>
      </c>
      <c r="C129" s="17">
        <v>45082.0</v>
      </c>
      <c r="D129" s="18">
        <v>16.0</v>
      </c>
      <c r="E129" s="19">
        <v>4.0</v>
      </c>
      <c r="F129" s="20">
        <v>22800.0</v>
      </c>
      <c r="G129" s="21" t="s">
        <v>2711</v>
      </c>
      <c r="H129" s="19">
        <v>4.0</v>
      </c>
      <c r="I129" s="21" t="s">
        <v>918</v>
      </c>
      <c r="J129" s="22" t="s">
        <v>2627</v>
      </c>
    </row>
    <row r="130" ht="14.25" customHeight="1">
      <c r="A130" s="15" t="s">
        <v>2840</v>
      </c>
      <c r="B130" s="16">
        <v>45081.0</v>
      </c>
      <c r="C130" s="17">
        <v>45085.0</v>
      </c>
      <c r="D130" s="18">
        <v>6.0</v>
      </c>
      <c r="E130" s="19">
        <v>3.0</v>
      </c>
      <c r="F130" s="20">
        <v>16000.0</v>
      </c>
      <c r="G130" s="21" t="s">
        <v>2711</v>
      </c>
      <c r="H130" s="19">
        <v>5.0</v>
      </c>
      <c r="I130" s="21" t="s">
        <v>1842</v>
      </c>
      <c r="J130" s="22" t="s">
        <v>2532</v>
      </c>
    </row>
    <row r="131" ht="14.25" customHeight="1">
      <c r="A131" s="15" t="s">
        <v>2841</v>
      </c>
      <c r="B131" s="16">
        <v>45081.0</v>
      </c>
      <c r="C131" s="17">
        <v>45082.0</v>
      </c>
      <c r="D131" s="18">
        <v>11.0</v>
      </c>
      <c r="E131" s="19">
        <v>7.0</v>
      </c>
      <c r="F131" s="20">
        <v>24000.0</v>
      </c>
      <c r="G131" s="24" t="s">
        <v>2711</v>
      </c>
      <c r="H131" s="19">
        <v>5.0</v>
      </c>
      <c r="I131" s="21" t="s">
        <v>1910</v>
      </c>
      <c r="J131" s="22" t="s">
        <v>2637</v>
      </c>
    </row>
    <row r="132" ht="14.25" customHeight="1">
      <c r="A132" s="15" t="s">
        <v>2842</v>
      </c>
      <c r="B132" s="16">
        <v>45081.0</v>
      </c>
      <c r="C132" s="17">
        <v>45085.0</v>
      </c>
      <c r="D132" s="18">
        <v>1.0</v>
      </c>
      <c r="E132" s="19">
        <v>1.0</v>
      </c>
      <c r="F132" s="20">
        <v>12000.0</v>
      </c>
      <c r="G132" s="24" t="s">
        <v>2711</v>
      </c>
      <c r="H132" s="19">
        <v>5.0</v>
      </c>
      <c r="I132" s="21" t="s">
        <v>1264</v>
      </c>
      <c r="J132" s="22" t="s">
        <v>2647</v>
      </c>
    </row>
    <row r="133" ht="14.25" customHeight="1">
      <c r="A133" s="15" t="s">
        <v>2843</v>
      </c>
      <c r="B133" s="16">
        <v>45081.0</v>
      </c>
      <c r="C133" s="17">
        <v>45083.0</v>
      </c>
      <c r="D133" s="18">
        <v>4.0</v>
      </c>
      <c r="E133" s="19">
        <v>2.0</v>
      </c>
      <c r="F133" s="20">
        <v>14000.0</v>
      </c>
      <c r="G133" s="21" t="s">
        <v>2711</v>
      </c>
      <c r="H133" s="19">
        <v>4.0</v>
      </c>
      <c r="I133" s="21" t="s">
        <v>1784</v>
      </c>
      <c r="J133" s="22" t="s">
        <v>2652</v>
      </c>
    </row>
    <row r="134" ht="14.25" customHeight="1">
      <c r="A134" s="15" t="s">
        <v>2844</v>
      </c>
      <c r="B134" s="16">
        <v>45081.0</v>
      </c>
      <c r="C134" s="17">
        <v>45084.0</v>
      </c>
      <c r="D134" s="18">
        <v>17.0</v>
      </c>
      <c r="E134" s="19">
        <v>5.0</v>
      </c>
      <c r="F134" s="20">
        <v>25100.0</v>
      </c>
      <c r="G134" s="21" t="s">
        <v>2711</v>
      </c>
      <c r="H134" s="19">
        <v>4.0</v>
      </c>
      <c r="I134" s="21" t="s">
        <v>1748</v>
      </c>
      <c r="J134" s="22" t="s">
        <v>2672</v>
      </c>
    </row>
    <row r="135" ht="14.25" customHeight="1">
      <c r="A135" s="15" t="s">
        <v>2845</v>
      </c>
      <c r="B135" s="16">
        <v>45081.0</v>
      </c>
      <c r="C135" s="17">
        <v>45086.0</v>
      </c>
      <c r="D135" s="18">
        <v>1.0</v>
      </c>
      <c r="E135" s="19">
        <v>1.0</v>
      </c>
      <c r="F135" s="20">
        <v>12000.0</v>
      </c>
      <c r="G135" s="21" t="s">
        <v>2711</v>
      </c>
      <c r="H135" s="19">
        <v>4.0</v>
      </c>
      <c r="I135" s="21" t="s">
        <v>1886</v>
      </c>
      <c r="J135" s="22" t="s">
        <v>2652</v>
      </c>
    </row>
    <row r="136" ht="14.25" customHeight="1">
      <c r="A136" s="15" t="s">
        <v>2846</v>
      </c>
      <c r="B136" s="16">
        <v>45081.0</v>
      </c>
      <c r="C136" s="17">
        <v>45084.0</v>
      </c>
      <c r="D136" s="18">
        <v>7.0</v>
      </c>
      <c r="E136" s="19">
        <v>5.0</v>
      </c>
      <c r="F136" s="20">
        <v>20000.0</v>
      </c>
      <c r="G136" s="21" t="s">
        <v>2711</v>
      </c>
      <c r="H136" s="19">
        <v>5.0</v>
      </c>
      <c r="I136" s="21" t="s">
        <v>545</v>
      </c>
      <c r="J136" s="22" t="s">
        <v>2587</v>
      </c>
    </row>
    <row r="137" ht="14.25" customHeight="1">
      <c r="A137" s="15" t="s">
        <v>2847</v>
      </c>
      <c r="B137" s="16">
        <v>45081.0</v>
      </c>
      <c r="C137" s="17">
        <v>45086.0</v>
      </c>
      <c r="D137" s="18">
        <v>2.0</v>
      </c>
      <c r="E137" s="19">
        <v>2.0</v>
      </c>
      <c r="F137" s="20">
        <v>14000.0</v>
      </c>
      <c r="G137" s="21" t="s">
        <v>2711</v>
      </c>
      <c r="H137" s="19">
        <v>5.0</v>
      </c>
      <c r="I137" s="21" t="s">
        <v>518</v>
      </c>
      <c r="J137" s="22" t="s">
        <v>2547</v>
      </c>
    </row>
    <row r="138" ht="14.25" customHeight="1">
      <c r="A138" s="15" t="s">
        <v>2848</v>
      </c>
      <c r="B138" s="16">
        <v>45081.0</v>
      </c>
      <c r="C138" s="17">
        <v>45084.0</v>
      </c>
      <c r="D138" s="18">
        <v>6.0</v>
      </c>
      <c r="E138" s="19">
        <v>2.0</v>
      </c>
      <c r="F138" s="20">
        <v>14000.0</v>
      </c>
      <c r="G138" s="21" t="s">
        <v>2711</v>
      </c>
      <c r="H138" s="19">
        <v>4.0</v>
      </c>
      <c r="I138" s="21" t="s">
        <v>34</v>
      </c>
      <c r="J138" s="22" t="s">
        <v>2602</v>
      </c>
    </row>
    <row r="139" ht="14.25" customHeight="1">
      <c r="A139" s="15" t="s">
        <v>2849</v>
      </c>
      <c r="B139" s="16">
        <v>45081.0</v>
      </c>
      <c r="C139" s="17">
        <v>45083.0</v>
      </c>
      <c r="D139" s="18">
        <v>16.0</v>
      </c>
      <c r="E139" s="19">
        <v>4.0</v>
      </c>
      <c r="F139" s="20">
        <v>22800.0</v>
      </c>
      <c r="G139" s="21" t="s">
        <v>2711</v>
      </c>
      <c r="H139" s="19">
        <v>5.0</v>
      </c>
      <c r="I139" s="21" t="s">
        <v>1216</v>
      </c>
      <c r="J139" s="22" t="s">
        <v>2587</v>
      </c>
    </row>
    <row r="140" ht="14.25" customHeight="1">
      <c r="A140" s="15" t="s">
        <v>2850</v>
      </c>
      <c r="B140" s="16">
        <v>45081.0</v>
      </c>
      <c r="C140" s="17">
        <v>45085.0</v>
      </c>
      <c r="D140" s="18">
        <v>5.0</v>
      </c>
      <c r="E140" s="19">
        <v>2.0</v>
      </c>
      <c r="F140" s="20">
        <v>14000.0</v>
      </c>
      <c r="G140" s="21" t="s">
        <v>2711</v>
      </c>
      <c r="H140" s="19">
        <v>5.0</v>
      </c>
      <c r="I140" s="21" t="s">
        <v>1808</v>
      </c>
      <c r="J140" s="22" t="s">
        <v>2547</v>
      </c>
    </row>
    <row r="141" ht="14.25" customHeight="1">
      <c r="A141" s="15" t="s">
        <v>2851</v>
      </c>
      <c r="B141" s="16">
        <v>45081.0</v>
      </c>
      <c r="C141" s="17">
        <v>45082.0</v>
      </c>
      <c r="D141" s="18">
        <v>6.0</v>
      </c>
      <c r="E141" s="19">
        <v>1.0</v>
      </c>
      <c r="F141" s="20">
        <v>12000.0</v>
      </c>
      <c r="G141" s="21" t="s">
        <v>2711</v>
      </c>
      <c r="H141" s="19">
        <v>5.0</v>
      </c>
      <c r="I141" s="21" t="s">
        <v>174</v>
      </c>
      <c r="J141" s="22" t="s">
        <v>2622</v>
      </c>
    </row>
    <row r="142" ht="14.25" customHeight="1">
      <c r="A142" s="15" t="s">
        <v>2852</v>
      </c>
      <c r="B142" s="16">
        <v>45081.0</v>
      </c>
      <c r="C142" s="17">
        <v>45083.0</v>
      </c>
      <c r="D142" s="18">
        <v>2.0</v>
      </c>
      <c r="E142" s="19">
        <v>3.0</v>
      </c>
      <c r="F142" s="20">
        <v>16000.0</v>
      </c>
      <c r="G142" s="21" t="s">
        <v>2711</v>
      </c>
      <c r="H142" s="19">
        <v>5.0</v>
      </c>
      <c r="I142" s="21" t="s">
        <v>652</v>
      </c>
      <c r="J142" s="22" t="s">
        <v>2562</v>
      </c>
    </row>
    <row r="143" ht="14.25" customHeight="1">
      <c r="A143" s="15" t="s">
        <v>2853</v>
      </c>
      <c r="B143" s="16">
        <v>45081.0</v>
      </c>
      <c r="C143" s="17">
        <v>45086.0</v>
      </c>
      <c r="D143" s="18">
        <v>4.0</v>
      </c>
      <c r="E143" s="19">
        <v>1.0</v>
      </c>
      <c r="F143" s="20">
        <v>12000.0</v>
      </c>
      <c r="G143" s="21" t="s">
        <v>2711</v>
      </c>
      <c r="H143" s="19">
        <v>5.0</v>
      </c>
      <c r="I143" s="21" t="s">
        <v>1053</v>
      </c>
      <c r="J143" s="22" t="s">
        <v>2572</v>
      </c>
    </row>
    <row r="144" ht="14.25" customHeight="1">
      <c r="A144" s="15" t="s">
        <v>2854</v>
      </c>
      <c r="B144" s="16">
        <v>45081.0</v>
      </c>
      <c r="C144" s="17">
        <v>45083.0</v>
      </c>
      <c r="D144" s="18">
        <v>2.0</v>
      </c>
      <c r="E144" s="19">
        <v>2.0</v>
      </c>
      <c r="F144" s="20">
        <v>14000.0</v>
      </c>
      <c r="G144" s="21" t="s">
        <v>2711</v>
      </c>
      <c r="H144" s="19">
        <v>3.0</v>
      </c>
      <c r="I144" s="21" t="s">
        <v>684</v>
      </c>
      <c r="J144" s="22" t="s">
        <v>2511</v>
      </c>
    </row>
    <row r="145" ht="14.25" customHeight="1">
      <c r="A145" s="15" t="s">
        <v>2855</v>
      </c>
      <c r="B145" s="16">
        <v>45081.0</v>
      </c>
      <c r="C145" s="17">
        <v>45083.0</v>
      </c>
      <c r="D145" s="18">
        <v>3.0</v>
      </c>
      <c r="E145" s="19">
        <v>2.0</v>
      </c>
      <c r="F145" s="20">
        <v>14000.0</v>
      </c>
      <c r="G145" s="21" t="s">
        <v>2711</v>
      </c>
      <c r="H145" s="19">
        <v>5.0</v>
      </c>
      <c r="I145" s="21" t="s">
        <v>1280</v>
      </c>
      <c r="J145" s="22" t="s">
        <v>2642</v>
      </c>
    </row>
    <row r="146" ht="14.25" customHeight="1">
      <c r="A146" s="15" t="s">
        <v>2856</v>
      </c>
      <c r="B146" s="16">
        <v>45081.0</v>
      </c>
      <c r="C146" s="17">
        <v>45085.0</v>
      </c>
      <c r="D146" s="18">
        <v>11.0</v>
      </c>
      <c r="E146" s="19">
        <v>5.0</v>
      </c>
      <c r="F146" s="20">
        <v>20000.0</v>
      </c>
      <c r="G146" s="21" t="s">
        <v>2711</v>
      </c>
      <c r="H146" s="19">
        <v>3.0</v>
      </c>
      <c r="I146" s="21" t="s">
        <v>2413</v>
      </c>
      <c r="J146" s="22" t="s">
        <v>2484</v>
      </c>
    </row>
    <row r="147" ht="14.25" customHeight="1">
      <c r="A147" s="15" t="s">
        <v>2857</v>
      </c>
      <c r="B147" s="16">
        <v>45081.0</v>
      </c>
      <c r="C147" s="17">
        <v>45082.0</v>
      </c>
      <c r="D147" s="18">
        <v>1.0</v>
      </c>
      <c r="E147" s="19">
        <v>2.0</v>
      </c>
      <c r="F147" s="20">
        <v>14000.0</v>
      </c>
      <c r="G147" s="21" t="s">
        <v>2711</v>
      </c>
      <c r="H147" s="19">
        <v>5.0</v>
      </c>
      <c r="I147" s="21" t="s">
        <v>198</v>
      </c>
      <c r="J147" s="22" t="s">
        <v>2642</v>
      </c>
      <c r="K147" s="27"/>
    </row>
    <row r="148" ht="14.25" customHeight="1">
      <c r="A148" s="15" t="s">
        <v>2858</v>
      </c>
      <c r="B148" s="16">
        <v>45081.0</v>
      </c>
      <c r="C148" s="17">
        <v>45084.0</v>
      </c>
      <c r="D148" s="18">
        <v>18.0</v>
      </c>
      <c r="E148" s="19">
        <v>9.0</v>
      </c>
      <c r="F148" s="20">
        <v>33400.0</v>
      </c>
      <c r="G148" s="21" t="s">
        <v>2711</v>
      </c>
      <c r="H148" s="19">
        <v>5.0</v>
      </c>
      <c r="I148" s="21" t="s">
        <v>1089</v>
      </c>
      <c r="J148" s="22" t="s">
        <v>2637</v>
      </c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</row>
    <row r="149" ht="14.25" customHeight="1">
      <c r="A149" s="15" t="s">
        <v>2859</v>
      </c>
      <c r="B149" s="16">
        <v>45081.0</v>
      </c>
      <c r="C149" s="17">
        <v>45082.0</v>
      </c>
      <c r="D149" s="18">
        <v>4.0</v>
      </c>
      <c r="E149" s="19">
        <v>2.0</v>
      </c>
      <c r="F149" s="20">
        <v>14000.0</v>
      </c>
      <c r="G149" s="21" t="s">
        <v>2711</v>
      </c>
      <c r="H149" s="19">
        <v>5.0</v>
      </c>
      <c r="I149" s="21" t="s">
        <v>1344</v>
      </c>
      <c r="J149" s="22" t="s">
        <v>2511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</row>
    <row r="150" ht="14.25" customHeight="1">
      <c r="A150" s="15" t="s">
        <v>2860</v>
      </c>
      <c r="B150" s="16">
        <v>45081.0</v>
      </c>
      <c r="C150" s="17">
        <v>45085.0</v>
      </c>
      <c r="D150" s="18">
        <v>2.0</v>
      </c>
      <c r="E150" s="19">
        <v>1.0</v>
      </c>
      <c r="F150" s="20">
        <v>12000.0</v>
      </c>
      <c r="G150" s="21" t="s">
        <v>2711</v>
      </c>
      <c r="H150" s="19">
        <v>3.0</v>
      </c>
      <c r="I150" s="21" t="s">
        <v>1363</v>
      </c>
      <c r="J150" s="22" t="s">
        <v>2642</v>
      </c>
    </row>
    <row r="151" ht="14.25" customHeight="1">
      <c r="A151" s="15" t="s">
        <v>2861</v>
      </c>
      <c r="B151" s="17">
        <v>45082.0</v>
      </c>
      <c r="C151" s="17">
        <f t="shared" ref="C151:C152" si="2">B151 + RANDBETWEEN(1,5)</f>
        <v>45083</v>
      </c>
      <c r="D151" s="18">
        <v>6.0</v>
      </c>
      <c r="E151" s="19">
        <v>2.0</v>
      </c>
      <c r="F151" s="20">
        <v>14000.0</v>
      </c>
      <c r="G151" s="21" t="s">
        <v>2711</v>
      </c>
      <c r="H151" s="19">
        <v>5.0</v>
      </c>
      <c r="I151" s="21" t="s">
        <v>1961</v>
      </c>
      <c r="J151" s="22" t="s">
        <v>2577</v>
      </c>
    </row>
    <row r="152" ht="14.25" customHeight="1">
      <c r="A152" s="15" t="s">
        <v>2862</v>
      </c>
      <c r="B152" s="17">
        <v>45082.0</v>
      </c>
      <c r="C152" s="17">
        <f t="shared" si="2"/>
        <v>45086</v>
      </c>
      <c r="D152" s="18">
        <v>2.0</v>
      </c>
      <c r="E152" s="19">
        <v>3.0</v>
      </c>
      <c r="F152" s="20">
        <v>16000.0</v>
      </c>
      <c r="G152" s="21" t="s">
        <v>2711</v>
      </c>
      <c r="H152" s="19">
        <v>5.0</v>
      </c>
      <c r="I152" s="21" t="s">
        <v>2196</v>
      </c>
      <c r="J152" s="22" t="s">
        <v>2622</v>
      </c>
    </row>
    <row r="153" ht="14.25" customHeight="1">
      <c r="A153" s="15" t="s">
        <v>2863</v>
      </c>
      <c r="B153" s="16">
        <v>45082.0</v>
      </c>
      <c r="C153" s="17">
        <v>45083.0</v>
      </c>
      <c r="D153" s="18">
        <v>2.0</v>
      </c>
      <c r="E153" s="19">
        <v>2.0</v>
      </c>
      <c r="F153" s="20">
        <v>14000.0</v>
      </c>
      <c r="G153" s="21" t="s">
        <v>2711</v>
      </c>
      <c r="H153" s="19">
        <v>5.0</v>
      </c>
      <c r="I153" s="21" t="s">
        <v>330</v>
      </c>
      <c r="J153" s="22" t="s">
        <v>2511</v>
      </c>
    </row>
    <row r="154" ht="14.25" customHeight="1">
      <c r="A154" s="15" t="s">
        <v>2864</v>
      </c>
      <c r="B154" s="16">
        <v>45082.0</v>
      </c>
      <c r="C154" s="17">
        <v>45085.0</v>
      </c>
      <c r="D154" s="18">
        <v>2.0</v>
      </c>
      <c r="E154" s="19">
        <v>1.0</v>
      </c>
      <c r="F154" s="20">
        <v>12000.0</v>
      </c>
      <c r="G154" s="21" t="s">
        <v>2711</v>
      </c>
      <c r="H154" s="19">
        <v>5.0</v>
      </c>
      <c r="I154" s="21" t="s">
        <v>114</v>
      </c>
      <c r="J154" s="22" t="s">
        <v>2567</v>
      </c>
    </row>
    <row r="155" ht="14.25" customHeight="1">
      <c r="A155" s="15" t="s">
        <v>2865</v>
      </c>
      <c r="B155" s="16">
        <v>45082.0</v>
      </c>
      <c r="C155" s="17">
        <v>45087.0</v>
      </c>
      <c r="D155" s="18">
        <v>3.0</v>
      </c>
      <c r="E155" s="19">
        <v>3.0</v>
      </c>
      <c r="F155" s="20">
        <v>16000.0</v>
      </c>
      <c r="G155" s="21" t="s">
        <v>2711</v>
      </c>
      <c r="H155" s="19">
        <v>3.0</v>
      </c>
      <c r="I155" s="21" t="s">
        <v>202</v>
      </c>
      <c r="J155" s="22" t="s">
        <v>2490</v>
      </c>
    </row>
    <row r="156" ht="14.25" customHeight="1">
      <c r="A156" s="15" t="s">
        <v>2866</v>
      </c>
      <c r="B156" s="16">
        <v>45082.0</v>
      </c>
      <c r="C156" s="17">
        <v>45084.0</v>
      </c>
      <c r="D156" s="18">
        <v>1.0</v>
      </c>
      <c r="E156" s="19">
        <v>2.0</v>
      </c>
      <c r="F156" s="20">
        <v>14000.0</v>
      </c>
      <c r="G156" s="21" t="s">
        <v>2711</v>
      </c>
      <c r="H156" s="19">
        <v>3.0</v>
      </c>
      <c r="I156" s="21" t="s">
        <v>648</v>
      </c>
      <c r="J156" s="22" t="s">
        <v>2490</v>
      </c>
    </row>
    <row r="157" ht="14.25" customHeight="1">
      <c r="A157" s="15" t="s">
        <v>2867</v>
      </c>
      <c r="B157" s="16">
        <v>45082.0</v>
      </c>
      <c r="C157" s="17">
        <v>45085.0</v>
      </c>
      <c r="D157" s="18">
        <v>1.0</v>
      </c>
      <c r="E157" s="19">
        <v>3.0</v>
      </c>
      <c r="F157" s="20">
        <v>16000.0</v>
      </c>
      <c r="G157" s="21" t="s">
        <v>2711</v>
      </c>
      <c r="H157" s="19">
        <v>5.0</v>
      </c>
      <c r="I157" s="21" t="s">
        <v>553</v>
      </c>
      <c r="J157" s="22" t="s">
        <v>2562</v>
      </c>
    </row>
    <row r="158" ht="14.25" customHeight="1">
      <c r="A158" s="15" t="s">
        <v>2868</v>
      </c>
      <c r="B158" s="16">
        <v>45082.0</v>
      </c>
      <c r="C158" s="17">
        <v>45086.0</v>
      </c>
      <c r="D158" s="18">
        <v>7.0</v>
      </c>
      <c r="E158" s="19">
        <v>8.0</v>
      </c>
      <c r="F158" s="20">
        <v>26000.0</v>
      </c>
      <c r="G158" s="21" t="s">
        <v>2711</v>
      </c>
      <c r="H158" s="19">
        <v>5.0</v>
      </c>
      <c r="I158" s="21" t="s">
        <v>2100</v>
      </c>
      <c r="J158" s="22" t="s">
        <v>2607</v>
      </c>
    </row>
    <row r="159" ht="14.25" customHeight="1">
      <c r="A159" s="15" t="s">
        <v>2869</v>
      </c>
      <c r="B159" s="16">
        <v>45082.0</v>
      </c>
      <c r="C159" s="17">
        <v>45085.0</v>
      </c>
      <c r="D159" s="18">
        <v>6.0</v>
      </c>
      <c r="E159" s="19">
        <v>3.0</v>
      </c>
      <c r="F159" s="20">
        <v>16000.0</v>
      </c>
      <c r="G159" s="21" t="s">
        <v>2711</v>
      </c>
      <c r="H159" s="19">
        <v>4.0</v>
      </c>
      <c r="I159" s="21" t="s">
        <v>954</v>
      </c>
      <c r="J159" s="22" t="s">
        <v>2496</v>
      </c>
    </row>
    <row r="160" ht="14.25" customHeight="1">
      <c r="A160" s="15" t="s">
        <v>2870</v>
      </c>
      <c r="B160" s="16">
        <v>45082.0</v>
      </c>
      <c r="C160" s="17">
        <v>45083.0</v>
      </c>
      <c r="D160" s="18">
        <v>20.0</v>
      </c>
      <c r="E160" s="19">
        <v>4.0</v>
      </c>
      <c r="F160" s="20">
        <v>24000.0</v>
      </c>
      <c r="G160" s="21" t="s">
        <v>2711</v>
      </c>
      <c r="H160" s="19">
        <v>5.0</v>
      </c>
      <c r="I160" s="21" t="s">
        <v>1161</v>
      </c>
      <c r="J160" s="22" t="s">
        <v>2662</v>
      </c>
    </row>
    <row r="161" ht="14.25" customHeight="1">
      <c r="A161" s="15" t="s">
        <v>2871</v>
      </c>
      <c r="B161" s="16">
        <v>45082.0</v>
      </c>
      <c r="C161" s="17">
        <v>45086.0</v>
      </c>
      <c r="D161" s="18">
        <v>6.0</v>
      </c>
      <c r="E161" s="19">
        <v>1.0</v>
      </c>
      <c r="F161" s="20">
        <v>12000.0</v>
      </c>
      <c r="G161" s="21" t="s">
        <v>2711</v>
      </c>
      <c r="H161" s="19">
        <v>5.0</v>
      </c>
      <c r="I161" s="21" t="s">
        <v>1244</v>
      </c>
      <c r="J161" s="22" t="s">
        <v>2677</v>
      </c>
    </row>
    <row r="162" ht="14.25" customHeight="1">
      <c r="A162" s="15" t="s">
        <v>2872</v>
      </c>
      <c r="B162" s="16">
        <v>45082.0</v>
      </c>
      <c r="C162" s="17">
        <v>45087.0</v>
      </c>
      <c r="D162" s="18">
        <v>3.0</v>
      </c>
      <c r="E162" s="19">
        <v>2.0</v>
      </c>
      <c r="F162" s="20">
        <v>14000.0</v>
      </c>
      <c r="G162" s="21" t="s">
        <v>2711</v>
      </c>
      <c r="H162" s="19">
        <v>5.0</v>
      </c>
      <c r="I162" s="21" t="s">
        <v>42</v>
      </c>
      <c r="J162" s="22" t="s">
        <v>2592</v>
      </c>
    </row>
    <row r="163" ht="14.25" customHeight="1">
      <c r="A163" s="15" t="s">
        <v>2873</v>
      </c>
      <c r="B163" s="16">
        <v>45082.0</v>
      </c>
      <c r="C163" s="17">
        <v>45086.0</v>
      </c>
      <c r="D163" s="18">
        <v>20.0</v>
      </c>
      <c r="E163" s="19">
        <v>6.0</v>
      </c>
      <c r="F163" s="20">
        <v>28000.0</v>
      </c>
      <c r="G163" s="21" t="s">
        <v>2711</v>
      </c>
      <c r="H163" s="19">
        <v>5.0</v>
      </c>
      <c r="I163" s="21" t="s">
        <v>1224</v>
      </c>
      <c r="J163" s="22" t="s">
        <v>2537</v>
      </c>
    </row>
    <row r="164" ht="14.25" customHeight="1">
      <c r="A164" s="15" t="s">
        <v>2874</v>
      </c>
      <c r="B164" s="16">
        <v>45082.0</v>
      </c>
      <c r="C164" s="17">
        <v>45083.0</v>
      </c>
      <c r="D164" s="18">
        <v>5.0</v>
      </c>
      <c r="E164" s="19">
        <v>2.0</v>
      </c>
      <c r="F164" s="20">
        <v>14000.0</v>
      </c>
      <c r="G164" s="21" t="s">
        <v>2711</v>
      </c>
      <c r="H164" s="19">
        <v>5.0</v>
      </c>
      <c r="I164" s="21" t="s">
        <v>2053</v>
      </c>
      <c r="J164" s="22" t="s">
        <v>2577</v>
      </c>
    </row>
    <row r="165" ht="14.25" customHeight="1">
      <c r="A165" s="15" t="s">
        <v>2875</v>
      </c>
      <c r="B165" s="16">
        <v>45082.0</v>
      </c>
      <c r="C165" s="17">
        <v>45084.0</v>
      </c>
      <c r="D165" s="18">
        <v>12.0</v>
      </c>
      <c r="E165" s="19">
        <v>6.0</v>
      </c>
      <c r="F165" s="20">
        <v>22000.0</v>
      </c>
      <c r="G165" s="21" t="s">
        <v>2711</v>
      </c>
      <c r="H165" s="19">
        <v>5.0</v>
      </c>
      <c r="I165" s="21" t="s">
        <v>1141</v>
      </c>
      <c r="J165" s="22" t="s">
        <v>2537</v>
      </c>
    </row>
    <row r="166" ht="14.25" customHeight="1">
      <c r="A166" s="15" t="s">
        <v>2876</v>
      </c>
      <c r="B166" s="16">
        <v>45082.0</v>
      </c>
      <c r="C166" s="17">
        <v>45084.0</v>
      </c>
      <c r="D166" s="18">
        <v>2.0</v>
      </c>
      <c r="E166" s="19">
        <v>3.0</v>
      </c>
      <c r="F166" s="20">
        <v>16000.0</v>
      </c>
      <c r="G166" s="21" t="s">
        <v>2711</v>
      </c>
      <c r="H166" s="19">
        <v>4.0</v>
      </c>
      <c r="I166" s="21" t="s">
        <v>1025</v>
      </c>
      <c r="J166" s="22" t="s">
        <v>2632</v>
      </c>
    </row>
    <row r="167" ht="14.25" customHeight="1">
      <c r="A167" s="15" t="s">
        <v>2877</v>
      </c>
      <c r="B167" s="16">
        <v>45082.0</v>
      </c>
      <c r="C167" s="17">
        <v>45084.0</v>
      </c>
      <c r="D167" s="18">
        <v>3.0</v>
      </c>
      <c r="E167" s="19">
        <v>1.0</v>
      </c>
      <c r="F167" s="20">
        <v>12000.0</v>
      </c>
      <c r="G167" s="21" t="s">
        <v>2711</v>
      </c>
      <c r="H167" s="19">
        <v>4.0</v>
      </c>
      <c r="I167" s="21" t="s">
        <v>2021</v>
      </c>
      <c r="J167" s="22" t="s">
        <v>2567</v>
      </c>
    </row>
    <row r="168" ht="14.25" customHeight="1">
      <c r="A168" s="15" t="s">
        <v>2878</v>
      </c>
      <c r="B168" s="16">
        <v>45082.0</v>
      </c>
      <c r="C168" s="17">
        <v>45083.0</v>
      </c>
      <c r="D168" s="18">
        <v>2.0</v>
      </c>
      <c r="E168" s="19">
        <v>3.0</v>
      </c>
      <c r="F168" s="20">
        <v>16000.0</v>
      </c>
      <c r="G168" s="21" t="s">
        <v>2711</v>
      </c>
      <c r="H168" s="19">
        <v>4.0</v>
      </c>
      <c r="I168" s="21" t="s">
        <v>2330</v>
      </c>
      <c r="J168" s="22" t="s">
        <v>2547</v>
      </c>
    </row>
    <row r="169" ht="14.25" customHeight="1">
      <c r="A169" s="15" t="s">
        <v>2879</v>
      </c>
      <c r="B169" s="16">
        <v>45082.0</v>
      </c>
      <c r="C169" s="17">
        <v>45086.0</v>
      </c>
      <c r="D169" s="18">
        <v>6.0</v>
      </c>
      <c r="E169" s="19">
        <v>2.0</v>
      </c>
      <c r="F169" s="20">
        <v>14000.0</v>
      </c>
      <c r="G169" s="21" t="s">
        <v>2711</v>
      </c>
      <c r="H169" s="19">
        <v>4.0</v>
      </c>
      <c r="I169" s="21" t="s">
        <v>1740</v>
      </c>
      <c r="J169" s="22" t="s">
        <v>2516</v>
      </c>
    </row>
    <row r="170" ht="14.25" customHeight="1">
      <c r="A170" s="15" t="s">
        <v>2880</v>
      </c>
      <c r="B170" s="16">
        <v>45082.0</v>
      </c>
      <c r="C170" s="17">
        <v>45084.0</v>
      </c>
      <c r="D170" s="18">
        <v>5.0</v>
      </c>
      <c r="E170" s="19">
        <v>3.0</v>
      </c>
      <c r="F170" s="20">
        <v>16000.0</v>
      </c>
      <c r="G170" s="21" t="s">
        <v>2711</v>
      </c>
      <c r="H170" s="19">
        <v>5.0</v>
      </c>
      <c r="I170" s="21" t="s">
        <v>712</v>
      </c>
      <c r="J170" s="22" t="s">
        <v>2490</v>
      </c>
    </row>
    <row r="171" ht="14.25" customHeight="1">
      <c r="A171" s="15" t="s">
        <v>2881</v>
      </c>
      <c r="B171" s="16">
        <v>45082.0</v>
      </c>
      <c r="C171" s="17">
        <v>45083.0</v>
      </c>
      <c r="D171" s="18">
        <v>6.0</v>
      </c>
      <c r="E171" s="19">
        <v>2.0</v>
      </c>
      <c r="F171" s="20">
        <v>14000.0</v>
      </c>
      <c r="G171" s="21" t="s">
        <v>2711</v>
      </c>
      <c r="H171" s="19">
        <v>5.0</v>
      </c>
      <c r="I171" s="21" t="s">
        <v>1109</v>
      </c>
      <c r="J171" s="22" t="s">
        <v>2506</v>
      </c>
    </row>
    <row r="172" ht="14.25" customHeight="1">
      <c r="A172" s="15" t="s">
        <v>2882</v>
      </c>
      <c r="B172" s="16">
        <v>45082.0</v>
      </c>
      <c r="C172" s="17">
        <v>45086.0</v>
      </c>
      <c r="D172" s="18">
        <v>2.0</v>
      </c>
      <c r="E172" s="19">
        <v>1.0</v>
      </c>
      <c r="F172" s="20">
        <v>12000.0</v>
      </c>
      <c r="G172" s="21" t="s">
        <v>2711</v>
      </c>
      <c r="H172" s="19">
        <v>5.0</v>
      </c>
      <c r="I172" s="21" t="s">
        <v>942</v>
      </c>
      <c r="J172" s="22" t="s">
        <v>2597</v>
      </c>
    </row>
    <row r="173" ht="14.25" customHeight="1">
      <c r="A173" s="15" t="s">
        <v>2883</v>
      </c>
      <c r="B173" s="16">
        <v>45082.0</v>
      </c>
      <c r="C173" s="17">
        <v>45086.0</v>
      </c>
      <c r="D173" s="18">
        <v>2.0</v>
      </c>
      <c r="E173" s="19">
        <v>3.0</v>
      </c>
      <c r="F173" s="20">
        <v>16000.0</v>
      </c>
      <c r="G173" s="21" t="s">
        <v>2711</v>
      </c>
      <c r="H173" s="19">
        <v>4.0</v>
      </c>
      <c r="I173" s="21" t="s">
        <v>605</v>
      </c>
      <c r="J173" s="22" t="s">
        <v>2642</v>
      </c>
    </row>
    <row r="174" ht="14.25" customHeight="1">
      <c r="A174" s="15" t="s">
        <v>2884</v>
      </c>
      <c r="B174" s="16">
        <v>45082.0</v>
      </c>
      <c r="C174" s="17">
        <v>45087.0</v>
      </c>
      <c r="D174" s="18">
        <v>9.0</v>
      </c>
      <c r="E174" s="19">
        <v>6.0</v>
      </c>
      <c r="F174" s="20">
        <v>22000.0</v>
      </c>
      <c r="G174" s="21" t="s">
        <v>2711</v>
      </c>
      <c r="H174" s="19">
        <v>4.0</v>
      </c>
      <c r="I174" s="21" t="s">
        <v>2469</v>
      </c>
      <c r="J174" s="22" t="s">
        <v>2484</v>
      </c>
    </row>
    <row r="175" ht="14.25" customHeight="1">
      <c r="A175" s="15" t="s">
        <v>2885</v>
      </c>
      <c r="B175" s="17">
        <v>45083.0</v>
      </c>
      <c r="C175" s="17">
        <f>B175 + RANDBETWEEN(1,5)</f>
        <v>45088</v>
      </c>
      <c r="D175" s="18">
        <v>6.0</v>
      </c>
      <c r="E175" s="19">
        <v>1.0</v>
      </c>
      <c r="F175" s="20">
        <v>12000.0</v>
      </c>
      <c r="G175" s="24" t="s">
        <v>2711</v>
      </c>
      <c r="H175" s="19">
        <v>4.0</v>
      </c>
      <c r="I175" s="21" t="s">
        <v>1304</v>
      </c>
      <c r="J175" s="22" t="s">
        <v>2692</v>
      </c>
    </row>
    <row r="176" ht="14.25" customHeight="1">
      <c r="A176" s="15" t="s">
        <v>2886</v>
      </c>
      <c r="B176" s="16">
        <v>45083.0</v>
      </c>
      <c r="C176" s="17">
        <v>45088.0</v>
      </c>
      <c r="D176" s="18">
        <v>4.0</v>
      </c>
      <c r="E176" s="19">
        <v>1.0</v>
      </c>
      <c r="F176" s="20">
        <v>12000.0</v>
      </c>
      <c r="G176" s="21" t="s">
        <v>2711</v>
      </c>
      <c r="H176" s="19">
        <v>4.0</v>
      </c>
      <c r="I176" s="21" t="s">
        <v>1390</v>
      </c>
      <c r="J176" s="22" t="s">
        <v>2642</v>
      </c>
    </row>
    <row r="177" ht="14.25" customHeight="1">
      <c r="A177" s="15" t="s">
        <v>2887</v>
      </c>
      <c r="B177" s="16">
        <v>45083.0</v>
      </c>
      <c r="C177" s="17">
        <v>45085.0</v>
      </c>
      <c r="D177" s="18">
        <v>14.0</v>
      </c>
      <c r="E177" s="19">
        <v>6.0</v>
      </c>
      <c r="F177" s="20">
        <v>22000.0</v>
      </c>
      <c r="G177" s="24" t="s">
        <v>2711</v>
      </c>
      <c r="H177" s="19">
        <v>4.0</v>
      </c>
      <c r="I177" s="21" t="s">
        <v>1425</v>
      </c>
      <c r="J177" s="22" t="s">
        <v>2662</v>
      </c>
    </row>
    <row r="178" ht="14.25" customHeight="1">
      <c r="A178" s="15" t="s">
        <v>2888</v>
      </c>
      <c r="B178" s="16">
        <v>45083.0</v>
      </c>
      <c r="C178" s="17">
        <v>45088.0</v>
      </c>
      <c r="D178" s="18">
        <v>5.0</v>
      </c>
      <c r="E178" s="19">
        <v>2.0</v>
      </c>
      <c r="F178" s="20">
        <v>14000.0</v>
      </c>
      <c r="G178" s="21" t="s">
        <v>2711</v>
      </c>
      <c r="H178" s="19">
        <v>4.0</v>
      </c>
      <c r="I178" s="21" t="s">
        <v>918</v>
      </c>
      <c r="J178" s="22" t="s">
        <v>2542</v>
      </c>
    </row>
    <row r="179" ht="14.25" customHeight="1">
      <c r="A179" s="15" t="s">
        <v>2889</v>
      </c>
      <c r="B179" s="16">
        <v>45083.0</v>
      </c>
      <c r="C179" s="17">
        <v>45085.0</v>
      </c>
      <c r="D179" s="18">
        <v>18.0</v>
      </c>
      <c r="E179" s="19">
        <v>9.0</v>
      </c>
      <c r="F179" s="20">
        <v>33400.0</v>
      </c>
      <c r="G179" s="21" t="s">
        <v>2711</v>
      </c>
      <c r="H179" s="19">
        <v>5.0</v>
      </c>
      <c r="I179" s="21" t="s">
        <v>2104</v>
      </c>
      <c r="J179" s="22" t="s">
        <v>2537</v>
      </c>
    </row>
    <row r="180" ht="14.25" customHeight="1">
      <c r="A180" s="15" t="s">
        <v>2890</v>
      </c>
      <c r="B180" s="16">
        <v>45083.0</v>
      </c>
      <c r="C180" s="17">
        <v>45087.0</v>
      </c>
      <c r="D180" s="18">
        <v>3.0</v>
      </c>
      <c r="E180" s="19">
        <v>3.0</v>
      </c>
      <c r="F180" s="20">
        <v>16000.0</v>
      </c>
      <c r="G180" s="21" t="s">
        <v>2711</v>
      </c>
      <c r="H180" s="19">
        <v>5.0</v>
      </c>
      <c r="I180" s="21" t="s">
        <v>1001</v>
      </c>
      <c r="J180" s="22" t="s">
        <v>2602</v>
      </c>
    </row>
    <row r="181" ht="14.25" customHeight="1">
      <c r="A181" s="15" t="s">
        <v>2891</v>
      </c>
      <c r="B181" s="16">
        <v>45083.0</v>
      </c>
      <c r="C181" s="17">
        <v>45088.0</v>
      </c>
      <c r="D181" s="29">
        <v>13.0</v>
      </c>
      <c r="E181" s="19">
        <v>7.0</v>
      </c>
      <c r="F181" s="20">
        <v>24000.0</v>
      </c>
      <c r="G181" s="24" t="s">
        <v>2711</v>
      </c>
      <c r="H181" s="19">
        <v>5.0</v>
      </c>
      <c r="I181" s="21" t="s">
        <v>668</v>
      </c>
      <c r="J181" s="22" t="s">
        <v>2637</v>
      </c>
    </row>
    <row r="182" ht="14.25" customHeight="1">
      <c r="A182" s="15" t="s">
        <v>2892</v>
      </c>
      <c r="B182" s="16">
        <v>45083.0</v>
      </c>
      <c r="C182" s="17">
        <v>45085.0</v>
      </c>
      <c r="D182" s="29">
        <v>6.0</v>
      </c>
      <c r="E182" s="19">
        <v>3.0</v>
      </c>
      <c r="F182" s="20">
        <v>16000.0</v>
      </c>
      <c r="G182" s="21" t="s">
        <v>2711</v>
      </c>
      <c r="H182" s="19">
        <v>4.0</v>
      </c>
      <c r="I182" s="21" t="s">
        <v>342</v>
      </c>
      <c r="J182" s="22" t="s">
        <v>2542</v>
      </c>
    </row>
    <row r="183" ht="14.25" customHeight="1">
      <c r="A183" s="15" t="s">
        <v>2893</v>
      </c>
      <c r="B183" s="16">
        <v>45083.0</v>
      </c>
      <c r="C183" s="17">
        <v>45088.0</v>
      </c>
      <c r="D183" s="18">
        <v>1.0</v>
      </c>
      <c r="E183" s="19">
        <v>3.0</v>
      </c>
      <c r="F183" s="20">
        <v>16000.0</v>
      </c>
      <c r="G183" s="21" t="s">
        <v>2711</v>
      </c>
      <c r="H183" s="19">
        <v>5.0</v>
      </c>
      <c r="I183" s="21" t="s">
        <v>1093</v>
      </c>
      <c r="J183" s="22" t="s">
        <v>2516</v>
      </c>
    </row>
    <row r="184" ht="14.25" customHeight="1">
      <c r="A184" s="15" t="s">
        <v>2894</v>
      </c>
      <c r="B184" s="16">
        <v>45083.0</v>
      </c>
      <c r="C184" s="17">
        <v>45086.0</v>
      </c>
      <c r="D184" s="18">
        <v>1.0</v>
      </c>
      <c r="E184" s="19">
        <v>2.0</v>
      </c>
      <c r="F184" s="20">
        <v>14000.0</v>
      </c>
      <c r="G184" s="24" t="s">
        <v>2711</v>
      </c>
      <c r="H184" s="19">
        <v>5.0</v>
      </c>
      <c r="I184" s="21" t="s">
        <v>2248</v>
      </c>
      <c r="J184" s="22" t="s">
        <v>2682</v>
      </c>
    </row>
    <row r="185" ht="14.25" customHeight="1">
      <c r="A185" s="15" t="s">
        <v>2895</v>
      </c>
      <c r="B185" s="16">
        <v>45083.0</v>
      </c>
      <c r="C185" s="17">
        <v>45088.0</v>
      </c>
      <c r="D185" s="18">
        <v>1.0</v>
      </c>
      <c r="E185" s="19">
        <v>3.0</v>
      </c>
      <c r="F185" s="20">
        <v>16000.0</v>
      </c>
      <c r="G185" s="24" t="s">
        <v>2711</v>
      </c>
      <c r="H185" s="19">
        <v>5.0</v>
      </c>
      <c r="I185" s="21" t="s">
        <v>708</v>
      </c>
      <c r="J185" s="22" t="s">
        <v>2652</v>
      </c>
    </row>
    <row r="186" ht="14.25" customHeight="1">
      <c r="A186" s="15" t="s">
        <v>2896</v>
      </c>
      <c r="B186" s="16">
        <v>45083.0</v>
      </c>
      <c r="C186" s="17">
        <v>45084.0</v>
      </c>
      <c r="D186" s="18">
        <v>7.0</v>
      </c>
      <c r="E186" s="19">
        <v>7.0</v>
      </c>
      <c r="F186" s="20">
        <v>24000.0</v>
      </c>
      <c r="G186" s="21" t="s">
        <v>2711</v>
      </c>
      <c r="H186" s="19">
        <v>5.0</v>
      </c>
      <c r="I186" s="21" t="s">
        <v>775</v>
      </c>
      <c r="J186" s="22" t="s">
        <v>2484</v>
      </c>
    </row>
    <row r="187" ht="14.25" customHeight="1">
      <c r="A187" s="15" t="s">
        <v>2897</v>
      </c>
      <c r="B187" s="16">
        <v>45083.0</v>
      </c>
      <c r="C187" s="17">
        <v>45088.0</v>
      </c>
      <c r="D187" s="18">
        <v>14.0</v>
      </c>
      <c r="E187" s="19">
        <v>10.0</v>
      </c>
      <c r="F187" s="20">
        <v>30000.0</v>
      </c>
      <c r="G187" s="21" t="s">
        <v>2711</v>
      </c>
      <c r="H187" s="19">
        <v>5.0</v>
      </c>
      <c r="I187" s="21" t="s">
        <v>1760</v>
      </c>
      <c r="J187" s="22" t="s">
        <v>2484</v>
      </c>
    </row>
    <row r="188" ht="14.25" customHeight="1">
      <c r="A188" s="15" t="s">
        <v>2898</v>
      </c>
      <c r="B188" s="16">
        <v>45083.0</v>
      </c>
      <c r="C188" s="17">
        <v>45085.0</v>
      </c>
      <c r="D188" s="18">
        <v>17.0</v>
      </c>
      <c r="E188" s="19">
        <v>5.0</v>
      </c>
      <c r="F188" s="20">
        <v>25100.0</v>
      </c>
      <c r="G188" s="21" t="s">
        <v>2711</v>
      </c>
      <c r="H188" s="19">
        <v>4.0</v>
      </c>
      <c r="I188" s="21" t="s">
        <v>146</v>
      </c>
      <c r="J188" s="22" t="s">
        <v>2484</v>
      </c>
    </row>
    <row r="189" ht="14.25" customHeight="1">
      <c r="A189" s="15" t="s">
        <v>2899</v>
      </c>
      <c r="B189" s="16">
        <v>45083.0</v>
      </c>
      <c r="C189" s="17">
        <v>45084.0</v>
      </c>
      <c r="D189" s="18">
        <v>4.0</v>
      </c>
      <c r="E189" s="19">
        <v>2.0</v>
      </c>
      <c r="F189" s="20">
        <v>14000.0</v>
      </c>
      <c r="G189" s="21" t="s">
        <v>2711</v>
      </c>
      <c r="H189" s="19">
        <v>4.0</v>
      </c>
      <c r="I189" s="21" t="s">
        <v>2009</v>
      </c>
      <c r="J189" s="22" t="s">
        <v>2527</v>
      </c>
    </row>
    <row r="190" ht="14.25" customHeight="1">
      <c r="A190" s="15" t="s">
        <v>2900</v>
      </c>
      <c r="B190" s="16">
        <v>45083.0</v>
      </c>
      <c r="C190" s="17">
        <v>45085.0</v>
      </c>
      <c r="D190" s="18">
        <v>2.0</v>
      </c>
      <c r="E190" s="19">
        <v>1.0</v>
      </c>
      <c r="F190" s="20">
        <v>12000.0</v>
      </c>
      <c r="G190" s="21" t="s">
        <v>2711</v>
      </c>
      <c r="H190" s="19">
        <v>5.0</v>
      </c>
      <c r="I190" s="21" t="s">
        <v>2064</v>
      </c>
      <c r="J190" s="22" t="s">
        <v>2647</v>
      </c>
    </row>
    <row r="191" ht="14.25" customHeight="1">
      <c r="A191" s="15" t="s">
        <v>2901</v>
      </c>
      <c r="B191" s="16">
        <v>45083.0</v>
      </c>
      <c r="C191" s="17">
        <v>45085.0</v>
      </c>
      <c r="D191" s="18">
        <v>9.0</v>
      </c>
      <c r="E191" s="19">
        <v>6.0</v>
      </c>
      <c r="F191" s="20">
        <v>22000.0</v>
      </c>
      <c r="G191" s="21" t="s">
        <v>2711</v>
      </c>
      <c r="H191" s="19">
        <v>4.0</v>
      </c>
      <c r="I191" s="21" t="s">
        <v>894</v>
      </c>
      <c r="J191" s="22" t="s">
        <v>2587</v>
      </c>
    </row>
    <row r="192" ht="14.25" customHeight="1">
      <c r="A192" s="15" t="s">
        <v>2902</v>
      </c>
      <c r="B192" s="16">
        <v>45083.0</v>
      </c>
      <c r="C192" s="17">
        <v>45084.0</v>
      </c>
      <c r="D192" s="18">
        <v>11.0</v>
      </c>
      <c r="E192" s="19">
        <v>4.0</v>
      </c>
      <c r="F192" s="20">
        <v>18000.0</v>
      </c>
      <c r="G192" s="21" t="s">
        <v>2711</v>
      </c>
      <c r="H192" s="19">
        <v>5.0</v>
      </c>
      <c r="I192" s="21" t="s">
        <v>2425</v>
      </c>
      <c r="J192" s="22" t="s">
        <v>2484</v>
      </c>
    </row>
    <row r="193" ht="14.25" customHeight="1">
      <c r="A193" s="15" t="s">
        <v>2903</v>
      </c>
      <c r="B193" s="16">
        <v>45083.0</v>
      </c>
      <c r="C193" s="17">
        <v>45087.0</v>
      </c>
      <c r="D193" s="18">
        <v>2.0</v>
      </c>
      <c r="E193" s="19">
        <v>2.0</v>
      </c>
      <c r="F193" s="20">
        <v>14000.0</v>
      </c>
      <c r="G193" s="21" t="s">
        <v>2711</v>
      </c>
      <c r="H193" s="19">
        <v>5.0</v>
      </c>
      <c r="I193" s="21" t="s">
        <v>795</v>
      </c>
      <c r="J193" s="22" t="s">
        <v>2642</v>
      </c>
    </row>
    <row r="194" ht="14.25" customHeight="1">
      <c r="A194" s="15" t="s">
        <v>2904</v>
      </c>
      <c r="B194" s="16">
        <v>45083.0</v>
      </c>
      <c r="C194" s="17">
        <v>45084.0</v>
      </c>
      <c r="D194" s="18">
        <v>9.0</v>
      </c>
      <c r="E194" s="19">
        <v>8.0</v>
      </c>
      <c r="F194" s="20">
        <v>26000.0</v>
      </c>
      <c r="G194" s="21" t="s">
        <v>2711</v>
      </c>
      <c r="H194" s="19">
        <v>4.0</v>
      </c>
      <c r="I194" s="21" t="s">
        <v>529</v>
      </c>
      <c r="J194" s="22" t="s">
        <v>2484</v>
      </c>
    </row>
    <row r="195" ht="14.25" customHeight="1">
      <c r="A195" s="15" t="s">
        <v>2905</v>
      </c>
      <c r="B195" s="16">
        <v>45083.0</v>
      </c>
      <c r="C195" s="17">
        <v>45086.0</v>
      </c>
      <c r="D195" s="18">
        <v>5.0</v>
      </c>
      <c r="E195" s="19">
        <v>1.0</v>
      </c>
      <c r="F195" s="20">
        <v>12000.0</v>
      </c>
      <c r="G195" s="21" t="s">
        <v>2711</v>
      </c>
      <c r="H195" s="19">
        <v>4.0</v>
      </c>
      <c r="I195" s="21" t="s">
        <v>1280</v>
      </c>
      <c r="J195" s="22" t="s">
        <v>2506</v>
      </c>
    </row>
    <row r="196" ht="14.25" customHeight="1">
      <c r="A196" s="15" t="s">
        <v>2906</v>
      </c>
      <c r="B196" s="16">
        <v>45083.0</v>
      </c>
      <c r="C196" s="17">
        <v>45088.0</v>
      </c>
      <c r="D196" s="18">
        <v>3.0</v>
      </c>
      <c r="E196" s="19">
        <v>3.0</v>
      </c>
      <c r="F196" s="20">
        <v>16000.0</v>
      </c>
      <c r="G196" s="21" t="s">
        <v>2711</v>
      </c>
      <c r="H196" s="19">
        <v>5.0</v>
      </c>
      <c r="I196" s="21" t="s">
        <v>1842</v>
      </c>
      <c r="J196" s="22" t="s">
        <v>2622</v>
      </c>
    </row>
    <row r="197" ht="14.25" customHeight="1">
      <c r="A197" s="15" t="s">
        <v>2907</v>
      </c>
      <c r="B197" s="16">
        <v>45083.0</v>
      </c>
      <c r="C197" s="17">
        <v>45084.0</v>
      </c>
      <c r="D197" s="18">
        <v>2.0</v>
      </c>
      <c r="E197" s="19">
        <v>2.0</v>
      </c>
      <c r="F197" s="20">
        <v>14000.0</v>
      </c>
      <c r="G197" s="21" t="s">
        <v>2711</v>
      </c>
      <c r="H197" s="19">
        <v>4.0</v>
      </c>
      <c r="I197" s="21" t="s">
        <v>1965</v>
      </c>
      <c r="J197" s="22" t="s">
        <v>2612</v>
      </c>
    </row>
    <row r="198" ht="14.25" customHeight="1">
      <c r="A198" s="15" t="s">
        <v>2908</v>
      </c>
      <c r="B198" s="16">
        <v>45083.0</v>
      </c>
      <c r="C198" s="17">
        <v>45085.0</v>
      </c>
      <c r="D198" s="18">
        <v>20.0</v>
      </c>
      <c r="E198" s="19">
        <v>5.0</v>
      </c>
      <c r="F198" s="20">
        <v>26000.0</v>
      </c>
      <c r="G198" s="21" t="s">
        <v>2711</v>
      </c>
      <c r="H198" s="19">
        <v>5.0</v>
      </c>
      <c r="I198" s="21" t="s">
        <v>2330</v>
      </c>
      <c r="J198" s="22" t="s">
        <v>2537</v>
      </c>
    </row>
    <row r="199" ht="14.25" customHeight="1">
      <c r="A199" s="15" t="s">
        <v>2909</v>
      </c>
      <c r="B199" s="16">
        <v>45083.0</v>
      </c>
      <c r="C199" s="17">
        <v>45087.0</v>
      </c>
      <c r="D199" s="18">
        <v>20.0</v>
      </c>
      <c r="E199" s="19">
        <v>10.0</v>
      </c>
      <c r="F199" s="20">
        <v>36000.0</v>
      </c>
      <c r="G199" s="21" t="s">
        <v>2711</v>
      </c>
      <c r="H199" s="19">
        <v>4.0</v>
      </c>
      <c r="I199" s="21" t="s">
        <v>617</v>
      </c>
      <c r="J199" s="22" t="s">
        <v>2607</v>
      </c>
    </row>
    <row r="200" ht="14.25" customHeight="1">
      <c r="A200" s="15" t="s">
        <v>2910</v>
      </c>
      <c r="B200" s="16">
        <v>45083.0</v>
      </c>
      <c r="C200" s="17">
        <v>45088.0</v>
      </c>
      <c r="D200" s="18">
        <v>6.0</v>
      </c>
      <c r="E200" s="19">
        <v>3.0</v>
      </c>
      <c r="F200" s="20">
        <v>16000.0</v>
      </c>
      <c r="G200" s="21" t="s">
        <v>2711</v>
      </c>
      <c r="H200" s="19">
        <v>5.0</v>
      </c>
      <c r="I200" s="21" t="s">
        <v>2255</v>
      </c>
      <c r="J200" s="22" t="s">
        <v>2612</v>
      </c>
    </row>
    <row r="201" ht="14.25" customHeight="1">
      <c r="A201" s="15" t="s">
        <v>2911</v>
      </c>
      <c r="B201" s="16">
        <v>45083.0</v>
      </c>
      <c r="C201" s="17">
        <v>45088.0</v>
      </c>
      <c r="D201" s="18">
        <v>5.0</v>
      </c>
      <c r="E201" s="19">
        <v>2.0</v>
      </c>
      <c r="F201" s="20">
        <v>14000.0</v>
      </c>
      <c r="G201" s="21" t="s">
        <v>2711</v>
      </c>
      <c r="H201" s="19">
        <v>4.0</v>
      </c>
      <c r="I201" s="21" t="s">
        <v>406</v>
      </c>
      <c r="J201" s="22" t="s">
        <v>2647</v>
      </c>
    </row>
    <row r="202" ht="14.25" customHeight="1">
      <c r="A202" s="15" t="s">
        <v>2912</v>
      </c>
      <c r="B202" s="16">
        <v>45083.0</v>
      </c>
      <c r="C202" s="17">
        <v>45086.0</v>
      </c>
      <c r="D202" s="18">
        <v>4.0</v>
      </c>
      <c r="E202" s="19">
        <v>3.0</v>
      </c>
      <c r="F202" s="20">
        <v>16000.0</v>
      </c>
      <c r="G202" s="21" t="s">
        <v>2711</v>
      </c>
      <c r="H202" s="19">
        <v>3.0</v>
      </c>
      <c r="I202" s="21" t="s">
        <v>2302</v>
      </c>
      <c r="J202" s="22" t="s">
        <v>2682</v>
      </c>
    </row>
    <row r="203" ht="14.25" customHeight="1">
      <c r="A203" s="15" t="s">
        <v>2913</v>
      </c>
      <c r="B203" s="16">
        <v>45083.0</v>
      </c>
      <c r="C203" s="17">
        <v>45086.0</v>
      </c>
      <c r="D203" s="18">
        <v>6.0</v>
      </c>
      <c r="E203" s="19">
        <v>2.0</v>
      </c>
      <c r="F203" s="20">
        <v>14000.0</v>
      </c>
      <c r="G203" s="21" t="s">
        <v>2711</v>
      </c>
      <c r="H203" s="19">
        <v>3.0</v>
      </c>
      <c r="I203" s="21" t="s">
        <v>1093</v>
      </c>
      <c r="J203" s="22" t="s">
        <v>2506</v>
      </c>
    </row>
    <row r="204" ht="14.25" customHeight="1">
      <c r="A204" s="15" t="s">
        <v>2914</v>
      </c>
      <c r="B204" s="16">
        <v>45083.0</v>
      </c>
      <c r="C204" s="17">
        <v>45085.0</v>
      </c>
      <c r="D204" s="18">
        <v>13.0</v>
      </c>
      <c r="E204" s="19">
        <v>8.0</v>
      </c>
      <c r="F204" s="20">
        <v>26000.0</v>
      </c>
      <c r="G204" s="21" t="s">
        <v>2711</v>
      </c>
      <c r="H204" s="19">
        <v>4.0</v>
      </c>
      <c r="I204" s="21" t="s">
        <v>846</v>
      </c>
      <c r="J204" s="22" t="s">
        <v>2672</v>
      </c>
      <c r="K204" s="27"/>
    </row>
    <row r="205" ht="14.25" customHeight="1">
      <c r="A205" s="15" t="s">
        <v>2915</v>
      </c>
      <c r="B205" s="16">
        <v>45083.0</v>
      </c>
      <c r="C205" s="17">
        <v>45084.0</v>
      </c>
      <c r="D205" s="18">
        <v>5.0</v>
      </c>
      <c r="E205" s="19">
        <v>3.0</v>
      </c>
      <c r="F205" s="20">
        <v>16000.0</v>
      </c>
      <c r="G205" s="21" t="s">
        <v>2711</v>
      </c>
      <c r="H205" s="19">
        <v>3.0</v>
      </c>
      <c r="I205" s="21" t="s">
        <v>462</v>
      </c>
      <c r="J205" s="22" t="s">
        <v>2642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</row>
    <row r="206" ht="14.25" customHeight="1">
      <c r="A206" s="15" t="s">
        <v>2916</v>
      </c>
      <c r="B206" s="16">
        <v>45083.0</v>
      </c>
      <c r="C206" s="17">
        <v>45086.0</v>
      </c>
      <c r="D206" s="18">
        <v>10.0</v>
      </c>
      <c r="E206" s="19">
        <v>9.0</v>
      </c>
      <c r="F206" s="20">
        <v>28000.0</v>
      </c>
      <c r="G206" s="21" t="s">
        <v>2711</v>
      </c>
      <c r="H206" s="19">
        <v>5.0</v>
      </c>
      <c r="I206" s="21" t="s">
        <v>1870</v>
      </c>
      <c r="J206" s="22" t="s">
        <v>2537</v>
      </c>
    </row>
    <row r="207" ht="14.25" customHeight="1">
      <c r="A207" s="15" t="s">
        <v>2917</v>
      </c>
      <c r="B207" s="16">
        <v>45084.0</v>
      </c>
      <c r="C207" s="17">
        <v>45088.0</v>
      </c>
      <c r="D207" s="18">
        <v>2.0</v>
      </c>
      <c r="E207" s="19">
        <v>1.0</v>
      </c>
      <c r="F207" s="20">
        <v>12000.0</v>
      </c>
      <c r="G207" s="21" t="s">
        <v>2711</v>
      </c>
      <c r="H207" s="19">
        <v>4.0</v>
      </c>
      <c r="I207" s="21" t="s">
        <v>1244</v>
      </c>
      <c r="J207" s="22" t="s">
        <v>2490</v>
      </c>
    </row>
    <row r="208" ht="14.25" customHeight="1">
      <c r="A208" s="15" t="s">
        <v>2918</v>
      </c>
      <c r="B208" s="16">
        <v>45084.0</v>
      </c>
      <c r="C208" s="17">
        <v>45089.0</v>
      </c>
      <c r="D208" s="18">
        <v>2.0</v>
      </c>
      <c r="E208" s="19">
        <v>1.0</v>
      </c>
      <c r="F208" s="20">
        <v>12000.0</v>
      </c>
      <c r="G208" s="21" t="s">
        <v>2711</v>
      </c>
      <c r="H208" s="19">
        <v>4.0</v>
      </c>
      <c r="I208" s="21" t="s">
        <v>1344</v>
      </c>
      <c r="J208" s="22" t="s">
        <v>2597</v>
      </c>
    </row>
    <row r="209" ht="14.25" customHeight="1">
      <c r="A209" s="15" t="s">
        <v>2919</v>
      </c>
      <c r="B209" s="16">
        <v>45084.0</v>
      </c>
      <c r="C209" s="17">
        <v>45089.0</v>
      </c>
      <c r="D209" s="18">
        <v>1.0</v>
      </c>
      <c r="E209" s="19">
        <v>3.0</v>
      </c>
      <c r="F209" s="20">
        <v>16000.0</v>
      </c>
      <c r="G209" s="21" t="s">
        <v>2711</v>
      </c>
      <c r="H209" s="19">
        <v>5.0</v>
      </c>
      <c r="I209" s="21" t="s">
        <v>522</v>
      </c>
      <c r="J209" s="22" t="s">
        <v>2567</v>
      </c>
    </row>
    <row r="210" ht="14.25" customHeight="1">
      <c r="A210" s="15" t="s">
        <v>2920</v>
      </c>
      <c r="B210" s="16">
        <v>45084.0</v>
      </c>
      <c r="C210" s="17">
        <v>45088.0</v>
      </c>
      <c r="D210" s="18">
        <v>6.0</v>
      </c>
      <c r="E210" s="19">
        <v>1.0</v>
      </c>
      <c r="F210" s="20">
        <v>12000.0</v>
      </c>
      <c r="G210" s="21" t="s">
        <v>2711</v>
      </c>
      <c r="H210" s="19">
        <v>4.0</v>
      </c>
      <c r="I210" s="21" t="s">
        <v>118</v>
      </c>
      <c r="J210" s="22" t="s">
        <v>2562</v>
      </c>
    </row>
    <row r="211" ht="14.25" customHeight="1">
      <c r="A211" s="15" t="s">
        <v>2921</v>
      </c>
      <c r="B211" s="16">
        <v>45084.0</v>
      </c>
      <c r="C211" s="17">
        <v>45086.0</v>
      </c>
      <c r="D211" s="18">
        <v>18.0</v>
      </c>
      <c r="E211" s="19">
        <v>7.0</v>
      </c>
      <c r="F211" s="20">
        <v>29400.0</v>
      </c>
      <c r="G211" s="21" t="s">
        <v>2711</v>
      </c>
      <c r="H211" s="19">
        <v>4.0</v>
      </c>
      <c r="I211" s="21" t="s">
        <v>1842</v>
      </c>
      <c r="J211" s="22" t="s">
        <v>2697</v>
      </c>
    </row>
    <row r="212" ht="14.25" customHeight="1">
      <c r="A212" s="15" t="s">
        <v>2922</v>
      </c>
      <c r="B212" s="16">
        <v>45084.0</v>
      </c>
      <c r="C212" s="17">
        <v>45087.0</v>
      </c>
      <c r="D212" s="18">
        <v>1.0</v>
      </c>
      <c r="E212" s="19">
        <v>3.0</v>
      </c>
      <c r="F212" s="20">
        <v>16000.0</v>
      </c>
      <c r="G212" s="21" t="s">
        <v>2711</v>
      </c>
      <c r="H212" s="19">
        <v>4.0</v>
      </c>
      <c r="I212" s="21" t="s">
        <v>358</v>
      </c>
      <c r="J212" s="22" t="s">
        <v>2692</v>
      </c>
    </row>
    <row r="213" ht="14.25" customHeight="1">
      <c r="A213" s="15" t="s">
        <v>2923</v>
      </c>
      <c r="B213" s="16">
        <v>45084.0</v>
      </c>
      <c r="C213" s="17">
        <v>45086.0</v>
      </c>
      <c r="D213" s="18">
        <v>8.0</v>
      </c>
      <c r="E213" s="19">
        <v>9.0</v>
      </c>
      <c r="F213" s="20">
        <v>28000.0</v>
      </c>
      <c r="G213" s="21" t="s">
        <v>2711</v>
      </c>
      <c r="H213" s="19">
        <v>4.0</v>
      </c>
      <c r="I213" s="21" t="s">
        <v>2373</v>
      </c>
      <c r="J213" s="22" t="s">
        <v>2672</v>
      </c>
    </row>
    <row r="214" ht="14.25" customHeight="1">
      <c r="A214" s="15" t="s">
        <v>2924</v>
      </c>
      <c r="B214" s="16">
        <v>45084.0</v>
      </c>
      <c r="C214" s="17">
        <v>45085.0</v>
      </c>
      <c r="D214" s="18">
        <v>1.0</v>
      </c>
      <c r="E214" s="19">
        <v>2.0</v>
      </c>
      <c r="F214" s="20">
        <v>14000.0</v>
      </c>
      <c r="G214" s="21" t="s">
        <v>2711</v>
      </c>
      <c r="H214" s="19">
        <v>5.0</v>
      </c>
      <c r="I214" s="21" t="s">
        <v>498</v>
      </c>
      <c r="J214" s="22" t="s">
        <v>2496</v>
      </c>
    </row>
    <row r="215" ht="14.25" customHeight="1">
      <c r="A215" s="15" t="s">
        <v>2925</v>
      </c>
      <c r="B215" s="16">
        <v>45084.0</v>
      </c>
      <c r="C215" s="17">
        <v>45087.0</v>
      </c>
      <c r="D215" s="18">
        <v>5.0</v>
      </c>
      <c r="E215" s="19">
        <v>1.0</v>
      </c>
      <c r="F215" s="20">
        <v>12000.0</v>
      </c>
      <c r="G215" s="21" t="s">
        <v>2711</v>
      </c>
      <c r="H215" s="19">
        <v>5.0</v>
      </c>
      <c r="I215" s="21" t="s">
        <v>2216</v>
      </c>
      <c r="J215" s="22" t="s">
        <v>2542</v>
      </c>
    </row>
    <row r="216" ht="14.25" customHeight="1">
      <c r="A216" s="15" t="s">
        <v>2926</v>
      </c>
      <c r="B216" s="16">
        <v>45084.0</v>
      </c>
      <c r="C216" s="17">
        <v>45087.0</v>
      </c>
      <c r="D216" s="18">
        <v>14.0</v>
      </c>
      <c r="E216" s="19">
        <v>9.0</v>
      </c>
      <c r="F216" s="20">
        <v>28000.0</v>
      </c>
      <c r="G216" s="21" t="s">
        <v>2747</v>
      </c>
      <c r="H216" s="21"/>
      <c r="I216" s="21" t="s">
        <v>510</v>
      </c>
      <c r="J216" s="22" t="s">
        <v>2627</v>
      </c>
    </row>
    <row r="217" ht="14.25" customHeight="1">
      <c r="A217" s="15" t="s">
        <v>2927</v>
      </c>
      <c r="B217" s="16">
        <v>45084.0</v>
      </c>
      <c r="C217" s="17">
        <v>45089.0</v>
      </c>
      <c r="D217" s="18">
        <v>4.0</v>
      </c>
      <c r="E217" s="19">
        <v>2.0</v>
      </c>
      <c r="F217" s="20">
        <v>14000.0</v>
      </c>
      <c r="G217" s="21" t="s">
        <v>2711</v>
      </c>
      <c r="H217" s="19">
        <v>4.0</v>
      </c>
      <c r="I217" s="21" t="s">
        <v>122</v>
      </c>
      <c r="J217" s="22" t="s">
        <v>2511</v>
      </c>
    </row>
    <row r="218" ht="14.25" customHeight="1">
      <c r="A218" s="15" t="s">
        <v>2928</v>
      </c>
      <c r="B218" s="16">
        <v>45084.0</v>
      </c>
      <c r="C218" s="17">
        <v>45089.0</v>
      </c>
      <c r="D218" s="18">
        <v>1.0</v>
      </c>
      <c r="E218" s="19">
        <v>3.0</v>
      </c>
      <c r="F218" s="20">
        <v>16000.0</v>
      </c>
      <c r="G218" s="21" t="s">
        <v>2711</v>
      </c>
      <c r="H218" s="19">
        <v>4.0</v>
      </c>
      <c r="I218" s="21" t="s">
        <v>206</v>
      </c>
      <c r="J218" s="22" t="s">
        <v>2572</v>
      </c>
    </row>
    <row r="219" ht="14.25" customHeight="1">
      <c r="A219" s="15" t="s">
        <v>2929</v>
      </c>
      <c r="B219" s="16">
        <v>45084.0</v>
      </c>
      <c r="C219" s="17">
        <v>45086.0</v>
      </c>
      <c r="D219" s="18">
        <v>17.0</v>
      </c>
      <c r="E219" s="19">
        <v>7.0</v>
      </c>
      <c r="F219" s="20">
        <v>29100.0</v>
      </c>
      <c r="G219" s="21" t="s">
        <v>2711</v>
      </c>
      <c r="H219" s="19">
        <v>4.0</v>
      </c>
      <c r="I219" s="21" t="s">
        <v>210</v>
      </c>
      <c r="J219" s="22" t="s">
        <v>2587</v>
      </c>
    </row>
    <row r="220" ht="14.25" customHeight="1">
      <c r="A220" s="15" t="s">
        <v>2930</v>
      </c>
      <c r="B220" s="16">
        <v>45084.0</v>
      </c>
      <c r="C220" s="17">
        <v>45087.0</v>
      </c>
      <c r="D220" s="18">
        <v>2.0</v>
      </c>
      <c r="E220" s="19">
        <v>1.0</v>
      </c>
      <c r="F220" s="20">
        <v>12000.0</v>
      </c>
      <c r="G220" s="21" t="s">
        <v>2711</v>
      </c>
      <c r="H220" s="19">
        <v>4.0</v>
      </c>
      <c r="I220" s="21" t="s">
        <v>1176</v>
      </c>
      <c r="J220" s="22" t="s">
        <v>2557</v>
      </c>
    </row>
    <row r="221" ht="14.25" customHeight="1">
      <c r="A221" s="15" t="s">
        <v>2931</v>
      </c>
      <c r="B221" s="16">
        <v>45084.0</v>
      </c>
      <c r="C221" s="17">
        <v>45085.0</v>
      </c>
      <c r="D221" s="18">
        <v>1.0</v>
      </c>
      <c r="E221" s="19">
        <v>1.0</v>
      </c>
      <c r="F221" s="20">
        <v>12000.0</v>
      </c>
      <c r="G221" s="21" t="s">
        <v>2711</v>
      </c>
      <c r="H221" s="19">
        <v>4.0</v>
      </c>
      <c r="I221" s="21" t="s">
        <v>1390</v>
      </c>
      <c r="J221" s="22" t="s">
        <v>2652</v>
      </c>
    </row>
    <row r="222" ht="14.25" customHeight="1">
      <c r="A222" s="15" t="s">
        <v>2932</v>
      </c>
      <c r="B222" s="16">
        <v>45084.0</v>
      </c>
      <c r="C222" s="17">
        <v>45088.0</v>
      </c>
      <c r="D222" s="18">
        <v>15.0</v>
      </c>
      <c r="E222" s="19">
        <v>5.0</v>
      </c>
      <c r="F222" s="20">
        <v>24500.0</v>
      </c>
      <c r="G222" s="21" t="s">
        <v>2711</v>
      </c>
      <c r="H222" s="19">
        <v>4.0</v>
      </c>
      <c r="I222" s="21" t="s">
        <v>1374</v>
      </c>
      <c r="J222" s="22" t="s">
        <v>2587</v>
      </c>
    </row>
    <row r="223" ht="14.25" customHeight="1">
      <c r="A223" s="15" t="s">
        <v>2933</v>
      </c>
      <c r="B223" s="16">
        <v>45084.0</v>
      </c>
      <c r="C223" s="17">
        <v>45088.0</v>
      </c>
      <c r="D223" s="18">
        <v>2.0</v>
      </c>
      <c r="E223" s="19">
        <v>3.0</v>
      </c>
      <c r="F223" s="20">
        <v>16000.0</v>
      </c>
      <c r="G223" s="21" t="s">
        <v>2711</v>
      </c>
      <c r="H223" s="19">
        <v>5.0</v>
      </c>
      <c r="I223" s="21" t="s">
        <v>2473</v>
      </c>
      <c r="J223" s="22" t="s">
        <v>2516</v>
      </c>
    </row>
    <row r="224" ht="14.25" customHeight="1">
      <c r="A224" s="15" t="s">
        <v>2934</v>
      </c>
      <c r="B224" s="16">
        <v>45084.0</v>
      </c>
      <c r="C224" s="17">
        <v>45085.0</v>
      </c>
      <c r="D224" s="18">
        <v>3.0</v>
      </c>
      <c r="E224" s="19">
        <v>2.0</v>
      </c>
      <c r="F224" s="20">
        <v>14000.0</v>
      </c>
      <c r="G224" s="21" t="s">
        <v>2711</v>
      </c>
      <c r="H224" s="19">
        <v>4.0</v>
      </c>
      <c r="I224" s="21" t="s">
        <v>2330</v>
      </c>
      <c r="J224" s="22" t="s">
        <v>2612</v>
      </c>
    </row>
    <row r="225" ht="14.25" customHeight="1">
      <c r="A225" s="15" t="s">
        <v>2935</v>
      </c>
      <c r="B225" s="16">
        <v>45084.0</v>
      </c>
      <c r="C225" s="17">
        <v>45087.0</v>
      </c>
      <c r="D225" s="18">
        <v>3.0</v>
      </c>
      <c r="E225" s="19">
        <v>1.0</v>
      </c>
      <c r="F225" s="20">
        <v>12000.0</v>
      </c>
      <c r="G225" s="21" t="s">
        <v>2711</v>
      </c>
      <c r="H225" s="19">
        <v>5.0</v>
      </c>
      <c r="I225" s="21" t="s">
        <v>1045</v>
      </c>
      <c r="J225" s="22" t="s">
        <v>2692</v>
      </c>
    </row>
    <row r="226" ht="14.25" customHeight="1">
      <c r="A226" s="15" t="s">
        <v>2936</v>
      </c>
      <c r="B226" s="16">
        <v>45084.0</v>
      </c>
      <c r="C226" s="17">
        <v>45086.0</v>
      </c>
      <c r="D226" s="18">
        <v>4.0</v>
      </c>
      <c r="E226" s="19">
        <v>3.0</v>
      </c>
      <c r="F226" s="20">
        <v>16000.0</v>
      </c>
      <c r="G226" s="21" t="s">
        <v>2711</v>
      </c>
      <c r="H226" s="19">
        <v>4.0</v>
      </c>
      <c r="I226" s="21" t="s">
        <v>1910</v>
      </c>
      <c r="J226" s="22" t="s">
        <v>2647</v>
      </c>
    </row>
    <row r="227" ht="14.25" customHeight="1">
      <c r="A227" s="15" t="s">
        <v>2937</v>
      </c>
      <c r="B227" s="16">
        <v>45084.0</v>
      </c>
      <c r="C227" s="17">
        <v>45088.0</v>
      </c>
      <c r="D227" s="18">
        <v>5.0</v>
      </c>
      <c r="E227" s="19">
        <v>3.0</v>
      </c>
      <c r="F227" s="20">
        <v>16000.0</v>
      </c>
      <c r="G227" s="21" t="s">
        <v>2711</v>
      </c>
      <c r="H227" s="19">
        <v>5.0</v>
      </c>
      <c r="I227" s="21" t="s">
        <v>664</v>
      </c>
      <c r="J227" s="22" t="s">
        <v>2647</v>
      </c>
    </row>
    <row r="228" ht="14.25" customHeight="1">
      <c r="A228" s="15" t="s">
        <v>2938</v>
      </c>
      <c r="B228" s="16">
        <v>45084.0</v>
      </c>
      <c r="C228" s="17">
        <v>45085.0</v>
      </c>
      <c r="D228" s="18">
        <v>2.0</v>
      </c>
      <c r="E228" s="19">
        <v>1.0</v>
      </c>
      <c r="F228" s="20">
        <v>12000.0</v>
      </c>
      <c r="G228" s="21" t="s">
        <v>2711</v>
      </c>
      <c r="H228" s="19">
        <v>5.0</v>
      </c>
      <c r="I228" s="21" t="s">
        <v>254</v>
      </c>
      <c r="J228" s="22" t="s">
        <v>2652</v>
      </c>
    </row>
    <row r="229" ht="14.25" customHeight="1">
      <c r="A229" s="15" t="s">
        <v>2939</v>
      </c>
      <c r="B229" s="16">
        <v>45084.0</v>
      </c>
      <c r="C229" s="17">
        <v>45086.0</v>
      </c>
      <c r="D229" s="18">
        <v>5.0</v>
      </c>
      <c r="E229" s="19">
        <v>2.0</v>
      </c>
      <c r="F229" s="20">
        <v>14000.0</v>
      </c>
      <c r="G229" s="21" t="s">
        <v>2711</v>
      </c>
      <c r="H229" s="19">
        <v>5.0</v>
      </c>
      <c r="I229" s="21" t="s">
        <v>2457</v>
      </c>
      <c r="J229" s="22" t="s">
        <v>2547</v>
      </c>
    </row>
    <row r="230" ht="14.25" customHeight="1">
      <c r="A230" s="15" t="s">
        <v>2940</v>
      </c>
      <c r="B230" s="16">
        <v>45084.0</v>
      </c>
      <c r="C230" s="17">
        <v>45085.0</v>
      </c>
      <c r="D230" s="18">
        <v>4.0</v>
      </c>
      <c r="E230" s="19">
        <v>2.0</v>
      </c>
      <c r="F230" s="20">
        <v>14000.0</v>
      </c>
      <c r="G230" s="24" t="s">
        <v>2711</v>
      </c>
      <c r="H230" s="19">
        <v>5.0</v>
      </c>
      <c r="I230" s="21" t="s">
        <v>2473</v>
      </c>
      <c r="J230" s="22" t="s">
        <v>2677</v>
      </c>
    </row>
    <row r="231" ht="14.25" customHeight="1">
      <c r="A231" s="15" t="s">
        <v>2941</v>
      </c>
      <c r="B231" s="16">
        <v>45084.0</v>
      </c>
      <c r="C231" s="17">
        <v>45086.0</v>
      </c>
      <c r="D231" s="18">
        <v>3.0</v>
      </c>
      <c r="E231" s="19">
        <v>1.0</v>
      </c>
      <c r="F231" s="20">
        <v>12000.0</v>
      </c>
      <c r="G231" s="24" t="s">
        <v>2711</v>
      </c>
      <c r="H231" s="19">
        <v>5.0</v>
      </c>
      <c r="I231" s="21" t="s">
        <v>2314</v>
      </c>
      <c r="J231" s="22" t="s">
        <v>2490</v>
      </c>
    </row>
    <row r="232" ht="14.25" customHeight="1">
      <c r="A232" s="15" t="s">
        <v>2942</v>
      </c>
      <c r="B232" s="16">
        <v>45084.0</v>
      </c>
      <c r="C232" s="17">
        <v>45087.0</v>
      </c>
      <c r="D232" s="18">
        <v>5.0</v>
      </c>
      <c r="E232" s="19">
        <v>1.0</v>
      </c>
      <c r="F232" s="20">
        <v>12000.0</v>
      </c>
      <c r="G232" s="21" t="s">
        <v>2711</v>
      </c>
      <c r="H232" s="19">
        <v>5.0</v>
      </c>
      <c r="I232" s="21" t="s">
        <v>1792</v>
      </c>
      <c r="J232" s="22" t="s">
        <v>2617</v>
      </c>
    </row>
    <row r="233" ht="14.25" customHeight="1">
      <c r="A233" s="15" t="s">
        <v>2943</v>
      </c>
      <c r="B233" s="16">
        <v>45084.0</v>
      </c>
      <c r="C233" s="17">
        <v>45088.0</v>
      </c>
      <c r="D233" s="18">
        <v>5.0</v>
      </c>
      <c r="E233" s="19">
        <v>2.0</v>
      </c>
      <c r="F233" s="20">
        <v>14000.0</v>
      </c>
      <c r="G233" s="24" t="s">
        <v>2711</v>
      </c>
      <c r="H233" s="19">
        <v>4.0</v>
      </c>
      <c r="I233" s="21" t="s">
        <v>2088</v>
      </c>
      <c r="J233" s="22" t="s">
        <v>2687</v>
      </c>
    </row>
    <row r="234" ht="14.25" customHeight="1">
      <c r="A234" s="15" t="s">
        <v>2944</v>
      </c>
      <c r="B234" s="16">
        <v>45084.0</v>
      </c>
      <c r="C234" s="17">
        <v>45085.0</v>
      </c>
      <c r="D234" s="18">
        <v>3.0</v>
      </c>
      <c r="E234" s="19">
        <v>1.0</v>
      </c>
      <c r="F234" s="20">
        <v>12000.0</v>
      </c>
      <c r="G234" s="21" t="s">
        <v>2711</v>
      </c>
      <c r="H234" s="19">
        <v>4.0</v>
      </c>
      <c r="I234" s="21" t="s">
        <v>2088</v>
      </c>
      <c r="J234" s="22" t="s">
        <v>2677</v>
      </c>
    </row>
    <row r="235" ht="14.25" customHeight="1">
      <c r="A235" s="15" t="s">
        <v>2945</v>
      </c>
      <c r="B235" s="16">
        <v>45084.0</v>
      </c>
      <c r="C235" s="17">
        <v>45087.0</v>
      </c>
      <c r="D235" s="18">
        <v>3.0</v>
      </c>
      <c r="E235" s="19">
        <v>3.0</v>
      </c>
      <c r="F235" s="20">
        <v>16000.0</v>
      </c>
      <c r="G235" s="21" t="s">
        <v>2711</v>
      </c>
      <c r="H235" s="19">
        <v>5.0</v>
      </c>
      <c r="I235" s="21" t="s">
        <v>222</v>
      </c>
      <c r="J235" s="22" t="s">
        <v>2557</v>
      </c>
      <c r="K235" s="27"/>
    </row>
    <row r="236" ht="14.25" customHeight="1">
      <c r="A236" s="15" t="s">
        <v>2946</v>
      </c>
      <c r="B236" s="16">
        <v>45084.0</v>
      </c>
      <c r="C236" s="17">
        <v>45086.0</v>
      </c>
      <c r="D236" s="18">
        <v>20.0</v>
      </c>
      <c r="E236" s="19">
        <v>4.0</v>
      </c>
      <c r="F236" s="20">
        <v>24000.0</v>
      </c>
      <c r="G236" s="21" t="s">
        <v>2711</v>
      </c>
      <c r="H236" s="19">
        <v>4.0</v>
      </c>
      <c r="I236" s="21" t="s">
        <v>954</v>
      </c>
      <c r="J236" s="22" t="s">
        <v>2537</v>
      </c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</row>
    <row r="237" ht="14.25" customHeight="1">
      <c r="A237" s="15" t="s">
        <v>2947</v>
      </c>
      <c r="B237" s="16">
        <v>45084.0</v>
      </c>
      <c r="C237" s="17">
        <v>45089.0</v>
      </c>
      <c r="D237" s="18">
        <v>8.0</v>
      </c>
      <c r="E237" s="19">
        <v>10.0</v>
      </c>
      <c r="F237" s="20">
        <v>30000.0</v>
      </c>
      <c r="G237" s="21" t="s">
        <v>2711</v>
      </c>
      <c r="H237" s="19">
        <v>5.0</v>
      </c>
      <c r="I237" s="21" t="s">
        <v>202</v>
      </c>
      <c r="J237" s="22" t="s">
        <v>2484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</row>
    <row r="238" ht="14.25" customHeight="1">
      <c r="A238" s="15" t="s">
        <v>2948</v>
      </c>
      <c r="B238" s="16">
        <v>45084.0</v>
      </c>
      <c r="C238" s="17">
        <v>45086.0</v>
      </c>
      <c r="D238" s="18">
        <v>7.0</v>
      </c>
      <c r="E238" s="19">
        <v>7.0</v>
      </c>
      <c r="F238" s="20">
        <v>24000.0</v>
      </c>
      <c r="G238" s="21" t="s">
        <v>2711</v>
      </c>
      <c r="H238" s="19">
        <v>5.0</v>
      </c>
      <c r="I238" s="21" t="s">
        <v>1941</v>
      </c>
      <c r="J238" s="22" t="s">
        <v>2537</v>
      </c>
    </row>
    <row r="239" ht="14.25" customHeight="1">
      <c r="A239" s="15" t="s">
        <v>2949</v>
      </c>
      <c r="B239" s="16">
        <v>45084.0</v>
      </c>
      <c r="C239" s="17">
        <v>45086.0</v>
      </c>
      <c r="D239" s="18">
        <v>1.0</v>
      </c>
      <c r="E239" s="19">
        <v>1.0</v>
      </c>
      <c r="F239" s="20">
        <v>12000.0</v>
      </c>
      <c r="G239" s="21" t="s">
        <v>2711</v>
      </c>
      <c r="H239" s="19">
        <v>4.0</v>
      </c>
      <c r="I239" s="21" t="s">
        <v>2314</v>
      </c>
      <c r="J239" s="22" t="s">
        <v>2506</v>
      </c>
    </row>
    <row r="240" ht="14.25" customHeight="1">
      <c r="A240" s="15" t="s">
        <v>2950</v>
      </c>
      <c r="B240" s="16">
        <v>45084.0</v>
      </c>
      <c r="C240" s="17">
        <v>45086.0</v>
      </c>
      <c r="D240" s="18">
        <v>11.0</v>
      </c>
      <c r="E240" s="19">
        <v>4.0</v>
      </c>
      <c r="F240" s="20">
        <v>18000.0</v>
      </c>
      <c r="G240" s="21" t="s">
        <v>2711</v>
      </c>
      <c r="H240" s="19">
        <v>5.0</v>
      </c>
      <c r="I240" s="21" t="s">
        <v>1918</v>
      </c>
      <c r="J240" s="22" t="s">
        <v>2607</v>
      </c>
    </row>
    <row r="241" ht="14.25" customHeight="1">
      <c r="A241" s="15" t="s">
        <v>2951</v>
      </c>
      <c r="B241" s="16">
        <v>45084.0</v>
      </c>
      <c r="C241" s="17">
        <v>45086.0</v>
      </c>
      <c r="D241" s="18">
        <v>2.0</v>
      </c>
      <c r="E241" s="19">
        <v>2.0</v>
      </c>
      <c r="F241" s="20">
        <v>14000.0</v>
      </c>
      <c r="G241" s="21" t="s">
        <v>2711</v>
      </c>
      <c r="H241" s="19">
        <v>4.0</v>
      </c>
      <c r="I241" s="21" t="s">
        <v>716</v>
      </c>
      <c r="J241" s="22" t="s">
        <v>2490</v>
      </c>
    </row>
    <row r="242" ht="14.25" customHeight="1">
      <c r="A242" s="15" t="s">
        <v>2952</v>
      </c>
      <c r="B242" s="17">
        <v>45085.0</v>
      </c>
      <c r="C242" s="17">
        <f>B242 + RANDBETWEEN(1,5)</f>
        <v>45086</v>
      </c>
      <c r="D242" s="18">
        <v>5.0</v>
      </c>
      <c r="E242" s="19">
        <v>1.0</v>
      </c>
      <c r="F242" s="20">
        <v>12000.0</v>
      </c>
      <c r="G242" s="21" t="s">
        <v>2711</v>
      </c>
      <c r="H242" s="19">
        <v>5.0</v>
      </c>
      <c r="I242" s="21" t="s">
        <v>830</v>
      </c>
      <c r="J242" s="22" t="s">
        <v>2532</v>
      </c>
    </row>
    <row r="243" ht="14.25" customHeight="1">
      <c r="A243" s="15" t="s">
        <v>2953</v>
      </c>
      <c r="B243" s="16">
        <v>45085.0</v>
      </c>
      <c r="C243" s="17">
        <v>45090.0</v>
      </c>
      <c r="D243" s="18">
        <v>35.0</v>
      </c>
      <c r="E243" s="19">
        <v>22.0</v>
      </c>
      <c r="F243" s="20">
        <v>64500.0</v>
      </c>
      <c r="G243" s="21" t="s">
        <v>2711</v>
      </c>
      <c r="H243" s="19">
        <v>4.0</v>
      </c>
      <c r="I243" s="21" t="s">
        <v>1918</v>
      </c>
      <c r="J243" s="22" t="s">
        <v>2521</v>
      </c>
    </row>
    <row r="244" ht="14.25" customHeight="1">
      <c r="A244" s="15" t="s">
        <v>2954</v>
      </c>
      <c r="B244" s="16">
        <v>45085.0</v>
      </c>
      <c r="C244" s="17">
        <v>45088.0</v>
      </c>
      <c r="D244" s="18">
        <v>3.0</v>
      </c>
      <c r="E244" s="19">
        <v>2.0</v>
      </c>
      <c r="F244" s="20">
        <v>14000.0</v>
      </c>
      <c r="G244" s="21" t="s">
        <v>2711</v>
      </c>
      <c r="H244" s="19">
        <v>4.0</v>
      </c>
      <c r="I244" s="21" t="s">
        <v>518</v>
      </c>
      <c r="J244" s="22" t="s">
        <v>2642</v>
      </c>
    </row>
    <row r="245" ht="14.25" customHeight="1">
      <c r="A245" s="15" t="s">
        <v>2955</v>
      </c>
      <c r="B245" s="16">
        <v>45085.0</v>
      </c>
      <c r="C245" s="17">
        <v>45086.0</v>
      </c>
      <c r="D245" s="18">
        <v>18.0</v>
      </c>
      <c r="E245" s="19">
        <v>4.0</v>
      </c>
      <c r="F245" s="20">
        <v>23400.0</v>
      </c>
      <c r="G245" s="21" t="s">
        <v>2711</v>
      </c>
      <c r="H245" s="19">
        <v>4.0</v>
      </c>
      <c r="I245" s="21" t="s">
        <v>446</v>
      </c>
      <c r="J245" s="22" t="s">
        <v>2607</v>
      </c>
    </row>
    <row r="246" ht="14.25" customHeight="1">
      <c r="A246" s="15" t="s">
        <v>2956</v>
      </c>
      <c r="B246" s="16">
        <v>45085.0</v>
      </c>
      <c r="C246" s="17">
        <v>45088.0</v>
      </c>
      <c r="D246" s="18">
        <v>18.0</v>
      </c>
      <c r="E246" s="19">
        <v>5.0</v>
      </c>
      <c r="F246" s="20">
        <v>25400.0</v>
      </c>
      <c r="G246" s="21" t="s">
        <v>2711</v>
      </c>
      <c r="H246" s="19">
        <v>5.0</v>
      </c>
      <c r="I246" s="21" t="s">
        <v>1065</v>
      </c>
      <c r="J246" s="22" t="s">
        <v>2637</v>
      </c>
    </row>
    <row r="247" ht="14.25" customHeight="1">
      <c r="A247" s="15" t="s">
        <v>2957</v>
      </c>
      <c r="B247" s="16">
        <v>45085.0</v>
      </c>
      <c r="C247" s="17">
        <v>45088.0</v>
      </c>
      <c r="D247" s="18">
        <v>9.0</v>
      </c>
      <c r="E247" s="19">
        <v>10.0</v>
      </c>
      <c r="F247" s="20">
        <v>30000.0</v>
      </c>
      <c r="G247" s="21" t="s">
        <v>2711</v>
      </c>
      <c r="H247" s="19">
        <v>5.0</v>
      </c>
      <c r="I247" s="21" t="s">
        <v>958</v>
      </c>
      <c r="J247" s="22" t="s">
        <v>2537</v>
      </c>
    </row>
    <row r="248" ht="14.25" customHeight="1">
      <c r="A248" s="15" t="s">
        <v>2958</v>
      </c>
      <c r="B248" s="16">
        <v>45085.0</v>
      </c>
      <c r="C248" s="17">
        <v>45086.0</v>
      </c>
      <c r="D248" s="18">
        <v>3.0</v>
      </c>
      <c r="E248" s="19">
        <v>3.0</v>
      </c>
      <c r="F248" s="20">
        <v>16000.0</v>
      </c>
      <c r="G248" s="21" t="s">
        <v>2711</v>
      </c>
      <c r="H248" s="19">
        <v>4.0</v>
      </c>
      <c r="I248" s="21" t="s">
        <v>1149</v>
      </c>
      <c r="J248" s="22" t="s">
        <v>2572</v>
      </c>
    </row>
    <row r="249" ht="14.25" customHeight="1">
      <c r="A249" s="15" t="s">
        <v>2959</v>
      </c>
      <c r="B249" s="16">
        <v>45085.0</v>
      </c>
      <c r="C249" s="17">
        <v>45089.0</v>
      </c>
      <c r="D249" s="18">
        <v>1.0</v>
      </c>
      <c r="E249" s="19">
        <v>2.0</v>
      </c>
      <c r="F249" s="20">
        <v>14000.0</v>
      </c>
      <c r="G249" s="21" t="s">
        <v>2711</v>
      </c>
      <c r="H249" s="19">
        <v>5.0</v>
      </c>
      <c r="I249" s="21" t="s">
        <v>2072</v>
      </c>
      <c r="J249" s="22" t="s">
        <v>2527</v>
      </c>
    </row>
    <row r="250" ht="14.25" customHeight="1">
      <c r="A250" s="15" t="s">
        <v>2960</v>
      </c>
      <c r="B250" s="16">
        <v>45085.0</v>
      </c>
      <c r="C250" s="17">
        <v>45087.0</v>
      </c>
      <c r="D250" s="18">
        <v>5.0</v>
      </c>
      <c r="E250" s="19">
        <v>3.0</v>
      </c>
      <c r="F250" s="20">
        <v>16000.0</v>
      </c>
      <c r="G250" s="21" t="s">
        <v>2711</v>
      </c>
      <c r="H250" s="19">
        <v>5.0</v>
      </c>
      <c r="I250" s="21" t="s">
        <v>1101</v>
      </c>
      <c r="J250" s="22" t="s">
        <v>2532</v>
      </c>
    </row>
    <row r="251" ht="14.25" customHeight="1">
      <c r="A251" s="15" t="s">
        <v>2961</v>
      </c>
      <c r="B251" s="16">
        <v>45085.0</v>
      </c>
      <c r="C251" s="17">
        <v>45088.0</v>
      </c>
      <c r="D251" s="18">
        <v>43.0</v>
      </c>
      <c r="E251" s="19">
        <v>16.0</v>
      </c>
      <c r="F251" s="20">
        <v>54900.0</v>
      </c>
      <c r="G251" s="21" t="s">
        <v>2711</v>
      </c>
      <c r="H251" s="19">
        <v>4.0</v>
      </c>
      <c r="I251" s="21" t="s">
        <v>2096</v>
      </c>
      <c r="J251" s="22" t="s">
        <v>2521</v>
      </c>
    </row>
    <row r="252" ht="14.25" customHeight="1">
      <c r="A252" s="15" t="s">
        <v>2962</v>
      </c>
      <c r="B252" s="16">
        <v>45085.0</v>
      </c>
      <c r="C252" s="17">
        <v>45088.0</v>
      </c>
      <c r="D252" s="18">
        <v>6.0</v>
      </c>
      <c r="E252" s="19">
        <v>2.0</v>
      </c>
      <c r="F252" s="20">
        <v>14000.0</v>
      </c>
      <c r="G252" s="21" t="s">
        <v>2711</v>
      </c>
      <c r="H252" s="19">
        <v>4.0</v>
      </c>
      <c r="I252" s="21" t="s">
        <v>934</v>
      </c>
      <c r="J252" s="22" t="s">
        <v>2567</v>
      </c>
    </row>
    <row r="253" ht="14.25" customHeight="1">
      <c r="A253" s="15" t="s">
        <v>2963</v>
      </c>
      <c r="B253" s="16">
        <v>45085.0</v>
      </c>
      <c r="C253" s="17">
        <v>45088.0</v>
      </c>
      <c r="D253" s="18">
        <v>1.0</v>
      </c>
      <c r="E253" s="19">
        <v>1.0</v>
      </c>
      <c r="F253" s="20">
        <v>12000.0</v>
      </c>
      <c r="G253" s="21" t="s">
        <v>2711</v>
      </c>
      <c r="H253" s="19">
        <v>4.0</v>
      </c>
      <c r="I253" s="21" t="s">
        <v>1049</v>
      </c>
      <c r="J253" s="22" t="s">
        <v>2547</v>
      </c>
    </row>
    <row r="254" ht="14.25" customHeight="1">
      <c r="A254" s="15" t="s">
        <v>2964</v>
      </c>
      <c r="B254" s="16">
        <v>45085.0</v>
      </c>
      <c r="C254" s="17">
        <v>45090.0</v>
      </c>
      <c r="D254" s="18">
        <v>58.0</v>
      </c>
      <c r="E254" s="19">
        <v>12.0</v>
      </c>
      <c r="F254" s="20">
        <v>51400.0</v>
      </c>
      <c r="G254" s="21" t="s">
        <v>2711</v>
      </c>
      <c r="H254" s="19">
        <v>4.0</v>
      </c>
      <c r="I254" s="21" t="s">
        <v>2148</v>
      </c>
      <c r="J254" s="22" t="s">
        <v>2521</v>
      </c>
    </row>
    <row r="255" ht="14.25" customHeight="1">
      <c r="A255" s="15" t="s">
        <v>2965</v>
      </c>
      <c r="B255" s="16">
        <v>45085.0</v>
      </c>
      <c r="C255" s="17">
        <v>45087.0</v>
      </c>
      <c r="D255" s="18">
        <v>6.0</v>
      </c>
      <c r="E255" s="19">
        <v>1.0</v>
      </c>
      <c r="F255" s="20">
        <v>12000.0</v>
      </c>
      <c r="G255" s="21" t="s">
        <v>2711</v>
      </c>
      <c r="H255" s="19">
        <v>4.0</v>
      </c>
      <c r="I255" s="21" t="s">
        <v>969</v>
      </c>
      <c r="J255" s="22" t="s">
        <v>2622</v>
      </c>
    </row>
    <row r="256" ht="14.25" customHeight="1">
      <c r="A256" s="15" t="s">
        <v>2966</v>
      </c>
      <c r="B256" s="16">
        <v>45085.0</v>
      </c>
      <c r="C256" s="17">
        <v>45089.0</v>
      </c>
      <c r="D256" s="18">
        <v>15.0</v>
      </c>
      <c r="E256" s="19">
        <v>8.0</v>
      </c>
      <c r="F256" s="20">
        <v>30500.0</v>
      </c>
      <c r="G256" s="21" t="s">
        <v>2711</v>
      </c>
      <c r="H256" s="19">
        <v>5.0</v>
      </c>
      <c r="I256" s="21" t="s">
        <v>146</v>
      </c>
      <c r="J256" s="22" t="s">
        <v>2537</v>
      </c>
    </row>
    <row r="257" ht="14.25" customHeight="1">
      <c r="A257" s="15" t="s">
        <v>2967</v>
      </c>
      <c r="B257" s="16">
        <v>45085.0</v>
      </c>
      <c r="C257" s="17">
        <v>45087.0</v>
      </c>
      <c r="D257" s="18">
        <v>2.0</v>
      </c>
      <c r="E257" s="19">
        <v>1.0</v>
      </c>
      <c r="F257" s="20">
        <v>12000.0</v>
      </c>
      <c r="G257" s="21" t="s">
        <v>2711</v>
      </c>
      <c r="H257" s="19">
        <v>4.0</v>
      </c>
      <c r="I257" s="21" t="s">
        <v>2259</v>
      </c>
      <c r="J257" s="22" t="s">
        <v>2602</v>
      </c>
    </row>
    <row r="258" ht="14.25" customHeight="1">
      <c r="A258" s="15" t="s">
        <v>2968</v>
      </c>
      <c r="B258" s="16">
        <v>45085.0</v>
      </c>
      <c r="C258" s="17">
        <v>45089.0</v>
      </c>
      <c r="D258" s="18">
        <v>4.0</v>
      </c>
      <c r="E258" s="19">
        <v>2.0</v>
      </c>
      <c r="F258" s="20">
        <v>14000.0</v>
      </c>
      <c r="G258" s="21" t="s">
        <v>2711</v>
      </c>
      <c r="H258" s="19">
        <v>5.0</v>
      </c>
      <c r="I258" s="21" t="s">
        <v>640</v>
      </c>
      <c r="J258" s="22" t="s">
        <v>2506</v>
      </c>
    </row>
    <row r="259" ht="14.25" customHeight="1">
      <c r="A259" s="15" t="s">
        <v>2969</v>
      </c>
      <c r="B259" s="16">
        <v>45085.0</v>
      </c>
      <c r="C259" s="17">
        <v>45087.0</v>
      </c>
      <c r="D259" s="18">
        <v>8.0</v>
      </c>
      <c r="E259" s="19">
        <v>7.0</v>
      </c>
      <c r="F259" s="20">
        <v>24000.0</v>
      </c>
      <c r="G259" s="21" t="s">
        <v>2711</v>
      </c>
      <c r="H259" s="19">
        <v>5.0</v>
      </c>
      <c r="I259" s="21" t="s">
        <v>830</v>
      </c>
      <c r="J259" s="22" t="s">
        <v>2537</v>
      </c>
    </row>
    <row r="260" ht="14.25" customHeight="1">
      <c r="A260" s="15" t="s">
        <v>2970</v>
      </c>
      <c r="B260" s="16">
        <v>45085.0</v>
      </c>
      <c r="C260" s="17">
        <v>45089.0</v>
      </c>
      <c r="D260" s="18">
        <v>1.0</v>
      </c>
      <c r="E260" s="19">
        <v>3.0</v>
      </c>
      <c r="F260" s="20">
        <v>16000.0</v>
      </c>
      <c r="G260" s="21" t="s">
        <v>2711</v>
      </c>
      <c r="H260" s="19">
        <v>4.0</v>
      </c>
      <c r="I260" s="21" t="s">
        <v>1089</v>
      </c>
      <c r="J260" s="22" t="s">
        <v>2567</v>
      </c>
    </row>
    <row r="261" ht="14.25" customHeight="1">
      <c r="A261" s="15" t="s">
        <v>2971</v>
      </c>
      <c r="B261" s="16">
        <v>45085.0</v>
      </c>
      <c r="C261" s="17">
        <v>45088.0</v>
      </c>
      <c r="D261" s="18">
        <v>18.0</v>
      </c>
      <c r="E261" s="19">
        <v>4.0</v>
      </c>
      <c r="F261" s="20">
        <v>23400.0</v>
      </c>
      <c r="G261" s="21" t="s">
        <v>2711</v>
      </c>
      <c r="H261" s="19">
        <v>5.0</v>
      </c>
      <c r="I261" s="21" t="s">
        <v>514</v>
      </c>
      <c r="J261" s="22" t="s">
        <v>2627</v>
      </c>
    </row>
    <row r="262" ht="14.25" customHeight="1">
      <c r="A262" s="15" t="s">
        <v>2972</v>
      </c>
      <c r="B262" s="16">
        <v>45085.0</v>
      </c>
      <c r="C262" s="17">
        <v>45086.0</v>
      </c>
      <c r="D262" s="18">
        <v>9.0</v>
      </c>
      <c r="E262" s="19">
        <v>9.0</v>
      </c>
      <c r="F262" s="20">
        <v>28000.0</v>
      </c>
      <c r="G262" s="21" t="s">
        <v>2711</v>
      </c>
      <c r="H262" s="19">
        <v>4.0</v>
      </c>
      <c r="I262" s="21" t="s">
        <v>890</v>
      </c>
      <c r="J262" s="22" t="s">
        <v>2667</v>
      </c>
    </row>
    <row r="263" ht="14.25" customHeight="1">
      <c r="A263" s="15" t="s">
        <v>2973</v>
      </c>
      <c r="B263" s="16">
        <v>45085.0</v>
      </c>
      <c r="C263" s="17">
        <v>45088.0</v>
      </c>
      <c r="D263" s="18">
        <v>5.0</v>
      </c>
      <c r="E263" s="19">
        <v>1.0</v>
      </c>
      <c r="F263" s="20">
        <v>12000.0</v>
      </c>
      <c r="G263" s="21" t="s">
        <v>2711</v>
      </c>
      <c r="H263" s="19">
        <v>5.0</v>
      </c>
      <c r="I263" s="21" t="s">
        <v>815</v>
      </c>
      <c r="J263" s="22" t="s">
        <v>2506</v>
      </c>
    </row>
    <row r="264" ht="14.25" customHeight="1">
      <c r="A264" s="15" t="s">
        <v>2974</v>
      </c>
      <c r="B264" s="16">
        <v>45085.0</v>
      </c>
      <c r="C264" s="17">
        <v>45089.0</v>
      </c>
      <c r="D264" s="18">
        <v>24.0</v>
      </c>
      <c r="E264" s="19">
        <v>11.0</v>
      </c>
      <c r="F264" s="20">
        <v>39200.0</v>
      </c>
      <c r="G264" s="21" t="s">
        <v>2711</v>
      </c>
      <c r="H264" s="19">
        <v>5.0</v>
      </c>
      <c r="I264" s="21" t="s">
        <v>1953</v>
      </c>
      <c r="J264" s="22" t="s">
        <v>2521</v>
      </c>
    </row>
    <row r="265" ht="14.25" customHeight="1">
      <c r="A265" s="15" t="s">
        <v>2975</v>
      </c>
      <c r="B265" s="16">
        <v>45085.0</v>
      </c>
      <c r="C265" s="17">
        <v>45090.0</v>
      </c>
      <c r="D265" s="18">
        <v>5.0</v>
      </c>
      <c r="E265" s="19">
        <v>2.0</v>
      </c>
      <c r="F265" s="20">
        <v>14000.0</v>
      </c>
      <c r="G265" s="21" t="s">
        <v>2711</v>
      </c>
      <c r="H265" s="19">
        <v>4.0</v>
      </c>
      <c r="I265" s="21" t="s">
        <v>2457</v>
      </c>
      <c r="J265" s="22" t="s">
        <v>2597</v>
      </c>
    </row>
    <row r="266" ht="14.25" customHeight="1">
      <c r="A266" s="15" t="s">
        <v>2976</v>
      </c>
      <c r="B266" s="16">
        <v>45085.0</v>
      </c>
      <c r="C266" s="17">
        <v>45088.0</v>
      </c>
      <c r="D266" s="18">
        <v>12.0</v>
      </c>
      <c r="E266" s="19">
        <v>9.0</v>
      </c>
      <c r="F266" s="20">
        <v>28000.0</v>
      </c>
      <c r="G266" s="21" t="s">
        <v>2711</v>
      </c>
      <c r="H266" s="19">
        <v>5.0</v>
      </c>
      <c r="I266" s="21" t="s">
        <v>198</v>
      </c>
      <c r="J266" s="22" t="s">
        <v>2667</v>
      </c>
    </row>
    <row r="267" ht="14.25" customHeight="1">
      <c r="A267" s="15" t="s">
        <v>2977</v>
      </c>
      <c r="B267" s="16">
        <v>45085.0</v>
      </c>
      <c r="C267" s="17">
        <v>45086.0</v>
      </c>
      <c r="D267" s="18">
        <v>12.0</v>
      </c>
      <c r="E267" s="19">
        <v>6.0</v>
      </c>
      <c r="F267" s="20">
        <v>22000.0</v>
      </c>
      <c r="G267" s="21" t="s">
        <v>2711</v>
      </c>
      <c r="H267" s="19">
        <v>5.0</v>
      </c>
      <c r="I267" s="21" t="s">
        <v>506</v>
      </c>
      <c r="J267" s="22" t="s">
        <v>2537</v>
      </c>
    </row>
    <row r="268" ht="14.25" customHeight="1">
      <c r="A268" s="15" t="s">
        <v>2978</v>
      </c>
      <c r="B268" s="16">
        <v>45085.0</v>
      </c>
      <c r="C268" s="17">
        <v>45089.0</v>
      </c>
      <c r="D268" s="18">
        <v>19.0</v>
      </c>
      <c r="E268" s="19">
        <v>4.0</v>
      </c>
      <c r="F268" s="20">
        <v>23700.0</v>
      </c>
      <c r="G268" s="21" t="s">
        <v>2711</v>
      </c>
      <c r="H268" s="19">
        <v>5.0</v>
      </c>
      <c r="I268" s="21" t="s">
        <v>142</v>
      </c>
      <c r="J268" s="22" t="s">
        <v>2537</v>
      </c>
    </row>
    <row r="269" ht="14.25" customHeight="1">
      <c r="A269" s="15" t="s">
        <v>2979</v>
      </c>
      <c r="B269" s="16">
        <v>45085.0</v>
      </c>
      <c r="C269" s="17">
        <v>45087.0</v>
      </c>
      <c r="D269" s="18">
        <v>1.0</v>
      </c>
      <c r="E269" s="19">
        <v>1.0</v>
      </c>
      <c r="F269" s="20">
        <v>12000.0</v>
      </c>
      <c r="G269" s="21" t="s">
        <v>2711</v>
      </c>
      <c r="H269" s="19">
        <v>4.0</v>
      </c>
      <c r="I269" s="21" t="s">
        <v>1324</v>
      </c>
      <c r="J269" s="22" t="s">
        <v>2496</v>
      </c>
      <c r="K269" s="27"/>
    </row>
    <row r="270" ht="14.25" customHeight="1">
      <c r="A270" s="15" t="s">
        <v>2980</v>
      </c>
      <c r="B270" s="16">
        <v>45085.0</v>
      </c>
      <c r="C270" s="17">
        <v>45089.0</v>
      </c>
      <c r="D270" s="18">
        <v>43.0</v>
      </c>
      <c r="E270" s="19">
        <v>22.0</v>
      </c>
      <c r="F270" s="20">
        <v>66900.0</v>
      </c>
      <c r="G270" s="21" t="s">
        <v>2711</v>
      </c>
      <c r="H270" s="19">
        <v>5.0</v>
      </c>
      <c r="I270" s="21" t="s">
        <v>1097</v>
      </c>
      <c r="J270" s="22" t="s">
        <v>2521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</row>
    <row r="271" ht="14.25" customHeight="1">
      <c r="A271" s="15" t="s">
        <v>2981</v>
      </c>
      <c r="B271" s="16">
        <v>45085.0</v>
      </c>
      <c r="C271" s="17">
        <v>45086.0</v>
      </c>
      <c r="D271" s="18">
        <v>1.0</v>
      </c>
      <c r="E271" s="19">
        <v>3.0</v>
      </c>
      <c r="F271" s="20">
        <v>16000.0</v>
      </c>
      <c r="G271" s="21" t="s">
        <v>2711</v>
      </c>
      <c r="H271" s="19">
        <v>4.0</v>
      </c>
      <c r="I271" s="21" t="s">
        <v>902</v>
      </c>
      <c r="J271" s="22" t="s">
        <v>2577</v>
      </c>
    </row>
    <row r="272" ht="14.25" customHeight="1">
      <c r="A272" s="15" t="s">
        <v>2982</v>
      </c>
      <c r="B272" s="16">
        <v>45085.0</v>
      </c>
      <c r="C272" s="17">
        <v>45087.0</v>
      </c>
      <c r="D272" s="18">
        <v>5.0</v>
      </c>
      <c r="E272" s="19">
        <v>1.0</v>
      </c>
      <c r="F272" s="20">
        <v>12000.0</v>
      </c>
      <c r="G272" s="21" t="s">
        <v>2711</v>
      </c>
      <c r="H272" s="19">
        <v>5.0</v>
      </c>
      <c r="I272" s="21" t="s">
        <v>302</v>
      </c>
      <c r="J272" s="22" t="s">
        <v>2516</v>
      </c>
    </row>
    <row r="273" ht="14.25" customHeight="1">
      <c r="A273" s="15" t="s">
        <v>2983</v>
      </c>
      <c r="B273" s="17">
        <v>45086.0</v>
      </c>
      <c r="C273" s="17">
        <f t="shared" ref="C273:C274" si="3">B273 + RANDBETWEEN(1,5)</f>
        <v>45090</v>
      </c>
      <c r="D273" s="18">
        <v>3.0</v>
      </c>
      <c r="E273" s="19">
        <v>2.0</v>
      </c>
      <c r="F273" s="20">
        <v>14000.0</v>
      </c>
      <c r="G273" s="21" t="s">
        <v>2711</v>
      </c>
      <c r="H273" s="19">
        <v>4.0</v>
      </c>
      <c r="I273" s="21" t="s">
        <v>1344</v>
      </c>
      <c r="J273" s="22" t="s">
        <v>2527</v>
      </c>
    </row>
    <row r="274" ht="14.25" customHeight="1">
      <c r="A274" s="15" t="s">
        <v>2984</v>
      </c>
      <c r="B274" s="17">
        <v>45086.0</v>
      </c>
      <c r="C274" s="17">
        <f t="shared" si="3"/>
        <v>45087</v>
      </c>
      <c r="D274" s="18">
        <v>1.0</v>
      </c>
      <c r="E274" s="19">
        <v>2.0</v>
      </c>
      <c r="F274" s="20">
        <v>14000.0</v>
      </c>
      <c r="G274" s="21" t="s">
        <v>2711</v>
      </c>
      <c r="H274" s="19">
        <v>4.0</v>
      </c>
      <c r="I274" s="21" t="s">
        <v>727</v>
      </c>
      <c r="J274" s="22" t="s">
        <v>2617</v>
      </c>
    </row>
    <row r="275" ht="14.25" customHeight="1">
      <c r="A275" s="15" t="s">
        <v>2985</v>
      </c>
      <c r="B275" s="16">
        <v>45086.0</v>
      </c>
      <c r="C275" s="17">
        <v>45091.0</v>
      </c>
      <c r="D275" s="18">
        <v>15.0</v>
      </c>
      <c r="E275" s="19">
        <v>9.0</v>
      </c>
      <c r="F275" s="20">
        <v>32500.0</v>
      </c>
      <c r="G275" s="21" t="s">
        <v>2711</v>
      </c>
      <c r="H275" s="19">
        <v>5.0</v>
      </c>
      <c r="I275" s="21" t="s">
        <v>1374</v>
      </c>
      <c r="J275" s="22" t="s">
        <v>2662</v>
      </c>
    </row>
    <row r="276" ht="14.25" customHeight="1">
      <c r="A276" s="15" t="s">
        <v>2986</v>
      </c>
      <c r="B276" s="16">
        <v>45086.0</v>
      </c>
      <c r="C276" s="17">
        <v>45090.0</v>
      </c>
      <c r="D276" s="18">
        <v>13.0</v>
      </c>
      <c r="E276" s="19">
        <v>6.0</v>
      </c>
      <c r="F276" s="20">
        <v>22000.0</v>
      </c>
      <c r="G276" s="21" t="s">
        <v>2711</v>
      </c>
      <c r="H276" s="19">
        <v>4.0</v>
      </c>
      <c r="I276" s="21" t="s">
        <v>2358</v>
      </c>
      <c r="J276" s="22" t="s">
        <v>2537</v>
      </c>
    </row>
    <row r="277" ht="14.25" customHeight="1">
      <c r="A277" s="15" t="s">
        <v>2987</v>
      </c>
      <c r="B277" s="16">
        <v>45086.0</v>
      </c>
      <c r="C277" s="17">
        <v>45088.0</v>
      </c>
      <c r="D277" s="18">
        <v>6.0</v>
      </c>
      <c r="E277" s="19">
        <v>2.0</v>
      </c>
      <c r="F277" s="20">
        <v>14000.0</v>
      </c>
      <c r="G277" s="21" t="s">
        <v>2711</v>
      </c>
      <c r="H277" s="19">
        <v>4.0</v>
      </c>
      <c r="I277" s="21" t="s">
        <v>2473</v>
      </c>
      <c r="J277" s="22" t="s">
        <v>2612</v>
      </c>
    </row>
    <row r="278" ht="14.25" customHeight="1">
      <c r="A278" s="15" t="s">
        <v>2988</v>
      </c>
      <c r="B278" s="16">
        <v>45086.0</v>
      </c>
      <c r="C278" s="17">
        <v>45090.0</v>
      </c>
      <c r="D278" s="18">
        <v>1.0</v>
      </c>
      <c r="E278" s="19">
        <v>3.0</v>
      </c>
      <c r="F278" s="20">
        <v>16000.0</v>
      </c>
      <c r="G278" s="21" t="s">
        <v>2711</v>
      </c>
      <c r="H278" s="19">
        <v>4.0</v>
      </c>
      <c r="I278" s="21" t="s">
        <v>854</v>
      </c>
      <c r="J278" s="22" t="s">
        <v>2647</v>
      </c>
    </row>
    <row r="279" ht="14.25" customHeight="1">
      <c r="A279" s="15" t="s">
        <v>2989</v>
      </c>
      <c r="B279" s="16">
        <v>45086.0</v>
      </c>
      <c r="C279" s="17">
        <v>45087.0</v>
      </c>
      <c r="D279" s="18">
        <v>19.0</v>
      </c>
      <c r="E279" s="19">
        <v>10.0</v>
      </c>
      <c r="F279" s="20">
        <v>35700.0</v>
      </c>
      <c r="G279" s="21" t="s">
        <v>2711</v>
      </c>
      <c r="H279" s="19">
        <v>4.0</v>
      </c>
      <c r="I279" s="21" t="s">
        <v>2005</v>
      </c>
      <c r="J279" s="22" t="s">
        <v>2637</v>
      </c>
    </row>
    <row r="280" ht="14.25" customHeight="1">
      <c r="A280" s="15" t="s">
        <v>2990</v>
      </c>
      <c r="B280" s="16">
        <v>45086.0</v>
      </c>
      <c r="C280" s="17">
        <v>45088.0</v>
      </c>
      <c r="D280" s="18">
        <v>2.0</v>
      </c>
      <c r="E280" s="19">
        <v>2.0</v>
      </c>
      <c r="F280" s="20">
        <v>14000.0</v>
      </c>
      <c r="G280" s="21" t="s">
        <v>2711</v>
      </c>
      <c r="H280" s="19">
        <v>5.0</v>
      </c>
      <c r="I280" s="21" t="s">
        <v>1870</v>
      </c>
      <c r="J280" s="22" t="s">
        <v>2632</v>
      </c>
    </row>
    <row r="281" ht="14.25" customHeight="1">
      <c r="A281" s="15" t="s">
        <v>2991</v>
      </c>
      <c r="B281" s="16">
        <v>45086.0</v>
      </c>
      <c r="C281" s="17">
        <v>45089.0</v>
      </c>
      <c r="D281" s="18">
        <v>4.0</v>
      </c>
      <c r="E281" s="19">
        <v>2.0</v>
      </c>
      <c r="F281" s="20">
        <v>14000.0</v>
      </c>
      <c r="G281" s="21" t="s">
        <v>2711</v>
      </c>
      <c r="H281" s="19">
        <v>5.0</v>
      </c>
      <c r="I281" s="21" t="s">
        <v>1252</v>
      </c>
      <c r="J281" s="22" t="s">
        <v>2562</v>
      </c>
    </row>
    <row r="282" ht="14.25" customHeight="1">
      <c r="A282" s="15" t="s">
        <v>2992</v>
      </c>
      <c r="B282" s="16">
        <v>45086.0</v>
      </c>
      <c r="C282" s="17">
        <v>45090.0</v>
      </c>
      <c r="D282" s="18">
        <v>2.0</v>
      </c>
      <c r="E282" s="19">
        <v>2.0</v>
      </c>
      <c r="F282" s="20">
        <v>14000.0</v>
      </c>
      <c r="G282" s="21" t="s">
        <v>2711</v>
      </c>
      <c r="H282" s="19">
        <v>5.0</v>
      </c>
      <c r="I282" s="21" t="s">
        <v>6</v>
      </c>
      <c r="J282" s="22" t="s">
        <v>2617</v>
      </c>
    </row>
    <row r="283" ht="14.25" customHeight="1">
      <c r="A283" s="15" t="s">
        <v>2993</v>
      </c>
      <c r="B283" s="16">
        <v>45086.0</v>
      </c>
      <c r="C283" s="17">
        <v>45088.0</v>
      </c>
      <c r="D283" s="18">
        <v>6.0</v>
      </c>
      <c r="E283" s="19">
        <v>1.0</v>
      </c>
      <c r="F283" s="20">
        <v>12000.0</v>
      </c>
      <c r="G283" s="21" t="s">
        <v>2711</v>
      </c>
      <c r="H283" s="19">
        <v>5.0</v>
      </c>
      <c r="I283" s="21" t="s">
        <v>2116</v>
      </c>
      <c r="J283" s="22" t="s">
        <v>2547</v>
      </c>
    </row>
    <row r="284" ht="14.25" customHeight="1">
      <c r="A284" s="15" t="s">
        <v>2994</v>
      </c>
      <c r="B284" s="16">
        <v>45086.0</v>
      </c>
      <c r="C284" s="17">
        <v>45087.0</v>
      </c>
      <c r="D284" s="18">
        <v>13.0</v>
      </c>
      <c r="E284" s="19">
        <v>8.0</v>
      </c>
      <c r="F284" s="20">
        <v>26000.0</v>
      </c>
      <c r="G284" s="21" t="s">
        <v>2711</v>
      </c>
      <c r="H284" s="19">
        <v>5.0</v>
      </c>
      <c r="I284" s="21" t="s">
        <v>230</v>
      </c>
      <c r="J284" s="22" t="s">
        <v>2667</v>
      </c>
    </row>
    <row r="285" ht="14.25" customHeight="1">
      <c r="A285" s="15" t="s">
        <v>2995</v>
      </c>
      <c r="B285" s="16">
        <v>45086.0</v>
      </c>
      <c r="C285" s="17">
        <v>45087.0</v>
      </c>
      <c r="D285" s="18">
        <v>11.0</v>
      </c>
      <c r="E285" s="19">
        <v>7.0</v>
      </c>
      <c r="F285" s="20">
        <v>24000.0</v>
      </c>
      <c r="G285" s="21" t="s">
        <v>2711</v>
      </c>
      <c r="H285" s="19">
        <v>5.0</v>
      </c>
      <c r="I285" s="21" t="s">
        <v>206</v>
      </c>
      <c r="J285" s="22" t="s">
        <v>2662</v>
      </c>
    </row>
    <row r="286" ht="14.25" customHeight="1">
      <c r="A286" s="15" t="s">
        <v>2996</v>
      </c>
      <c r="B286" s="16">
        <v>45086.0</v>
      </c>
      <c r="C286" s="17">
        <v>45090.0</v>
      </c>
      <c r="D286" s="18">
        <v>5.0</v>
      </c>
      <c r="E286" s="19">
        <v>1.0</v>
      </c>
      <c r="F286" s="20">
        <v>12000.0</v>
      </c>
      <c r="G286" s="21" t="s">
        <v>2711</v>
      </c>
      <c r="H286" s="19">
        <v>4.0</v>
      </c>
      <c r="I286" s="21" t="s">
        <v>1804</v>
      </c>
      <c r="J286" s="22" t="s">
        <v>2692</v>
      </c>
    </row>
    <row r="287" ht="14.25" customHeight="1">
      <c r="A287" s="15" t="s">
        <v>2997</v>
      </c>
      <c r="B287" s="16">
        <v>45086.0</v>
      </c>
      <c r="C287" s="17">
        <v>45089.0</v>
      </c>
      <c r="D287" s="18">
        <v>1.0</v>
      </c>
      <c r="E287" s="19">
        <v>1.0</v>
      </c>
      <c r="F287" s="20">
        <v>12000.0</v>
      </c>
      <c r="G287" s="21" t="s">
        <v>2711</v>
      </c>
      <c r="H287" s="19">
        <v>4.0</v>
      </c>
      <c r="I287" s="21" t="s">
        <v>834</v>
      </c>
      <c r="J287" s="22" t="s">
        <v>2567</v>
      </c>
    </row>
    <row r="288" ht="14.25" customHeight="1">
      <c r="A288" s="15" t="s">
        <v>2998</v>
      </c>
      <c r="B288" s="16">
        <v>45086.0</v>
      </c>
      <c r="C288" s="17">
        <v>45090.0</v>
      </c>
      <c r="D288" s="18">
        <v>4.0</v>
      </c>
      <c r="E288" s="19">
        <v>2.0</v>
      </c>
      <c r="F288" s="20">
        <v>14000.0</v>
      </c>
      <c r="G288" s="21" t="s">
        <v>2711</v>
      </c>
      <c r="H288" s="19">
        <v>5.0</v>
      </c>
      <c r="I288" s="21" t="s">
        <v>1906</v>
      </c>
      <c r="J288" s="22" t="s">
        <v>2557</v>
      </c>
    </row>
    <row r="289" ht="14.25" customHeight="1">
      <c r="A289" s="15" t="s">
        <v>2999</v>
      </c>
      <c r="B289" s="16">
        <v>45086.0</v>
      </c>
      <c r="C289" s="17">
        <v>45091.0</v>
      </c>
      <c r="D289" s="18">
        <v>11.0</v>
      </c>
      <c r="E289" s="19">
        <v>4.0</v>
      </c>
      <c r="F289" s="20">
        <v>18000.0</v>
      </c>
      <c r="G289" s="21" t="s">
        <v>2711</v>
      </c>
      <c r="H289" s="19">
        <v>5.0</v>
      </c>
      <c r="I289" s="21" t="s">
        <v>854</v>
      </c>
      <c r="J289" s="22" t="s">
        <v>2697</v>
      </c>
    </row>
    <row r="290" ht="14.25" customHeight="1">
      <c r="A290" s="15" t="s">
        <v>3000</v>
      </c>
      <c r="B290" s="16">
        <v>45086.0</v>
      </c>
      <c r="C290" s="17">
        <v>45087.0</v>
      </c>
      <c r="D290" s="18">
        <v>6.0</v>
      </c>
      <c r="E290" s="19">
        <v>1.0</v>
      </c>
      <c r="F290" s="20">
        <v>12000.0</v>
      </c>
      <c r="G290" s="21" t="s">
        <v>2711</v>
      </c>
      <c r="H290" s="19">
        <v>4.0</v>
      </c>
      <c r="I290" s="21" t="s">
        <v>422</v>
      </c>
      <c r="J290" s="22" t="s">
        <v>2617</v>
      </c>
    </row>
    <row r="291" ht="14.25" customHeight="1">
      <c r="A291" s="15" t="s">
        <v>3001</v>
      </c>
      <c r="B291" s="16">
        <v>45086.0</v>
      </c>
      <c r="C291" s="17">
        <v>45088.0</v>
      </c>
      <c r="D291" s="18">
        <v>4.0</v>
      </c>
      <c r="E291" s="19">
        <v>2.0</v>
      </c>
      <c r="F291" s="20">
        <v>14000.0</v>
      </c>
      <c r="G291" s="21" t="s">
        <v>2711</v>
      </c>
      <c r="H291" s="19">
        <v>5.0</v>
      </c>
      <c r="I291" s="21" t="s">
        <v>262</v>
      </c>
      <c r="J291" s="22" t="s">
        <v>2506</v>
      </c>
    </row>
    <row r="292" ht="14.25" customHeight="1">
      <c r="A292" s="15" t="s">
        <v>3002</v>
      </c>
      <c r="B292" s="16">
        <v>45086.0</v>
      </c>
      <c r="C292" s="17">
        <v>45089.0</v>
      </c>
      <c r="D292" s="18">
        <v>6.0</v>
      </c>
      <c r="E292" s="19">
        <v>1.0</v>
      </c>
      <c r="F292" s="20">
        <v>12000.0</v>
      </c>
      <c r="G292" s="21" t="s">
        <v>2711</v>
      </c>
      <c r="H292" s="19">
        <v>4.0</v>
      </c>
      <c r="I292" s="21" t="s">
        <v>866</v>
      </c>
      <c r="J292" s="22" t="s">
        <v>2506</v>
      </c>
    </row>
    <row r="293" ht="14.25" customHeight="1">
      <c r="A293" s="15" t="s">
        <v>3003</v>
      </c>
      <c r="B293" s="16">
        <v>45086.0</v>
      </c>
      <c r="C293" s="17">
        <v>45088.0</v>
      </c>
      <c r="D293" s="18">
        <v>11.0</v>
      </c>
      <c r="E293" s="19">
        <v>10.0</v>
      </c>
      <c r="F293" s="20">
        <v>30000.0</v>
      </c>
      <c r="G293" s="21" t="s">
        <v>2711</v>
      </c>
      <c r="H293" s="19">
        <v>4.0</v>
      </c>
      <c r="I293" s="21" t="s">
        <v>537</v>
      </c>
      <c r="J293" s="22" t="s">
        <v>2607</v>
      </c>
    </row>
    <row r="294" ht="14.25" customHeight="1">
      <c r="A294" s="15" t="s">
        <v>3004</v>
      </c>
      <c r="B294" s="16">
        <v>45086.0</v>
      </c>
      <c r="C294" s="17">
        <v>45088.0</v>
      </c>
      <c r="D294" s="18">
        <v>17.0</v>
      </c>
      <c r="E294" s="19">
        <v>5.0</v>
      </c>
      <c r="F294" s="20">
        <v>25100.0</v>
      </c>
      <c r="G294" s="21" t="s">
        <v>2711</v>
      </c>
      <c r="H294" s="19">
        <v>4.0</v>
      </c>
      <c r="I294" s="21" t="s">
        <v>1890</v>
      </c>
      <c r="J294" s="22" t="s">
        <v>2537</v>
      </c>
    </row>
    <row r="295" ht="14.25" customHeight="1">
      <c r="A295" s="15" t="s">
        <v>3005</v>
      </c>
      <c r="B295" s="16">
        <v>45086.0</v>
      </c>
      <c r="C295" s="17">
        <v>45087.0</v>
      </c>
      <c r="D295" s="18">
        <v>6.0</v>
      </c>
      <c r="E295" s="19">
        <v>1.0</v>
      </c>
      <c r="F295" s="20">
        <v>12000.0</v>
      </c>
      <c r="G295" s="21" t="s">
        <v>2711</v>
      </c>
      <c r="H295" s="19">
        <v>5.0</v>
      </c>
      <c r="I295" s="21" t="s">
        <v>250</v>
      </c>
      <c r="J295" s="22" t="s">
        <v>2516</v>
      </c>
    </row>
    <row r="296" ht="14.25" customHeight="1">
      <c r="A296" s="15" t="s">
        <v>3006</v>
      </c>
      <c r="B296" s="16">
        <v>45086.0</v>
      </c>
      <c r="C296" s="17">
        <v>45090.0</v>
      </c>
      <c r="D296" s="18">
        <v>6.0</v>
      </c>
      <c r="E296" s="19">
        <v>2.0</v>
      </c>
      <c r="F296" s="20">
        <v>14000.0</v>
      </c>
      <c r="G296" s="21" t="s">
        <v>2711</v>
      </c>
      <c r="H296" s="19">
        <v>4.0</v>
      </c>
      <c r="I296" s="21" t="s">
        <v>186</v>
      </c>
      <c r="J296" s="22" t="s">
        <v>2622</v>
      </c>
    </row>
    <row r="297" ht="14.25" customHeight="1">
      <c r="A297" s="15" t="s">
        <v>3007</v>
      </c>
      <c r="B297" s="16">
        <v>45086.0</v>
      </c>
      <c r="C297" s="17">
        <v>45090.0</v>
      </c>
      <c r="D297" s="18">
        <v>3.0</v>
      </c>
      <c r="E297" s="19">
        <v>1.0</v>
      </c>
      <c r="F297" s="20">
        <v>12000.0</v>
      </c>
      <c r="G297" s="21" t="s">
        <v>2711</v>
      </c>
      <c r="H297" s="19">
        <v>5.0</v>
      </c>
      <c r="I297" s="21" t="s">
        <v>154</v>
      </c>
      <c r="J297" s="22" t="s">
        <v>2622</v>
      </c>
    </row>
    <row r="298" ht="14.25" customHeight="1">
      <c r="A298" s="15" t="s">
        <v>3008</v>
      </c>
      <c r="B298" s="16">
        <v>45086.0</v>
      </c>
      <c r="C298" s="17">
        <v>45089.0</v>
      </c>
      <c r="D298" s="18">
        <v>4.0</v>
      </c>
      <c r="E298" s="19">
        <v>1.0</v>
      </c>
      <c r="F298" s="20">
        <v>12000.0</v>
      </c>
      <c r="G298" s="21" t="s">
        <v>2711</v>
      </c>
      <c r="H298" s="19">
        <v>4.0</v>
      </c>
      <c r="I298" s="21" t="s">
        <v>2449</v>
      </c>
      <c r="J298" s="22" t="s">
        <v>2687</v>
      </c>
    </row>
    <row r="299" ht="14.25" customHeight="1">
      <c r="A299" s="15" t="s">
        <v>3009</v>
      </c>
      <c r="B299" s="16">
        <v>45086.0</v>
      </c>
      <c r="C299" s="17">
        <v>45090.0</v>
      </c>
      <c r="D299" s="18">
        <v>3.0</v>
      </c>
      <c r="E299" s="19">
        <v>1.0</v>
      </c>
      <c r="F299" s="20">
        <v>12000.0</v>
      </c>
      <c r="G299" s="21" t="s">
        <v>2747</v>
      </c>
      <c r="H299" s="21"/>
      <c r="I299" s="21" t="s">
        <v>593</v>
      </c>
      <c r="J299" s="22" t="s">
        <v>2692</v>
      </c>
    </row>
    <row r="300" ht="14.25" customHeight="1">
      <c r="A300" s="15" t="s">
        <v>3010</v>
      </c>
      <c r="B300" s="16">
        <v>45086.0</v>
      </c>
      <c r="C300" s="17">
        <v>45088.0</v>
      </c>
      <c r="D300" s="18">
        <v>12.0</v>
      </c>
      <c r="E300" s="19">
        <v>4.0</v>
      </c>
      <c r="F300" s="20">
        <v>18000.0</v>
      </c>
      <c r="G300" s="21" t="s">
        <v>2711</v>
      </c>
      <c r="H300" s="19">
        <v>5.0</v>
      </c>
      <c r="I300" s="21" t="s">
        <v>625</v>
      </c>
      <c r="J300" s="22" t="s">
        <v>2637</v>
      </c>
      <c r="K300" s="27"/>
    </row>
    <row r="301" ht="14.25" customHeight="1">
      <c r="A301" s="15" t="s">
        <v>3011</v>
      </c>
      <c r="B301" s="16">
        <v>45086.0</v>
      </c>
      <c r="C301" s="17">
        <v>45088.0</v>
      </c>
      <c r="D301" s="18">
        <v>6.0</v>
      </c>
      <c r="E301" s="19">
        <v>3.0</v>
      </c>
      <c r="F301" s="20">
        <v>16000.0</v>
      </c>
      <c r="G301" s="21" t="s">
        <v>2711</v>
      </c>
      <c r="H301" s="19">
        <v>5.0</v>
      </c>
      <c r="I301" s="21" t="s">
        <v>146</v>
      </c>
      <c r="J301" s="22" t="s">
        <v>2632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</row>
    <row r="302" ht="14.25" customHeight="1">
      <c r="A302" s="15" t="s">
        <v>3012</v>
      </c>
      <c r="B302" s="16">
        <v>45086.0</v>
      </c>
      <c r="C302" s="17">
        <v>45091.0</v>
      </c>
      <c r="D302" s="18">
        <v>5.0</v>
      </c>
      <c r="E302" s="19">
        <v>2.0</v>
      </c>
      <c r="F302" s="20">
        <v>14000.0</v>
      </c>
      <c r="G302" s="21" t="s">
        <v>2711</v>
      </c>
      <c r="H302" s="19">
        <v>5.0</v>
      </c>
      <c r="I302" s="21" t="s">
        <v>2346</v>
      </c>
      <c r="J302" s="22" t="s">
        <v>2602</v>
      </c>
    </row>
    <row r="303" ht="14.25" customHeight="1">
      <c r="A303" s="15" t="s">
        <v>3013</v>
      </c>
      <c r="B303" s="16">
        <v>45086.0</v>
      </c>
      <c r="C303" s="17">
        <v>45088.0</v>
      </c>
      <c r="D303" s="18">
        <v>1.0</v>
      </c>
      <c r="E303" s="19">
        <v>2.0</v>
      </c>
      <c r="F303" s="20">
        <v>14000.0</v>
      </c>
      <c r="G303" s="21" t="s">
        <v>2711</v>
      </c>
      <c r="H303" s="19">
        <v>5.0</v>
      </c>
      <c r="I303" s="21" t="s">
        <v>704</v>
      </c>
      <c r="J303" s="22" t="s">
        <v>2597</v>
      </c>
    </row>
    <row r="304" ht="14.25" customHeight="1">
      <c r="A304" s="15" t="s">
        <v>3014</v>
      </c>
      <c r="B304" s="17">
        <v>45087.0</v>
      </c>
      <c r="C304" s="17">
        <f>B304 + RANDBETWEEN(1,5)</f>
        <v>45088</v>
      </c>
      <c r="D304" s="18">
        <v>17.0</v>
      </c>
      <c r="E304" s="19">
        <v>4.0</v>
      </c>
      <c r="F304" s="20">
        <v>23100.0</v>
      </c>
      <c r="G304" s="21" t="s">
        <v>2711</v>
      </c>
      <c r="H304" s="19">
        <v>4.0</v>
      </c>
      <c r="I304" s="21" t="s">
        <v>2366</v>
      </c>
      <c r="J304" s="22" t="s">
        <v>2672</v>
      </c>
    </row>
    <row r="305" ht="14.25" customHeight="1">
      <c r="A305" s="15" t="s">
        <v>3015</v>
      </c>
      <c r="B305" s="16">
        <v>45087.0</v>
      </c>
      <c r="C305" s="17">
        <v>45088.0</v>
      </c>
      <c r="D305" s="18">
        <v>6.0</v>
      </c>
      <c r="E305" s="19">
        <v>2.0</v>
      </c>
      <c r="F305" s="20">
        <v>14000.0</v>
      </c>
      <c r="G305" s="21" t="s">
        <v>2711</v>
      </c>
      <c r="H305" s="19">
        <v>4.0</v>
      </c>
      <c r="I305" s="21" t="s">
        <v>438</v>
      </c>
      <c r="J305" s="22" t="s">
        <v>2557</v>
      </c>
    </row>
    <row r="306" ht="14.25" customHeight="1">
      <c r="A306" s="15" t="s">
        <v>3016</v>
      </c>
      <c r="B306" s="16">
        <v>45087.0</v>
      </c>
      <c r="C306" s="17">
        <v>45090.0</v>
      </c>
      <c r="D306" s="18">
        <v>17.0</v>
      </c>
      <c r="E306" s="19">
        <v>9.0</v>
      </c>
      <c r="F306" s="20">
        <v>33100.0</v>
      </c>
      <c r="G306" s="21" t="s">
        <v>2711</v>
      </c>
      <c r="H306" s="19">
        <v>5.0</v>
      </c>
      <c r="I306" s="21" t="s">
        <v>1366</v>
      </c>
      <c r="J306" s="22" t="s">
        <v>2697</v>
      </c>
    </row>
    <row r="307" ht="14.25" customHeight="1">
      <c r="A307" s="15" t="s">
        <v>3017</v>
      </c>
      <c r="B307" s="16">
        <v>45087.0</v>
      </c>
      <c r="C307" s="17">
        <v>45088.0</v>
      </c>
      <c r="D307" s="18">
        <v>6.0</v>
      </c>
      <c r="E307" s="19">
        <v>2.0</v>
      </c>
      <c r="F307" s="20">
        <v>14000.0</v>
      </c>
      <c r="G307" s="21" t="s">
        <v>2711</v>
      </c>
      <c r="H307" s="19">
        <v>4.0</v>
      </c>
      <c r="I307" s="21" t="s">
        <v>1890</v>
      </c>
      <c r="J307" s="22" t="s">
        <v>2682</v>
      </c>
    </row>
    <row r="308" ht="14.25" customHeight="1">
      <c r="A308" s="15" t="s">
        <v>3018</v>
      </c>
      <c r="B308" s="16">
        <v>45087.0</v>
      </c>
      <c r="C308" s="17">
        <v>45088.0</v>
      </c>
      <c r="D308" s="18">
        <v>6.0</v>
      </c>
      <c r="E308" s="19">
        <v>1.0</v>
      </c>
      <c r="F308" s="20">
        <v>12000.0</v>
      </c>
      <c r="G308" s="21" t="s">
        <v>2711</v>
      </c>
      <c r="H308" s="19">
        <v>5.0</v>
      </c>
      <c r="I308" s="21" t="s">
        <v>2350</v>
      </c>
      <c r="J308" s="22" t="s">
        <v>2527</v>
      </c>
    </row>
    <row r="309" ht="14.25" customHeight="1">
      <c r="A309" s="15" t="s">
        <v>3019</v>
      </c>
      <c r="B309" s="16">
        <v>45087.0</v>
      </c>
      <c r="C309" s="17">
        <v>45090.0</v>
      </c>
      <c r="D309" s="18">
        <v>3.0</v>
      </c>
      <c r="E309" s="19">
        <v>1.0</v>
      </c>
      <c r="F309" s="20">
        <v>12000.0</v>
      </c>
      <c r="G309" s="21" t="s">
        <v>2711</v>
      </c>
      <c r="H309" s="19">
        <v>4.0</v>
      </c>
      <c r="I309" s="21" t="s">
        <v>1236</v>
      </c>
      <c r="J309" s="22" t="s">
        <v>2632</v>
      </c>
    </row>
    <row r="310" ht="14.25" customHeight="1">
      <c r="A310" s="15" t="s">
        <v>3020</v>
      </c>
      <c r="B310" s="16">
        <v>45087.0</v>
      </c>
      <c r="C310" s="17">
        <v>45092.0</v>
      </c>
      <c r="D310" s="18">
        <v>2.0</v>
      </c>
      <c r="E310" s="19">
        <v>1.0</v>
      </c>
      <c r="F310" s="20">
        <v>12000.0</v>
      </c>
      <c r="G310" s="21" t="s">
        <v>2711</v>
      </c>
      <c r="H310" s="19">
        <v>5.0</v>
      </c>
      <c r="I310" s="21" t="s">
        <v>2441</v>
      </c>
      <c r="J310" s="22" t="s">
        <v>2612</v>
      </c>
    </row>
    <row r="311" ht="14.25" customHeight="1">
      <c r="A311" s="15" t="s">
        <v>3021</v>
      </c>
      <c r="B311" s="16">
        <v>45087.0</v>
      </c>
      <c r="C311" s="17">
        <v>45090.0</v>
      </c>
      <c r="D311" s="18">
        <v>1.0</v>
      </c>
      <c r="E311" s="19">
        <v>1.0</v>
      </c>
      <c r="F311" s="20">
        <v>12000.0</v>
      </c>
      <c r="G311" s="21" t="s">
        <v>2711</v>
      </c>
      <c r="H311" s="19">
        <v>5.0</v>
      </c>
      <c r="I311" s="21" t="s">
        <v>278</v>
      </c>
      <c r="J311" s="22" t="s">
        <v>2602</v>
      </c>
    </row>
    <row r="312" ht="14.25" customHeight="1">
      <c r="A312" s="15" t="s">
        <v>3022</v>
      </c>
      <c r="B312" s="16">
        <v>45087.0</v>
      </c>
      <c r="C312" s="17">
        <v>45088.0</v>
      </c>
      <c r="D312" s="18">
        <v>11.0</v>
      </c>
      <c r="E312" s="19">
        <v>5.0</v>
      </c>
      <c r="F312" s="20">
        <v>20000.0</v>
      </c>
      <c r="G312" s="21" t="s">
        <v>2711</v>
      </c>
      <c r="H312" s="19">
        <v>5.0</v>
      </c>
      <c r="I312" s="21" t="s">
        <v>166</v>
      </c>
      <c r="J312" s="22" t="s">
        <v>2587</v>
      </c>
    </row>
    <row r="313" ht="14.25" customHeight="1">
      <c r="A313" s="15" t="s">
        <v>3023</v>
      </c>
      <c r="B313" s="16">
        <v>45087.0</v>
      </c>
      <c r="C313" s="17">
        <v>45092.0</v>
      </c>
      <c r="D313" s="18">
        <v>4.0</v>
      </c>
      <c r="E313" s="19">
        <v>2.0</v>
      </c>
      <c r="F313" s="20">
        <v>14000.0</v>
      </c>
      <c r="G313" s="21" t="s">
        <v>2711</v>
      </c>
      <c r="H313" s="19">
        <v>5.0</v>
      </c>
      <c r="I313" s="21" t="s">
        <v>146</v>
      </c>
      <c r="J313" s="22" t="s">
        <v>2582</v>
      </c>
    </row>
    <row r="314" ht="14.25" customHeight="1">
      <c r="A314" s="15" t="s">
        <v>3024</v>
      </c>
      <c r="B314" s="16">
        <v>45087.0</v>
      </c>
      <c r="C314" s="17">
        <v>45092.0</v>
      </c>
      <c r="D314" s="18">
        <v>4.0</v>
      </c>
      <c r="E314" s="19">
        <v>1.0</v>
      </c>
      <c r="F314" s="20">
        <v>12000.0</v>
      </c>
      <c r="G314" s="21" t="s">
        <v>2711</v>
      </c>
      <c r="H314" s="19">
        <v>5.0</v>
      </c>
      <c r="I314" s="21" t="s">
        <v>2346</v>
      </c>
      <c r="J314" s="22" t="s">
        <v>2612</v>
      </c>
    </row>
    <row r="315" ht="14.25" customHeight="1">
      <c r="A315" s="15" t="s">
        <v>3025</v>
      </c>
      <c r="B315" s="16">
        <v>45087.0</v>
      </c>
      <c r="C315" s="17">
        <v>45091.0</v>
      </c>
      <c r="D315" s="18">
        <v>3.0</v>
      </c>
      <c r="E315" s="19">
        <v>1.0</v>
      </c>
      <c r="F315" s="20">
        <v>12000.0</v>
      </c>
      <c r="G315" s="21" t="s">
        <v>2711</v>
      </c>
      <c r="H315" s="19">
        <v>4.0</v>
      </c>
      <c r="I315" s="21" t="s">
        <v>609</v>
      </c>
      <c r="J315" s="22" t="s">
        <v>2652</v>
      </c>
    </row>
    <row r="316" ht="14.25" customHeight="1">
      <c r="A316" s="15" t="s">
        <v>3026</v>
      </c>
      <c r="B316" s="16">
        <v>45087.0</v>
      </c>
      <c r="C316" s="17">
        <v>45088.0</v>
      </c>
      <c r="D316" s="18">
        <v>2.0</v>
      </c>
      <c r="E316" s="19">
        <v>2.0</v>
      </c>
      <c r="F316" s="20">
        <v>14000.0</v>
      </c>
      <c r="G316" s="21" t="s">
        <v>2711</v>
      </c>
      <c r="H316" s="19">
        <v>5.0</v>
      </c>
      <c r="I316" s="21" t="s">
        <v>902</v>
      </c>
      <c r="J316" s="22" t="s">
        <v>2511</v>
      </c>
    </row>
    <row r="317" ht="14.25" customHeight="1">
      <c r="A317" s="15" t="s">
        <v>3027</v>
      </c>
      <c r="B317" s="16">
        <v>45087.0</v>
      </c>
      <c r="C317" s="17">
        <v>45090.0</v>
      </c>
      <c r="D317" s="18">
        <v>19.0</v>
      </c>
      <c r="E317" s="19">
        <v>8.0</v>
      </c>
      <c r="F317" s="20">
        <v>31700.0</v>
      </c>
      <c r="G317" s="21" t="s">
        <v>2711</v>
      </c>
      <c r="H317" s="19">
        <v>4.0</v>
      </c>
      <c r="I317" s="21" t="s">
        <v>625</v>
      </c>
      <c r="J317" s="22" t="s">
        <v>2501</v>
      </c>
    </row>
    <row r="318" ht="14.25" customHeight="1">
      <c r="A318" s="15" t="s">
        <v>3028</v>
      </c>
      <c r="B318" s="16">
        <v>45087.0</v>
      </c>
      <c r="C318" s="17">
        <v>45092.0</v>
      </c>
      <c r="D318" s="18">
        <v>2.0</v>
      </c>
      <c r="E318" s="19">
        <v>3.0</v>
      </c>
      <c r="F318" s="20">
        <v>16000.0</v>
      </c>
      <c r="G318" s="21" t="s">
        <v>2711</v>
      </c>
      <c r="H318" s="19">
        <v>4.0</v>
      </c>
      <c r="I318" s="21" t="s">
        <v>1149</v>
      </c>
      <c r="J318" s="22" t="s">
        <v>2622</v>
      </c>
    </row>
    <row r="319" ht="14.25" customHeight="1">
      <c r="A319" s="15" t="s">
        <v>3029</v>
      </c>
      <c r="B319" s="16">
        <v>45087.0</v>
      </c>
      <c r="C319" s="17">
        <v>45092.0</v>
      </c>
      <c r="D319" s="18">
        <v>6.0</v>
      </c>
      <c r="E319" s="19">
        <v>1.0</v>
      </c>
      <c r="F319" s="20">
        <v>12000.0</v>
      </c>
      <c r="G319" s="21" t="s">
        <v>2711</v>
      </c>
      <c r="H319" s="19">
        <v>5.0</v>
      </c>
      <c r="I319" s="21" t="s">
        <v>846</v>
      </c>
      <c r="J319" s="22" t="s">
        <v>2687</v>
      </c>
    </row>
    <row r="320" ht="14.25" customHeight="1">
      <c r="A320" s="15" t="s">
        <v>3030</v>
      </c>
      <c r="B320" s="16">
        <v>45087.0</v>
      </c>
      <c r="C320" s="17">
        <v>45092.0</v>
      </c>
      <c r="D320" s="18">
        <v>4.0</v>
      </c>
      <c r="E320" s="19">
        <v>3.0</v>
      </c>
      <c r="F320" s="20">
        <v>16000.0</v>
      </c>
      <c r="G320" s="21" t="s">
        <v>2711</v>
      </c>
      <c r="H320" s="19">
        <v>5.0</v>
      </c>
      <c r="I320" s="21" t="s">
        <v>2294</v>
      </c>
      <c r="J320" s="22" t="s">
        <v>2490</v>
      </c>
    </row>
    <row r="321" ht="14.25" customHeight="1">
      <c r="A321" s="15" t="s">
        <v>3031</v>
      </c>
      <c r="B321" s="16">
        <v>45087.0</v>
      </c>
      <c r="C321" s="17">
        <v>45088.0</v>
      </c>
      <c r="D321" s="18">
        <v>5.0</v>
      </c>
      <c r="E321" s="19">
        <v>2.0</v>
      </c>
      <c r="F321" s="20">
        <v>14000.0</v>
      </c>
      <c r="G321" s="21" t="s">
        <v>2711</v>
      </c>
      <c r="H321" s="19">
        <v>5.0</v>
      </c>
      <c r="I321" s="21" t="s">
        <v>632</v>
      </c>
      <c r="J321" s="22" t="s">
        <v>2642</v>
      </c>
    </row>
    <row r="322" ht="14.25" customHeight="1">
      <c r="A322" s="15" t="s">
        <v>3032</v>
      </c>
      <c r="B322" s="16">
        <v>45087.0</v>
      </c>
      <c r="C322" s="17">
        <v>45088.0</v>
      </c>
      <c r="D322" s="18">
        <v>1.0</v>
      </c>
      <c r="E322" s="19">
        <v>2.0</v>
      </c>
      <c r="F322" s="20">
        <v>14000.0</v>
      </c>
      <c r="G322" s="21" t="s">
        <v>2711</v>
      </c>
      <c r="H322" s="19">
        <v>4.0</v>
      </c>
      <c r="I322" s="21" t="s">
        <v>593</v>
      </c>
      <c r="J322" s="22" t="s">
        <v>2496</v>
      </c>
    </row>
    <row r="323" ht="14.25" customHeight="1">
      <c r="A323" s="15" t="s">
        <v>3033</v>
      </c>
      <c r="B323" s="16">
        <v>45087.0</v>
      </c>
      <c r="C323" s="17">
        <v>45091.0</v>
      </c>
      <c r="D323" s="18">
        <v>7.0</v>
      </c>
      <c r="E323" s="19">
        <v>10.0</v>
      </c>
      <c r="F323" s="20">
        <v>30000.0</v>
      </c>
      <c r="G323" s="21" t="s">
        <v>2711</v>
      </c>
      <c r="H323" s="19">
        <v>5.0</v>
      </c>
      <c r="I323" s="21" t="s">
        <v>2255</v>
      </c>
      <c r="J323" s="22" t="s">
        <v>2587</v>
      </c>
    </row>
    <row r="324" ht="14.25" customHeight="1">
      <c r="A324" s="15" t="s">
        <v>3034</v>
      </c>
      <c r="B324" s="16">
        <v>45087.0</v>
      </c>
      <c r="C324" s="17">
        <v>45088.0</v>
      </c>
      <c r="D324" s="18">
        <v>12.0</v>
      </c>
      <c r="E324" s="19">
        <v>4.0</v>
      </c>
      <c r="F324" s="20">
        <v>18000.0</v>
      </c>
      <c r="G324" s="21" t="s">
        <v>2711</v>
      </c>
      <c r="H324" s="19">
        <v>4.0</v>
      </c>
      <c r="I324" s="21" t="s">
        <v>1029</v>
      </c>
      <c r="J324" s="22" t="s">
        <v>2662</v>
      </c>
    </row>
    <row r="325" ht="14.25" customHeight="1">
      <c r="A325" s="15" t="s">
        <v>3035</v>
      </c>
      <c r="B325" s="16">
        <v>45087.0</v>
      </c>
      <c r="C325" s="17">
        <v>45091.0</v>
      </c>
      <c r="D325" s="18">
        <v>1.0</v>
      </c>
      <c r="E325" s="19">
        <v>2.0</v>
      </c>
      <c r="F325" s="20">
        <v>14000.0</v>
      </c>
      <c r="G325" s="21" t="s">
        <v>2711</v>
      </c>
      <c r="H325" s="19">
        <v>4.0</v>
      </c>
      <c r="I325" s="21" t="s">
        <v>2244</v>
      </c>
      <c r="J325" s="22" t="s">
        <v>2617</v>
      </c>
    </row>
    <row r="326" ht="14.25" customHeight="1">
      <c r="A326" s="15" t="s">
        <v>3036</v>
      </c>
      <c r="B326" s="16">
        <v>45087.0</v>
      </c>
      <c r="C326" s="17">
        <v>45092.0</v>
      </c>
      <c r="D326" s="18">
        <v>20.0</v>
      </c>
      <c r="E326" s="19">
        <v>7.0</v>
      </c>
      <c r="F326" s="20">
        <v>30000.0</v>
      </c>
      <c r="G326" s="21" t="s">
        <v>2711</v>
      </c>
      <c r="H326" s="19">
        <v>4.0</v>
      </c>
      <c r="I326" s="21" t="s">
        <v>1248</v>
      </c>
      <c r="J326" s="22" t="s">
        <v>2667</v>
      </c>
    </row>
    <row r="327" ht="14.25" customHeight="1">
      <c r="A327" s="15" t="s">
        <v>3037</v>
      </c>
      <c r="B327" s="16">
        <v>45087.0</v>
      </c>
      <c r="C327" s="17">
        <v>45092.0</v>
      </c>
      <c r="D327" s="18">
        <v>17.0</v>
      </c>
      <c r="E327" s="19">
        <v>4.0</v>
      </c>
      <c r="F327" s="20">
        <v>23100.0</v>
      </c>
      <c r="G327" s="21" t="s">
        <v>2711</v>
      </c>
      <c r="H327" s="19">
        <v>5.0</v>
      </c>
      <c r="I327" s="21" t="s">
        <v>210</v>
      </c>
      <c r="J327" s="22" t="s">
        <v>2501</v>
      </c>
    </row>
    <row r="328" ht="14.25" customHeight="1">
      <c r="A328" s="15" t="s">
        <v>3038</v>
      </c>
      <c r="B328" s="16">
        <v>45087.0</v>
      </c>
      <c r="C328" s="17">
        <v>45089.0</v>
      </c>
      <c r="D328" s="18">
        <v>2.0</v>
      </c>
      <c r="E328" s="19">
        <v>3.0</v>
      </c>
      <c r="F328" s="20">
        <v>16000.0</v>
      </c>
      <c r="G328" s="21" t="s">
        <v>2711</v>
      </c>
      <c r="H328" s="19">
        <v>5.0</v>
      </c>
      <c r="I328" s="21" t="s">
        <v>1918</v>
      </c>
      <c r="J328" s="22" t="s">
        <v>2572</v>
      </c>
    </row>
    <row r="329" ht="14.25" customHeight="1">
      <c r="A329" s="15" t="s">
        <v>3039</v>
      </c>
      <c r="B329" s="16">
        <v>45087.0</v>
      </c>
      <c r="C329" s="17">
        <v>45092.0</v>
      </c>
      <c r="D329" s="18">
        <v>16.0</v>
      </c>
      <c r="E329" s="19">
        <v>5.0</v>
      </c>
      <c r="F329" s="20">
        <v>24800.0</v>
      </c>
      <c r="G329" s="21" t="s">
        <v>2711</v>
      </c>
      <c r="H329" s="19">
        <v>5.0</v>
      </c>
      <c r="I329" s="21" t="s">
        <v>1001</v>
      </c>
      <c r="J329" s="22" t="s">
        <v>2587</v>
      </c>
    </row>
    <row r="330" ht="14.25" customHeight="1">
      <c r="A330" s="15" t="s">
        <v>3040</v>
      </c>
      <c r="B330" s="16">
        <v>45087.0</v>
      </c>
      <c r="C330" s="17">
        <v>45092.0</v>
      </c>
      <c r="D330" s="18">
        <v>5.0</v>
      </c>
      <c r="E330" s="19">
        <v>2.0</v>
      </c>
      <c r="F330" s="20">
        <v>14000.0</v>
      </c>
      <c r="G330" s="21" t="s">
        <v>2711</v>
      </c>
      <c r="H330" s="19">
        <v>5.0</v>
      </c>
      <c r="I330" s="21" t="s">
        <v>2469</v>
      </c>
      <c r="J330" s="22" t="s">
        <v>2682</v>
      </c>
      <c r="K330" s="27"/>
    </row>
    <row r="331" ht="14.25" customHeight="1">
      <c r="A331" s="15" t="s">
        <v>3041</v>
      </c>
      <c r="B331" s="16">
        <v>45087.0</v>
      </c>
      <c r="C331" s="17">
        <v>45090.0</v>
      </c>
      <c r="D331" s="18">
        <v>1.0</v>
      </c>
      <c r="E331" s="19">
        <v>2.0</v>
      </c>
      <c r="F331" s="20">
        <v>14000.0</v>
      </c>
      <c r="G331" s="21" t="s">
        <v>2711</v>
      </c>
      <c r="H331" s="19">
        <v>4.0</v>
      </c>
      <c r="I331" s="21" t="s">
        <v>1348</v>
      </c>
      <c r="J331" s="22" t="s">
        <v>2692</v>
      </c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</row>
    <row r="332" ht="14.25" customHeight="1">
      <c r="A332" s="15" t="s">
        <v>3042</v>
      </c>
      <c r="B332" s="16">
        <v>45087.0</v>
      </c>
      <c r="C332" s="17">
        <v>45088.0</v>
      </c>
      <c r="D332" s="18">
        <v>3.0</v>
      </c>
      <c r="E332" s="19">
        <v>2.0</v>
      </c>
      <c r="F332" s="20">
        <v>14000.0</v>
      </c>
      <c r="G332" s="21" t="s">
        <v>2711</v>
      </c>
      <c r="H332" s="19">
        <v>5.0</v>
      </c>
      <c r="I332" s="21" t="s">
        <v>10</v>
      </c>
      <c r="J332" s="22" t="s">
        <v>2682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</row>
    <row r="333" ht="14.25" customHeight="1">
      <c r="A333" s="15" t="s">
        <v>3043</v>
      </c>
      <c r="B333" s="16">
        <v>45087.0</v>
      </c>
      <c r="C333" s="17">
        <v>45088.0</v>
      </c>
      <c r="D333" s="18">
        <v>15.0</v>
      </c>
      <c r="E333" s="19">
        <v>7.0</v>
      </c>
      <c r="F333" s="20">
        <v>28500.0</v>
      </c>
      <c r="G333" s="21" t="s">
        <v>2711</v>
      </c>
      <c r="H333" s="19">
        <v>5.0</v>
      </c>
      <c r="I333" s="21" t="s">
        <v>1188</v>
      </c>
      <c r="J333" s="22" t="s">
        <v>2587</v>
      </c>
    </row>
    <row r="334" ht="14.25" customHeight="1">
      <c r="A334" s="15" t="s">
        <v>3044</v>
      </c>
      <c r="B334" s="16">
        <v>45087.0</v>
      </c>
      <c r="C334" s="17">
        <v>45089.0</v>
      </c>
      <c r="D334" s="18">
        <v>6.0</v>
      </c>
      <c r="E334" s="19">
        <v>3.0</v>
      </c>
      <c r="F334" s="20">
        <v>16000.0</v>
      </c>
      <c r="G334" s="21" t="s">
        <v>2711</v>
      </c>
      <c r="H334" s="19">
        <v>4.0</v>
      </c>
      <c r="I334" s="21" t="s">
        <v>62</v>
      </c>
      <c r="J334" s="22" t="s">
        <v>2597</v>
      </c>
    </row>
    <row r="335" ht="14.25" customHeight="1">
      <c r="A335" s="15" t="s">
        <v>3045</v>
      </c>
      <c r="B335" s="16">
        <v>45087.0</v>
      </c>
      <c r="C335" s="17">
        <v>45091.0</v>
      </c>
      <c r="D335" s="18">
        <v>11.0</v>
      </c>
      <c r="E335" s="19">
        <v>6.0</v>
      </c>
      <c r="F335" s="20">
        <v>22000.0</v>
      </c>
      <c r="G335" s="21" t="s">
        <v>2711</v>
      </c>
      <c r="H335" s="19">
        <v>4.0</v>
      </c>
      <c r="I335" s="21" t="s">
        <v>458</v>
      </c>
      <c r="J335" s="22" t="s">
        <v>2672</v>
      </c>
    </row>
    <row r="336" ht="14.25" customHeight="1">
      <c r="A336" s="15" t="s">
        <v>3046</v>
      </c>
      <c r="B336" s="17">
        <v>45088.0</v>
      </c>
      <c r="C336" s="17">
        <f>B336 + RANDBETWEEN(1,5)</f>
        <v>45093</v>
      </c>
      <c r="D336" s="18">
        <v>1.0</v>
      </c>
      <c r="E336" s="19">
        <v>1.0</v>
      </c>
      <c r="F336" s="30"/>
      <c r="G336" s="21" t="s">
        <v>2711</v>
      </c>
      <c r="H336" s="19">
        <v>4.0</v>
      </c>
      <c r="I336" s="21" t="s">
        <v>458</v>
      </c>
      <c r="J336" s="22" t="s">
        <v>2542</v>
      </c>
    </row>
    <row r="337" ht="14.25" customHeight="1">
      <c r="A337" s="15" t="s">
        <v>3047</v>
      </c>
      <c r="B337" s="16">
        <v>45088.0</v>
      </c>
      <c r="C337" s="17">
        <v>45089.0</v>
      </c>
      <c r="D337" s="18">
        <v>4.0</v>
      </c>
      <c r="E337" s="19">
        <v>2.0</v>
      </c>
      <c r="F337" s="20">
        <v>14000.0</v>
      </c>
      <c r="G337" s="21" t="s">
        <v>2711</v>
      </c>
      <c r="H337" s="19">
        <v>5.0</v>
      </c>
      <c r="I337" s="21" t="s">
        <v>254</v>
      </c>
      <c r="J337" s="22" t="s">
        <v>2562</v>
      </c>
    </row>
    <row r="338" ht="14.25" customHeight="1">
      <c r="A338" s="15" t="s">
        <v>3048</v>
      </c>
      <c r="B338" s="16">
        <v>45088.0</v>
      </c>
      <c r="C338" s="17">
        <v>45090.0</v>
      </c>
      <c r="D338" s="18">
        <v>1.0</v>
      </c>
      <c r="E338" s="19">
        <v>3.0</v>
      </c>
      <c r="F338" s="20">
        <v>16000.0</v>
      </c>
      <c r="G338" s="21" t="s">
        <v>2711</v>
      </c>
      <c r="H338" s="19">
        <v>5.0</v>
      </c>
      <c r="I338" s="21" t="s">
        <v>1788</v>
      </c>
      <c r="J338" s="22" t="s">
        <v>2577</v>
      </c>
    </row>
    <row r="339" ht="14.25" customHeight="1">
      <c r="A339" s="15" t="s">
        <v>3049</v>
      </c>
      <c r="B339" s="16">
        <v>45088.0</v>
      </c>
      <c r="C339" s="17">
        <v>45092.0</v>
      </c>
      <c r="D339" s="18">
        <v>2.0</v>
      </c>
      <c r="E339" s="19">
        <v>3.0</v>
      </c>
      <c r="F339" s="20">
        <v>16000.0</v>
      </c>
      <c r="G339" s="21" t="s">
        <v>2711</v>
      </c>
      <c r="H339" s="19">
        <v>5.0</v>
      </c>
      <c r="I339" s="21" t="s">
        <v>422</v>
      </c>
      <c r="J339" s="22" t="s">
        <v>2562</v>
      </c>
    </row>
    <row r="340" ht="14.25" customHeight="1">
      <c r="A340" s="15" t="s">
        <v>3050</v>
      </c>
      <c r="B340" s="16">
        <v>45088.0</v>
      </c>
      <c r="C340" s="17">
        <v>45093.0</v>
      </c>
      <c r="D340" s="18">
        <v>1.0</v>
      </c>
      <c r="E340" s="19">
        <v>3.0</v>
      </c>
      <c r="F340" s="20">
        <v>16000.0</v>
      </c>
      <c r="G340" s="21" t="s">
        <v>2711</v>
      </c>
      <c r="H340" s="19">
        <v>4.0</v>
      </c>
      <c r="I340" s="21" t="s">
        <v>1941</v>
      </c>
      <c r="J340" s="22" t="s">
        <v>2577</v>
      </c>
    </row>
    <row r="341" ht="14.25" customHeight="1">
      <c r="A341" s="15" t="s">
        <v>3051</v>
      </c>
      <c r="B341" s="16">
        <v>45088.0</v>
      </c>
      <c r="C341" s="17">
        <v>45089.0</v>
      </c>
      <c r="D341" s="18">
        <v>77.0</v>
      </c>
      <c r="E341" s="19">
        <v>11.0</v>
      </c>
      <c r="F341" s="20">
        <v>55100.0</v>
      </c>
      <c r="G341" s="21" t="s">
        <v>2711</v>
      </c>
      <c r="H341" s="19">
        <v>4.0</v>
      </c>
      <c r="I341" s="21" t="s">
        <v>1133</v>
      </c>
      <c r="J341" s="22" t="s">
        <v>2552</v>
      </c>
    </row>
    <row r="342" ht="14.25" customHeight="1">
      <c r="A342" s="15" t="s">
        <v>3052</v>
      </c>
      <c r="B342" s="16">
        <v>45088.0</v>
      </c>
      <c r="C342" s="17">
        <v>45093.0</v>
      </c>
      <c r="D342" s="18">
        <v>3.0</v>
      </c>
      <c r="E342" s="19">
        <v>2.0</v>
      </c>
      <c r="F342" s="20">
        <v>14000.0</v>
      </c>
      <c r="G342" s="21" t="s">
        <v>2711</v>
      </c>
      <c r="H342" s="19">
        <v>4.0</v>
      </c>
      <c r="I342" s="21" t="s">
        <v>1172</v>
      </c>
      <c r="J342" s="22" t="s">
        <v>2682</v>
      </c>
    </row>
    <row r="343" ht="14.25" customHeight="1">
      <c r="A343" s="15" t="s">
        <v>3053</v>
      </c>
      <c r="B343" s="16">
        <v>45088.0</v>
      </c>
      <c r="C343" s="17">
        <v>45093.0</v>
      </c>
      <c r="D343" s="18">
        <v>9.0</v>
      </c>
      <c r="E343" s="19">
        <v>10.0</v>
      </c>
      <c r="F343" s="20">
        <v>30000.0</v>
      </c>
      <c r="G343" s="21" t="s">
        <v>2711</v>
      </c>
      <c r="H343" s="19">
        <v>4.0</v>
      </c>
      <c r="I343" s="21" t="s">
        <v>1717</v>
      </c>
      <c r="J343" s="22" t="s">
        <v>2697</v>
      </c>
    </row>
    <row r="344" ht="14.25" customHeight="1">
      <c r="A344" s="15" t="s">
        <v>3054</v>
      </c>
      <c r="B344" s="16">
        <v>45088.0</v>
      </c>
      <c r="C344" s="17">
        <v>45091.0</v>
      </c>
      <c r="D344" s="18">
        <v>5.0</v>
      </c>
      <c r="E344" s="19">
        <v>3.0</v>
      </c>
      <c r="F344" s="20">
        <v>16000.0</v>
      </c>
      <c r="G344" s="21" t="s">
        <v>2711</v>
      </c>
      <c r="H344" s="19">
        <v>5.0</v>
      </c>
      <c r="I344" s="21" t="s">
        <v>1355</v>
      </c>
      <c r="J344" s="22" t="s">
        <v>2692</v>
      </c>
    </row>
    <row r="345" ht="14.25" customHeight="1">
      <c r="A345" s="15" t="s">
        <v>3055</v>
      </c>
      <c r="B345" s="16">
        <v>45088.0</v>
      </c>
      <c r="C345" s="17">
        <v>45093.0</v>
      </c>
      <c r="D345" s="18">
        <v>10.0</v>
      </c>
      <c r="E345" s="19">
        <v>8.0</v>
      </c>
      <c r="F345" s="20">
        <v>26000.0</v>
      </c>
      <c r="G345" s="21" t="s">
        <v>2711</v>
      </c>
      <c r="H345" s="19">
        <v>5.0</v>
      </c>
      <c r="I345" s="21" t="s">
        <v>537</v>
      </c>
      <c r="J345" s="22" t="s">
        <v>2607</v>
      </c>
    </row>
    <row r="346" ht="14.25" customHeight="1">
      <c r="A346" s="15" t="s">
        <v>3056</v>
      </c>
      <c r="B346" s="16">
        <v>45088.0</v>
      </c>
      <c r="C346" s="17">
        <v>45089.0</v>
      </c>
      <c r="D346" s="18">
        <v>3.0</v>
      </c>
      <c r="E346" s="19">
        <v>3.0</v>
      </c>
      <c r="F346" s="20">
        <v>16000.0</v>
      </c>
      <c r="G346" s="21" t="s">
        <v>2711</v>
      </c>
      <c r="H346" s="19">
        <v>5.0</v>
      </c>
      <c r="I346" s="21" t="s">
        <v>537</v>
      </c>
      <c r="J346" s="22" t="s">
        <v>2572</v>
      </c>
    </row>
    <row r="347" ht="14.25" customHeight="1">
      <c r="A347" s="15" t="s">
        <v>3057</v>
      </c>
      <c r="B347" s="16">
        <v>45088.0</v>
      </c>
      <c r="C347" s="17">
        <v>45093.0</v>
      </c>
      <c r="D347" s="18">
        <v>6.0</v>
      </c>
      <c r="E347" s="19">
        <v>3.0</v>
      </c>
      <c r="F347" s="20">
        <v>16000.0</v>
      </c>
      <c r="G347" s="21" t="s">
        <v>2711</v>
      </c>
      <c r="H347" s="19">
        <v>5.0</v>
      </c>
      <c r="I347" s="21" t="s">
        <v>632</v>
      </c>
      <c r="J347" s="22" t="s">
        <v>2562</v>
      </c>
    </row>
    <row r="348" ht="14.25" customHeight="1">
      <c r="A348" s="15" t="s">
        <v>3058</v>
      </c>
      <c r="B348" s="16">
        <v>45088.0</v>
      </c>
      <c r="C348" s="17">
        <v>45091.0</v>
      </c>
      <c r="D348" s="18">
        <v>7.0</v>
      </c>
      <c r="E348" s="19">
        <v>4.0</v>
      </c>
      <c r="F348" s="20">
        <v>18000.0</v>
      </c>
      <c r="G348" s="21" t="s">
        <v>2711</v>
      </c>
      <c r="H348" s="19">
        <v>5.0</v>
      </c>
      <c r="I348" s="21" t="s">
        <v>601</v>
      </c>
      <c r="J348" s="22" t="s">
        <v>2667</v>
      </c>
    </row>
    <row r="349" ht="14.25" customHeight="1">
      <c r="A349" s="15" t="s">
        <v>3059</v>
      </c>
      <c r="B349" s="16">
        <v>45088.0</v>
      </c>
      <c r="C349" s="17">
        <v>45090.0</v>
      </c>
      <c r="D349" s="18">
        <v>4.0</v>
      </c>
      <c r="E349" s="19">
        <v>1.0</v>
      </c>
      <c r="F349" s="20">
        <v>12000.0</v>
      </c>
      <c r="G349" s="21" t="s">
        <v>2711</v>
      </c>
      <c r="H349" s="19">
        <v>4.0</v>
      </c>
      <c r="I349" s="21" t="s">
        <v>2136</v>
      </c>
      <c r="J349" s="22" t="s">
        <v>2677</v>
      </c>
    </row>
    <row r="350" ht="14.25" customHeight="1">
      <c r="A350" s="15" t="s">
        <v>3060</v>
      </c>
      <c r="B350" s="16">
        <v>45088.0</v>
      </c>
      <c r="C350" s="17">
        <v>45089.0</v>
      </c>
      <c r="D350" s="18">
        <v>10.0</v>
      </c>
      <c r="E350" s="19">
        <v>10.0</v>
      </c>
      <c r="F350" s="20">
        <v>30000.0</v>
      </c>
      <c r="G350" s="21" t="s">
        <v>2711</v>
      </c>
      <c r="H350" s="19">
        <v>5.0</v>
      </c>
      <c r="I350" s="21" t="s">
        <v>609</v>
      </c>
      <c r="J350" s="22" t="s">
        <v>2637</v>
      </c>
    </row>
    <row r="351" ht="14.25" customHeight="1">
      <c r="A351" s="15" t="s">
        <v>3061</v>
      </c>
      <c r="B351" s="16">
        <v>45088.0</v>
      </c>
      <c r="C351" s="17">
        <v>45093.0</v>
      </c>
      <c r="D351" s="18">
        <v>5.0</v>
      </c>
      <c r="E351" s="19">
        <v>3.0</v>
      </c>
      <c r="F351" s="20">
        <v>16000.0</v>
      </c>
      <c r="G351" s="21" t="s">
        <v>2711</v>
      </c>
      <c r="H351" s="19">
        <v>4.0</v>
      </c>
      <c r="I351" s="21" t="s">
        <v>2283</v>
      </c>
      <c r="J351" s="22" t="s">
        <v>2577</v>
      </c>
    </row>
    <row r="352" ht="14.25" customHeight="1">
      <c r="A352" s="15" t="s">
        <v>3062</v>
      </c>
      <c r="B352" s="16">
        <v>45088.0</v>
      </c>
      <c r="C352" s="17">
        <v>45092.0</v>
      </c>
      <c r="D352" s="18">
        <v>4.0</v>
      </c>
      <c r="E352" s="19">
        <v>3.0</v>
      </c>
      <c r="F352" s="20">
        <v>16000.0</v>
      </c>
      <c r="G352" s="21" t="s">
        <v>2711</v>
      </c>
      <c r="H352" s="19">
        <v>4.0</v>
      </c>
      <c r="I352" s="21" t="s">
        <v>2389</v>
      </c>
      <c r="J352" s="22" t="s">
        <v>2542</v>
      </c>
    </row>
    <row r="353" ht="14.25" customHeight="1">
      <c r="A353" s="15" t="s">
        <v>3063</v>
      </c>
      <c r="B353" s="16">
        <v>45088.0</v>
      </c>
      <c r="C353" s="17">
        <v>45092.0</v>
      </c>
      <c r="D353" s="18">
        <v>6.0</v>
      </c>
      <c r="E353" s="19">
        <v>1.0</v>
      </c>
      <c r="F353" s="20">
        <v>12000.0</v>
      </c>
      <c r="G353" s="21" t="s">
        <v>2711</v>
      </c>
      <c r="H353" s="19">
        <v>4.0</v>
      </c>
      <c r="I353" s="21" t="s">
        <v>997</v>
      </c>
      <c r="J353" s="22" t="s">
        <v>2557</v>
      </c>
    </row>
    <row r="354" ht="14.25" customHeight="1">
      <c r="A354" s="15" t="s">
        <v>3064</v>
      </c>
      <c r="B354" s="16">
        <v>45088.0</v>
      </c>
      <c r="C354" s="17">
        <v>45090.0</v>
      </c>
      <c r="D354" s="18">
        <v>4.0</v>
      </c>
      <c r="E354" s="19">
        <v>3.0</v>
      </c>
      <c r="F354" s="20">
        <v>16000.0</v>
      </c>
      <c r="G354" s="21" t="s">
        <v>2711</v>
      </c>
      <c r="H354" s="19">
        <v>5.0</v>
      </c>
      <c r="I354" s="21" t="s">
        <v>557</v>
      </c>
      <c r="J354" s="22" t="s">
        <v>2567</v>
      </c>
    </row>
    <row r="355" ht="14.25" customHeight="1">
      <c r="A355" s="15" t="s">
        <v>3065</v>
      </c>
      <c r="B355" s="16">
        <v>45088.0</v>
      </c>
      <c r="C355" s="17">
        <v>45090.0</v>
      </c>
      <c r="D355" s="18">
        <v>6.0</v>
      </c>
      <c r="E355" s="19">
        <v>3.0</v>
      </c>
      <c r="F355" s="20">
        <v>16000.0</v>
      </c>
      <c r="G355" s="21" t="s">
        <v>2711</v>
      </c>
      <c r="H355" s="19">
        <v>4.0</v>
      </c>
      <c r="I355" s="21" t="s">
        <v>946</v>
      </c>
      <c r="J355" s="22" t="s">
        <v>2547</v>
      </c>
    </row>
    <row r="356" ht="14.25" customHeight="1">
      <c r="A356" s="15" t="s">
        <v>3066</v>
      </c>
      <c r="B356" s="16">
        <v>45088.0</v>
      </c>
      <c r="C356" s="17">
        <v>45089.0</v>
      </c>
      <c r="D356" s="18">
        <v>6.0</v>
      </c>
      <c r="E356" s="19">
        <v>3.0</v>
      </c>
      <c r="F356" s="20">
        <v>16000.0</v>
      </c>
      <c r="G356" s="21" t="s">
        <v>2711</v>
      </c>
      <c r="H356" s="19">
        <v>5.0</v>
      </c>
      <c r="I356" s="21" t="s">
        <v>2465</v>
      </c>
      <c r="J356" s="22" t="s">
        <v>2542</v>
      </c>
    </row>
    <row r="357" ht="14.25" customHeight="1">
      <c r="A357" s="15" t="s">
        <v>3067</v>
      </c>
      <c r="B357" s="16">
        <v>45088.0</v>
      </c>
      <c r="C357" s="17">
        <v>45091.0</v>
      </c>
      <c r="D357" s="18">
        <v>5.0</v>
      </c>
      <c r="E357" s="19">
        <v>2.0</v>
      </c>
      <c r="F357" s="20">
        <v>14000.0</v>
      </c>
      <c r="G357" s="21" t="s">
        <v>2711</v>
      </c>
      <c r="H357" s="19">
        <v>4.0</v>
      </c>
      <c r="I357" s="21" t="s">
        <v>2216</v>
      </c>
      <c r="J357" s="22" t="s">
        <v>2572</v>
      </c>
    </row>
    <row r="358" ht="14.25" customHeight="1">
      <c r="A358" s="15" t="s">
        <v>3068</v>
      </c>
      <c r="B358" s="16">
        <v>45088.0</v>
      </c>
      <c r="C358" s="17">
        <v>45090.0</v>
      </c>
      <c r="D358" s="18">
        <v>13.0</v>
      </c>
      <c r="E358" s="19">
        <v>5.0</v>
      </c>
      <c r="F358" s="20">
        <v>20000.0</v>
      </c>
      <c r="G358" s="21" t="s">
        <v>2711</v>
      </c>
      <c r="H358" s="19">
        <v>5.0</v>
      </c>
      <c r="I358" s="21" t="s">
        <v>2287</v>
      </c>
      <c r="J358" s="22" t="s">
        <v>2587</v>
      </c>
    </row>
    <row r="359" ht="14.25" customHeight="1">
      <c r="A359" s="15" t="s">
        <v>3069</v>
      </c>
      <c r="B359" s="17">
        <v>45089.0</v>
      </c>
      <c r="C359" s="17">
        <f>B359 + RANDBETWEEN(1,5)</f>
        <v>45092</v>
      </c>
      <c r="D359" s="18">
        <v>13.0</v>
      </c>
      <c r="E359" s="19">
        <v>8.0</v>
      </c>
      <c r="F359" s="20">
        <v>26000.0</v>
      </c>
      <c r="G359" s="21" t="s">
        <v>2711</v>
      </c>
      <c r="H359" s="19">
        <v>5.0</v>
      </c>
      <c r="I359" s="21" t="s">
        <v>2401</v>
      </c>
      <c r="J359" s="22" t="s">
        <v>2697</v>
      </c>
      <c r="K359" s="31"/>
    </row>
    <row r="360" ht="14.25" customHeight="1">
      <c r="A360" s="15" t="s">
        <v>3070</v>
      </c>
      <c r="B360" s="16">
        <v>45089.0</v>
      </c>
      <c r="C360" s="17">
        <v>45092.0</v>
      </c>
      <c r="D360" s="18">
        <v>1.0</v>
      </c>
      <c r="E360" s="19">
        <v>2.0</v>
      </c>
      <c r="F360" s="20">
        <v>14000.0</v>
      </c>
      <c r="G360" s="21" t="s">
        <v>2711</v>
      </c>
      <c r="H360" s="19">
        <v>4.0</v>
      </c>
      <c r="I360" s="21" t="s">
        <v>648</v>
      </c>
      <c r="J360" s="22" t="s">
        <v>2632</v>
      </c>
    </row>
    <row r="361" ht="14.25" customHeight="1">
      <c r="A361" s="15" t="s">
        <v>3071</v>
      </c>
      <c r="B361" s="16">
        <v>45089.0</v>
      </c>
      <c r="C361" s="17">
        <v>45093.0</v>
      </c>
      <c r="D361" s="18">
        <v>1.0</v>
      </c>
      <c r="E361" s="19">
        <v>2.0</v>
      </c>
      <c r="F361" s="20">
        <v>14000.0</v>
      </c>
      <c r="G361" s="21" t="s">
        <v>2711</v>
      </c>
      <c r="H361" s="19">
        <v>4.0</v>
      </c>
      <c r="I361" s="21" t="s">
        <v>238</v>
      </c>
      <c r="J361" s="22" t="s">
        <v>2572</v>
      </c>
    </row>
    <row r="362" ht="14.25" customHeight="1">
      <c r="A362" s="15" t="s">
        <v>3072</v>
      </c>
      <c r="B362" s="16">
        <v>45089.0</v>
      </c>
      <c r="C362" s="17">
        <v>45090.0</v>
      </c>
      <c r="D362" s="18">
        <v>1.0</v>
      </c>
      <c r="E362" s="19">
        <v>1.0</v>
      </c>
      <c r="F362" s="20">
        <v>12000.0</v>
      </c>
      <c r="G362" s="21" t="s">
        <v>2711</v>
      </c>
      <c r="H362" s="19">
        <v>4.0</v>
      </c>
      <c r="I362" s="21" t="s">
        <v>787</v>
      </c>
      <c r="J362" s="22" t="s">
        <v>2642</v>
      </c>
    </row>
    <row r="363" ht="14.25" customHeight="1">
      <c r="A363" s="15" t="s">
        <v>3073</v>
      </c>
      <c r="B363" s="16">
        <v>45089.0</v>
      </c>
      <c r="C363" s="17">
        <v>45092.0</v>
      </c>
      <c r="D363" s="18">
        <v>13.0</v>
      </c>
      <c r="E363" s="19">
        <v>8.0</v>
      </c>
      <c r="F363" s="20">
        <v>26000.0</v>
      </c>
      <c r="G363" s="21" t="s">
        <v>2711</v>
      </c>
      <c r="H363" s="19">
        <v>4.0</v>
      </c>
      <c r="I363" s="21" t="s">
        <v>2338</v>
      </c>
      <c r="J363" s="22" t="s">
        <v>2484</v>
      </c>
    </row>
    <row r="364" ht="14.25" customHeight="1">
      <c r="A364" s="15" t="s">
        <v>3074</v>
      </c>
      <c r="B364" s="16">
        <v>45089.0</v>
      </c>
      <c r="C364" s="17">
        <v>45091.0</v>
      </c>
      <c r="D364" s="18">
        <v>3.0</v>
      </c>
      <c r="E364" s="19">
        <v>3.0</v>
      </c>
      <c r="F364" s="20">
        <v>16000.0</v>
      </c>
      <c r="G364" s="21" t="s">
        <v>2711</v>
      </c>
      <c r="H364" s="19">
        <v>5.0</v>
      </c>
      <c r="I364" s="21" t="s">
        <v>585</v>
      </c>
      <c r="J364" s="22" t="s">
        <v>2577</v>
      </c>
    </row>
    <row r="365" ht="14.25" customHeight="1">
      <c r="A365" s="15" t="s">
        <v>3075</v>
      </c>
      <c r="B365" s="16">
        <v>45089.0</v>
      </c>
      <c r="C365" s="17">
        <v>45091.0</v>
      </c>
      <c r="D365" s="18">
        <v>3.0</v>
      </c>
      <c r="E365" s="19">
        <v>2.0</v>
      </c>
      <c r="F365" s="20">
        <v>14000.0</v>
      </c>
      <c r="G365" s="21" t="s">
        <v>2711</v>
      </c>
      <c r="H365" s="19">
        <v>4.0</v>
      </c>
      <c r="I365" s="21" t="s">
        <v>82</v>
      </c>
      <c r="J365" s="22" t="s">
        <v>2617</v>
      </c>
    </row>
    <row r="366" ht="14.25" customHeight="1">
      <c r="A366" s="15" t="s">
        <v>3076</v>
      </c>
      <c r="B366" s="16">
        <v>45089.0</v>
      </c>
      <c r="C366" s="17">
        <v>45092.0</v>
      </c>
      <c r="D366" s="18">
        <v>3.0</v>
      </c>
      <c r="E366" s="19">
        <v>2.0</v>
      </c>
      <c r="F366" s="20">
        <v>14000.0</v>
      </c>
      <c r="G366" s="21" t="s">
        <v>2711</v>
      </c>
      <c r="H366" s="19">
        <v>5.0</v>
      </c>
      <c r="I366" s="21" t="s">
        <v>1232</v>
      </c>
      <c r="J366" s="22" t="s">
        <v>2647</v>
      </c>
    </row>
    <row r="367" ht="14.25" customHeight="1">
      <c r="A367" s="15" t="s">
        <v>3077</v>
      </c>
      <c r="B367" s="16">
        <v>45089.0</v>
      </c>
      <c r="C367" s="17">
        <v>45090.0</v>
      </c>
      <c r="D367" s="18">
        <v>2.0</v>
      </c>
      <c r="E367" s="19">
        <v>1.0</v>
      </c>
      <c r="F367" s="20">
        <v>12000.0</v>
      </c>
      <c r="G367" s="21" t="s">
        <v>2711</v>
      </c>
      <c r="H367" s="19">
        <v>5.0</v>
      </c>
      <c r="I367" s="21" t="s">
        <v>74</v>
      </c>
      <c r="J367" s="22" t="s">
        <v>2602</v>
      </c>
    </row>
    <row r="368" ht="14.25" customHeight="1">
      <c r="A368" s="15" t="s">
        <v>3078</v>
      </c>
      <c r="B368" s="16">
        <v>45089.0</v>
      </c>
      <c r="C368" s="17">
        <v>45094.0</v>
      </c>
      <c r="D368" s="18">
        <v>1.0</v>
      </c>
      <c r="E368" s="19">
        <v>2.0</v>
      </c>
      <c r="F368" s="20">
        <v>14000.0</v>
      </c>
      <c r="G368" s="21" t="s">
        <v>2711</v>
      </c>
      <c r="H368" s="19">
        <v>4.0</v>
      </c>
      <c r="I368" s="21" t="s">
        <v>2425</v>
      </c>
      <c r="J368" s="22" t="s">
        <v>2682</v>
      </c>
    </row>
    <row r="369" ht="14.25" customHeight="1">
      <c r="A369" s="15" t="s">
        <v>3079</v>
      </c>
      <c r="B369" s="16">
        <v>45089.0</v>
      </c>
      <c r="C369" s="17">
        <v>45090.0</v>
      </c>
      <c r="D369" s="18">
        <v>9.0</v>
      </c>
      <c r="E369" s="19">
        <v>10.0</v>
      </c>
      <c r="F369" s="20">
        <v>30000.0</v>
      </c>
      <c r="G369" s="21" t="s">
        <v>2711</v>
      </c>
      <c r="H369" s="19">
        <v>4.0</v>
      </c>
      <c r="I369" s="21" t="s">
        <v>2263</v>
      </c>
      <c r="J369" s="22" t="s">
        <v>2667</v>
      </c>
    </row>
    <row r="370" ht="14.25" customHeight="1">
      <c r="A370" s="15" t="s">
        <v>3080</v>
      </c>
      <c r="B370" s="16">
        <v>45089.0</v>
      </c>
      <c r="C370" s="17">
        <v>45092.0</v>
      </c>
      <c r="D370" s="18">
        <v>2.0</v>
      </c>
      <c r="E370" s="19">
        <v>3.0</v>
      </c>
      <c r="F370" s="20">
        <v>16000.0</v>
      </c>
      <c r="G370" s="21" t="s">
        <v>2711</v>
      </c>
      <c r="H370" s="19">
        <v>5.0</v>
      </c>
      <c r="I370" s="21" t="s">
        <v>1025</v>
      </c>
      <c r="J370" s="22" t="s">
        <v>2490</v>
      </c>
    </row>
    <row r="371" ht="14.25" customHeight="1">
      <c r="A371" s="15" t="s">
        <v>3081</v>
      </c>
      <c r="B371" s="16">
        <v>45089.0</v>
      </c>
      <c r="C371" s="17">
        <v>45090.0</v>
      </c>
      <c r="D371" s="18">
        <v>2.0</v>
      </c>
      <c r="E371" s="19">
        <v>3.0</v>
      </c>
      <c r="F371" s="20">
        <v>16000.0</v>
      </c>
      <c r="G371" s="21" t="s">
        <v>2711</v>
      </c>
      <c r="H371" s="19">
        <v>4.0</v>
      </c>
      <c r="I371" s="21" t="s">
        <v>934</v>
      </c>
      <c r="J371" s="22" t="s">
        <v>2612</v>
      </c>
    </row>
    <row r="372" ht="14.25" customHeight="1">
      <c r="A372" s="15" t="s">
        <v>3082</v>
      </c>
      <c r="B372" s="16">
        <v>45089.0</v>
      </c>
      <c r="C372" s="17">
        <v>45091.0</v>
      </c>
      <c r="D372" s="18">
        <v>3.0</v>
      </c>
      <c r="E372" s="19">
        <v>3.0</v>
      </c>
      <c r="F372" s="20">
        <v>16000.0</v>
      </c>
      <c r="G372" s="21" t="s">
        <v>2711</v>
      </c>
      <c r="H372" s="19">
        <v>4.0</v>
      </c>
      <c r="I372" s="21" t="s">
        <v>1784</v>
      </c>
      <c r="J372" s="22" t="s">
        <v>2496</v>
      </c>
    </row>
    <row r="373" ht="14.25" customHeight="1">
      <c r="A373" s="15" t="s">
        <v>3083</v>
      </c>
      <c r="B373" s="16">
        <v>45089.0</v>
      </c>
      <c r="C373" s="17">
        <v>45092.0</v>
      </c>
      <c r="D373" s="18">
        <v>13.0</v>
      </c>
      <c r="E373" s="19">
        <v>8.0</v>
      </c>
      <c r="F373" s="20">
        <v>26000.0</v>
      </c>
      <c r="G373" s="21" t="s">
        <v>2711</v>
      </c>
      <c r="H373" s="19">
        <v>5.0</v>
      </c>
      <c r="I373" s="21" t="s">
        <v>1842</v>
      </c>
      <c r="J373" s="22" t="s">
        <v>2501</v>
      </c>
    </row>
    <row r="374" ht="14.25" customHeight="1">
      <c r="A374" s="15" t="s">
        <v>3084</v>
      </c>
      <c r="B374" s="16">
        <v>45089.0</v>
      </c>
      <c r="C374" s="17">
        <v>45091.0</v>
      </c>
      <c r="D374" s="18">
        <v>5.0</v>
      </c>
      <c r="E374" s="19">
        <v>2.0</v>
      </c>
      <c r="F374" s="20">
        <v>14000.0</v>
      </c>
      <c r="G374" s="21" t="s">
        <v>2711</v>
      </c>
      <c r="H374" s="19">
        <v>4.0</v>
      </c>
      <c r="I374" s="21" t="s">
        <v>1240</v>
      </c>
      <c r="J374" s="22" t="s">
        <v>2677</v>
      </c>
    </row>
    <row r="375" ht="14.25" customHeight="1">
      <c r="A375" s="15" t="s">
        <v>3085</v>
      </c>
      <c r="B375" s="16">
        <v>45089.0</v>
      </c>
      <c r="C375" s="17">
        <v>45092.0</v>
      </c>
      <c r="D375" s="18">
        <v>4.0</v>
      </c>
      <c r="E375" s="19">
        <v>3.0</v>
      </c>
      <c r="F375" s="20">
        <v>16000.0</v>
      </c>
      <c r="G375" s="21" t="s">
        <v>2711</v>
      </c>
      <c r="H375" s="19">
        <v>5.0</v>
      </c>
      <c r="I375" s="21" t="s">
        <v>490</v>
      </c>
      <c r="J375" s="22" t="s">
        <v>2602</v>
      </c>
    </row>
    <row r="376" ht="14.25" customHeight="1">
      <c r="A376" s="15" t="s">
        <v>3086</v>
      </c>
      <c r="B376" s="16">
        <v>45089.0</v>
      </c>
      <c r="C376" s="17">
        <v>45090.0</v>
      </c>
      <c r="D376" s="18">
        <v>6.0</v>
      </c>
      <c r="E376" s="19">
        <v>3.0</v>
      </c>
      <c r="F376" s="20">
        <v>16000.0</v>
      </c>
      <c r="G376" s="21" t="s">
        <v>2711</v>
      </c>
      <c r="H376" s="19">
        <v>4.0</v>
      </c>
      <c r="I376" s="21" t="s">
        <v>26</v>
      </c>
      <c r="J376" s="22" t="s">
        <v>2622</v>
      </c>
    </row>
    <row r="377" ht="14.25" customHeight="1">
      <c r="A377" s="15" t="s">
        <v>3087</v>
      </c>
      <c r="B377" s="16">
        <v>45089.0</v>
      </c>
      <c r="C377" s="17">
        <v>45090.0</v>
      </c>
      <c r="D377" s="18">
        <v>10.0</v>
      </c>
      <c r="E377" s="19">
        <v>7.0</v>
      </c>
      <c r="F377" s="20">
        <v>24000.0</v>
      </c>
      <c r="G377" s="21" t="s">
        <v>2711</v>
      </c>
      <c r="H377" s="19">
        <v>5.0</v>
      </c>
      <c r="I377" s="21" t="s">
        <v>1744</v>
      </c>
      <c r="J377" s="22" t="s">
        <v>2501</v>
      </c>
    </row>
    <row r="378" ht="14.25" customHeight="1">
      <c r="A378" s="15" t="s">
        <v>3088</v>
      </c>
      <c r="B378" s="16">
        <v>45089.0</v>
      </c>
      <c r="C378" s="17">
        <v>45092.0</v>
      </c>
      <c r="D378" s="18">
        <v>6.0</v>
      </c>
      <c r="E378" s="19">
        <v>2.0</v>
      </c>
      <c r="F378" s="20">
        <v>14000.0</v>
      </c>
      <c r="G378" s="21" t="s">
        <v>2711</v>
      </c>
      <c r="H378" s="19">
        <v>4.0</v>
      </c>
      <c r="I378" s="21" t="s">
        <v>2389</v>
      </c>
      <c r="J378" s="22" t="s">
        <v>2562</v>
      </c>
    </row>
    <row r="379" ht="14.25" customHeight="1">
      <c r="A379" s="15" t="s">
        <v>3089</v>
      </c>
      <c r="B379" s="16">
        <v>45089.0</v>
      </c>
      <c r="C379" s="17">
        <v>45093.0</v>
      </c>
      <c r="D379" s="18">
        <v>2.0</v>
      </c>
      <c r="E379" s="19">
        <v>3.0</v>
      </c>
      <c r="F379" s="20">
        <v>16000.0</v>
      </c>
      <c r="G379" s="21" t="s">
        <v>2711</v>
      </c>
      <c r="H379" s="19">
        <v>5.0</v>
      </c>
      <c r="I379" s="21" t="s">
        <v>890</v>
      </c>
      <c r="J379" s="22" t="s">
        <v>2496</v>
      </c>
    </row>
    <row r="380" ht="14.25" customHeight="1">
      <c r="A380" s="15" t="s">
        <v>3090</v>
      </c>
      <c r="B380" s="16">
        <v>45089.0</v>
      </c>
      <c r="C380" s="17">
        <v>45091.0</v>
      </c>
      <c r="D380" s="18">
        <v>7.0</v>
      </c>
      <c r="E380" s="19">
        <v>10.0</v>
      </c>
      <c r="F380" s="20">
        <v>30000.0</v>
      </c>
      <c r="G380" s="21" t="s">
        <v>2711</v>
      </c>
      <c r="H380" s="19">
        <v>4.0</v>
      </c>
      <c r="I380" s="21" t="s">
        <v>2148</v>
      </c>
      <c r="J380" s="22" t="s">
        <v>2587</v>
      </c>
    </row>
    <row r="381" ht="14.25" customHeight="1">
      <c r="A381" s="15" t="s">
        <v>3091</v>
      </c>
      <c r="B381" s="16">
        <v>45089.0</v>
      </c>
      <c r="C381" s="17">
        <v>45091.0</v>
      </c>
      <c r="D381" s="18">
        <v>1.0</v>
      </c>
      <c r="E381" s="19">
        <v>3.0</v>
      </c>
      <c r="F381" s="20">
        <v>16000.0</v>
      </c>
      <c r="G381" s="21" t="s">
        <v>2711</v>
      </c>
      <c r="H381" s="19">
        <v>5.0</v>
      </c>
      <c r="I381" s="21" t="s">
        <v>2330</v>
      </c>
      <c r="J381" s="22" t="s">
        <v>2547</v>
      </c>
    </row>
    <row r="382" ht="14.25" customHeight="1">
      <c r="A382" s="15" t="s">
        <v>3092</v>
      </c>
      <c r="B382" s="16">
        <v>45089.0</v>
      </c>
      <c r="C382" s="17">
        <v>45093.0</v>
      </c>
      <c r="D382" s="18">
        <v>6.0</v>
      </c>
      <c r="E382" s="19">
        <v>3.0</v>
      </c>
      <c r="F382" s="20">
        <v>16000.0</v>
      </c>
      <c r="G382" s="21" t="s">
        <v>2711</v>
      </c>
      <c r="H382" s="19">
        <v>4.0</v>
      </c>
      <c r="I382" s="21" t="s">
        <v>1165</v>
      </c>
      <c r="J382" s="22" t="s">
        <v>2542</v>
      </c>
      <c r="K382" s="27"/>
    </row>
    <row r="383" ht="14.25" customHeight="1">
      <c r="A383" s="15" t="s">
        <v>3093</v>
      </c>
      <c r="B383" s="16">
        <v>45089.0</v>
      </c>
      <c r="C383" s="17">
        <v>45092.0</v>
      </c>
      <c r="D383" s="18">
        <v>6.0</v>
      </c>
      <c r="E383" s="19">
        <v>2.0</v>
      </c>
      <c r="F383" s="20">
        <v>14000.0</v>
      </c>
      <c r="G383" s="21" t="s">
        <v>2711</v>
      </c>
      <c r="H383" s="19">
        <v>5.0</v>
      </c>
      <c r="I383" s="21" t="s">
        <v>1252</v>
      </c>
      <c r="J383" s="22" t="s">
        <v>2617</v>
      </c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</row>
    <row r="384" ht="14.25" customHeight="1">
      <c r="A384" s="15" t="s">
        <v>3094</v>
      </c>
      <c r="B384" s="16">
        <v>45089.0</v>
      </c>
      <c r="C384" s="17">
        <v>45091.0</v>
      </c>
      <c r="D384" s="18">
        <v>3.0</v>
      </c>
      <c r="E384" s="19">
        <v>2.0</v>
      </c>
      <c r="F384" s="20">
        <v>14000.0</v>
      </c>
      <c r="G384" s="21" t="s">
        <v>2711</v>
      </c>
      <c r="H384" s="19">
        <v>5.0</v>
      </c>
      <c r="I384" s="21" t="s">
        <v>2334</v>
      </c>
      <c r="J384" s="22" t="s">
        <v>2542</v>
      </c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</row>
    <row r="385" ht="14.25" customHeight="1">
      <c r="A385" s="15" t="s">
        <v>3095</v>
      </c>
      <c r="B385" s="16">
        <v>45089.0</v>
      </c>
      <c r="C385" s="17">
        <v>45090.0</v>
      </c>
      <c r="D385" s="18">
        <v>19.0</v>
      </c>
      <c r="E385" s="19">
        <v>6.0</v>
      </c>
      <c r="F385" s="20">
        <v>27700.0</v>
      </c>
      <c r="G385" s="21" t="s">
        <v>2711</v>
      </c>
      <c r="H385" s="19">
        <v>5.0</v>
      </c>
      <c r="I385" s="21" t="s">
        <v>314</v>
      </c>
      <c r="J385" s="22" t="s">
        <v>2607</v>
      </c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</row>
    <row r="386" ht="14.25" customHeight="1">
      <c r="A386" s="15" t="s">
        <v>3096</v>
      </c>
      <c r="B386" s="16">
        <v>45089.0</v>
      </c>
      <c r="C386" s="17">
        <v>45091.0</v>
      </c>
      <c r="D386" s="18">
        <v>17.0</v>
      </c>
      <c r="E386" s="19">
        <v>7.0</v>
      </c>
      <c r="F386" s="20">
        <v>29100.0</v>
      </c>
      <c r="G386" s="21" t="s">
        <v>2711</v>
      </c>
      <c r="H386" s="19">
        <v>4.0</v>
      </c>
      <c r="I386" s="21" t="s">
        <v>1374</v>
      </c>
      <c r="J386" s="22" t="s">
        <v>2627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</row>
    <row r="387" ht="14.25" customHeight="1">
      <c r="A387" s="15" t="s">
        <v>3097</v>
      </c>
      <c r="B387" s="16">
        <v>45089.0</v>
      </c>
      <c r="C387" s="17">
        <v>45090.0</v>
      </c>
      <c r="D387" s="18">
        <v>3.0</v>
      </c>
      <c r="E387" s="19">
        <v>1.0</v>
      </c>
      <c r="F387" s="20">
        <v>12000.0</v>
      </c>
      <c r="G387" s="21" t="s">
        <v>2711</v>
      </c>
      <c r="H387" s="19">
        <v>4.0</v>
      </c>
      <c r="I387" s="21" t="s">
        <v>807</v>
      </c>
      <c r="J387" s="22" t="s">
        <v>2557</v>
      </c>
    </row>
    <row r="388" ht="14.25" customHeight="1">
      <c r="A388" s="15" t="s">
        <v>3098</v>
      </c>
      <c r="B388" s="16">
        <v>45089.0</v>
      </c>
      <c r="C388" s="17">
        <v>45094.0</v>
      </c>
      <c r="D388" s="18">
        <v>11.0</v>
      </c>
      <c r="E388" s="19">
        <v>6.0</v>
      </c>
      <c r="F388" s="20">
        <v>22000.0</v>
      </c>
      <c r="G388" s="21" t="s">
        <v>2711</v>
      </c>
      <c r="H388" s="19">
        <v>4.0</v>
      </c>
      <c r="I388" s="21" t="s">
        <v>1870</v>
      </c>
      <c r="J388" s="22" t="s">
        <v>2537</v>
      </c>
    </row>
    <row r="389" ht="14.25" customHeight="1">
      <c r="A389" s="15" t="s">
        <v>3099</v>
      </c>
      <c r="B389" s="16">
        <v>45089.0</v>
      </c>
      <c r="C389" s="17">
        <v>45093.0</v>
      </c>
      <c r="D389" s="18">
        <v>13.0</v>
      </c>
      <c r="E389" s="19">
        <v>9.0</v>
      </c>
      <c r="F389" s="20">
        <v>28000.0</v>
      </c>
      <c r="G389" s="21" t="s">
        <v>2711</v>
      </c>
      <c r="H389" s="19">
        <v>4.0</v>
      </c>
      <c r="I389" s="21" t="s">
        <v>823</v>
      </c>
      <c r="J389" s="22" t="s">
        <v>2667</v>
      </c>
    </row>
    <row r="390" ht="14.25" customHeight="1">
      <c r="A390" s="15" t="s">
        <v>3100</v>
      </c>
      <c r="B390" s="16">
        <v>45089.0</v>
      </c>
      <c r="C390" s="17">
        <v>45093.0</v>
      </c>
      <c r="D390" s="18">
        <v>6.0</v>
      </c>
      <c r="E390" s="19">
        <v>2.0</v>
      </c>
      <c r="F390" s="20">
        <v>14000.0</v>
      </c>
      <c r="G390" s="21" t="s">
        <v>2711</v>
      </c>
      <c r="H390" s="19">
        <v>5.0</v>
      </c>
      <c r="I390" s="21" t="s">
        <v>138</v>
      </c>
      <c r="J390" s="22" t="s">
        <v>2602</v>
      </c>
    </row>
    <row r="391" ht="14.25" customHeight="1">
      <c r="A391" s="15" t="s">
        <v>3101</v>
      </c>
      <c r="B391" s="16">
        <v>45089.0</v>
      </c>
      <c r="C391" s="17">
        <v>45090.0</v>
      </c>
      <c r="D391" s="18">
        <v>20.0</v>
      </c>
      <c r="E391" s="19">
        <v>9.0</v>
      </c>
      <c r="F391" s="20">
        <v>34000.0</v>
      </c>
      <c r="G391" s="21" t="s">
        <v>2711</v>
      </c>
      <c r="H391" s="19">
        <v>4.0</v>
      </c>
      <c r="I391" s="21" t="s">
        <v>1898</v>
      </c>
      <c r="J391" s="22" t="s">
        <v>2662</v>
      </c>
    </row>
    <row r="392" ht="14.25" customHeight="1">
      <c r="A392" s="15" t="s">
        <v>3102</v>
      </c>
      <c r="B392" s="16">
        <v>45089.0</v>
      </c>
      <c r="C392" s="17">
        <v>45094.0</v>
      </c>
      <c r="D392" s="18">
        <v>1.0</v>
      </c>
      <c r="E392" s="19">
        <v>3.0</v>
      </c>
      <c r="F392" s="20">
        <v>16000.0</v>
      </c>
      <c r="G392" s="21" t="s">
        <v>2711</v>
      </c>
      <c r="H392" s="19">
        <v>4.0</v>
      </c>
      <c r="I392" s="21" t="s">
        <v>1981</v>
      </c>
      <c r="J392" s="22" t="s">
        <v>2612</v>
      </c>
    </row>
    <row r="393" ht="14.25" customHeight="1">
      <c r="A393" s="15" t="s">
        <v>3103</v>
      </c>
      <c r="B393" s="16">
        <v>45089.0</v>
      </c>
      <c r="C393" s="17">
        <v>45091.0</v>
      </c>
      <c r="D393" s="18">
        <v>17.0</v>
      </c>
      <c r="E393" s="19">
        <v>7.0</v>
      </c>
      <c r="F393" s="20">
        <v>29100.0</v>
      </c>
      <c r="G393" s="21" t="s">
        <v>2711</v>
      </c>
      <c r="H393" s="19">
        <v>5.0</v>
      </c>
      <c r="I393" s="21" t="s">
        <v>2049</v>
      </c>
      <c r="J393" s="22" t="s">
        <v>2697</v>
      </c>
    </row>
    <row r="394" ht="14.25" customHeight="1">
      <c r="A394" s="15" t="s">
        <v>3104</v>
      </c>
      <c r="B394" s="16">
        <v>45089.0</v>
      </c>
      <c r="C394" s="17">
        <v>45091.0</v>
      </c>
      <c r="D394" s="18">
        <v>4.0</v>
      </c>
      <c r="E394" s="19">
        <v>1.0</v>
      </c>
      <c r="F394" s="20">
        <v>12000.0</v>
      </c>
      <c r="G394" s="21" t="s">
        <v>2711</v>
      </c>
      <c r="H394" s="19">
        <v>5.0</v>
      </c>
      <c r="I394" s="21" t="s">
        <v>2421</v>
      </c>
      <c r="J394" s="22" t="s">
        <v>2496</v>
      </c>
    </row>
    <row r="395" ht="14.25" customHeight="1">
      <c r="A395" s="15" t="s">
        <v>3105</v>
      </c>
      <c r="B395" s="16">
        <v>45089.0</v>
      </c>
      <c r="C395" s="17">
        <v>45092.0</v>
      </c>
      <c r="D395" s="18">
        <v>1.0</v>
      </c>
      <c r="E395" s="19">
        <v>2.0</v>
      </c>
      <c r="F395" s="20">
        <v>14000.0</v>
      </c>
      <c r="G395" s="21" t="s">
        <v>2711</v>
      </c>
      <c r="H395" s="19">
        <v>5.0</v>
      </c>
      <c r="I395" s="21" t="s">
        <v>2184</v>
      </c>
      <c r="J395" s="22" t="s">
        <v>2542</v>
      </c>
    </row>
    <row r="396" ht="14.25" customHeight="1">
      <c r="A396" s="15" t="s">
        <v>3106</v>
      </c>
      <c r="B396" s="16">
        <v>45089.0</v>
      </c>
      <c r="C396" s="17">
        <v>45091.0</v>
      </c>
      <c r="D396" s="18">
        <v>3.0</v>
      </c>
      <c r="E396" s="19">
        <v>2.0</v>
      </c>
      <c r="F396" s="20">
        <v>14000.0</v>
      </c>
      <c r="G396" s="21" t="s">
        <v>2711</v>
      </c>
      <c r="H396" s="19">
        <v>4.0</v>
      </c>
      <c r="I396" s="21" t="s">
        <v>2248</v>
      </c>
      <c r="J396" s="22" t="s">
        <v>2622</v>
      </c>
    </row>
    <row r="397" ht="14.25" customHeight="1">
      <c r="A397" s="15" t="s">
        <v>3107</v>
      </c>
      <c r="B397" s="16">
        <v>45089.0</v>
      </c>
      <c r="C397" s="17">
        <v>45093.0</v>
      </c>
      <c r="D397" s="18">
        <v>4.0</v>
      </c>
      <c r="E397" s="19">
        <v>2.0</v>
      </c>
      <c r="F397" s="20">
        <v>14000.0</v>
      </c>
      <c r="G397" s="21" t="s">
        <v>2711</v>
      </c>
      <c r="H397" s="19">
        <v>4.0</v>
      </c>
      <c r="I397" s="21" t="s">
        <v>90</v>
      </c>
      <c r="J397" s="22" t="s">
        <v>2506</v>
      </c>
    </row>
    <row r="398" ht="14.25" customHeight="1">
      <c r="A398" s="15" t="s">
        <v>3108</v>
      </c>
      <c r="B398" s="16">
        <v>45089.0</v>
      </c>
      <c r="C398" s="17">
        <v>45091.0</v>
      </c>
      <c r="D398" s="18">
        <v>2.0</v>
      </c>
      <c r="E398" s="19">
        <v>1.0</v>
      </c>
      <c r="F398" s="20">
        <v>12000.0</v>
      </c>
      <c r="G398" s="21" t="s">
        <v>2711</v>
      </c>
      <c r="H398" s="19">
        <v>5.0</v>
      </c>
      <c r="I398" s="21" t="s">
        <v>1184</v>
      </c>
      <c r="J398" s="22" t="s">
        <v>2602</v>
      </c>
    </row>
    <row r="399" ht="14.25" customHeight="1">
      <c r="A399" s="15" t="s">
        <v>3109</v>
      </c>
      <c r="B399" s="16">
        <v>45089.0</v>
      </c>
      <c r="C399" s="17">
        <v>45092.0</v>
      </c>
      <c r="D399" s="18">
        <v>5.0</v>
      </c>
      <c r="E399" s="19">
        <v>2.0</v>
      </c>
      <c r="F399" s="20">
        <v>14000.0</v>
      </c>
      <c r="G399" s="21" t="s">
        <v>2711</v>
      </c>
      <c r="H399" s="19">
        <v>5.0</v>
      </c>
      <c r="I399" s="21" t="s">
        <v>2473</v>
      </c>
      <c r="J399" s="22" t="s">
        <v>2511</v>
      </c>
    </row>
    <row r="400" ht="14.25" customHeight="1">
      <c r="A400" s="15" t="s">
        <v>3110</v>
      </c>
      <c r="B400" s="16">
        <v>45089.0</v>
      </c>
      <c r="C400" s="17">
        <v>45092.0</v>
      </c>
      <c r="D400" s="18">
        <v>3.0</v>
      </c>
      <c r="E400" s="19">
        <v>3.0</v>
      </c>
      <c r="F400" s="20">
        <v>16000.0</v>
      </c>
      <c r="G400" s="21" t="s">
        <v>2711</v>
      </c>
      <c r="H400" s="19">
        <v>4.0</v>
      </c>
      <c r="I400" s="21" t="s">
        <v>724</v>
      </c>
      <c r="J400" s="22" t="s">
        <v>2577</v>
      </c>
    </row>
    <row r="401" ht="14.25" customHeight="1">
      <c r="A401" s="15" t="s">
        <v>3111</v>
      </c>
      <c r="B401" s="16">
        <v>45089.0</v>
      </c>
      <c r="C401" s="17">
        <v>45094.0</v>
      </c>
      <c r="D401" s="18">
        <v>5.0</v>
      </c>
      <c r="E401" s="19">
        <v>3.0</v>
      </c>
      <c r="F401" s="20">
        <v>16000.0</v>
      </c>
      <c r="G401" s="21" t="s">
        <v>2711</v>
      </c>
      <c r="H401" s="19">
        <v>5.0</v>
      </c>
      <c r="I401" s="21" t="s">
        <v>406</v>
      </c>
      <c r="J401" s="22" t="s">
        <v>2577</v>
      </c>
    </row>
    <row r="402" ht="14.25" customHeight="1">
      <c r="A402" s="15" t="s">
        <v>3112</v>
      </c>
      <c r="B402" s="16">
        <v>45090.0</v>
      </c>
      <c r="C402" s="17">
        <v>45095.0</v>
      </c>
      <c r="D402" s="18">
        <v>5.0</v>
      </c>
      <c r="E402" s="19">
        <v>1.0</v>
      </c>
      <c r="F402" s="20">
        <v>12000.0</v>
      </c>
      <c r="G402" s="21" t="s">
        <v>2747</v>
      </c>
      <c r="H402" s="21"/>
      <c r="I402" s="21" t="s">
        <v>2240</v>
      </c>
      <c r="J402" s="22" t="s">
        <v>2597</v>
      </c>
    </row>
    <row r="403" ht="14.25" customHeight="1">
      <c r="A403" s="15" t="s">
        <v>3113</v>
      </c>
      <c r="B403" s="16">
        <v>45090.0</v>
      </c>
      <c r="C403" s="17">
        <v>45095.0</v>
      </c>
      <c r="D403" s="18">
        <v>6.0</v>
      </c>
      <c r="E403" s="19">
        <v>1.0</v>
      </c>
      <c r="F403" s="20">
        <v>12000.0</v>
      </c>
      <c r="G403" s="21" t="s">
        <v>2711</v>
      </c>
      <c r="H403" s="19">
        <v>4.0</v>
      </c>
      <c r="I403" s="21" t="s">
        <v>2208</v>
      </c>
      <c r="J403" s="22" t="s">
        <v>2692</v>
      </c>
    </row>
    <row r="404" ht="14.25" customHeight="1">
      <c r="A404" s="15" t="s">
        <v>3114</v>
      </c>
      <c r="B404" s="16">
        <v>45090.0</v>
      </c>
      <c r="C404" s="17">
        <v>45094.0</v>
      </c>
      <c r="D404" s="18">
        <v>15.0</v>
      </c>
      <c r="E404" s="19">
        <v>6.0</v>
      </c>
      <c r="F404" s="20">
        <v>26500.0</v>
      </c>
      <c r="G404" s="21" t="s">
        <v>2711</v>
      </c>
      <c r="H404" s="19">
        <v>4.0</v>
      </c>
      <c r="I404" s="21" t="s">
        <v>1796</v>
      </c>
      <c r="J404" s="22" t="s">
        <v>2667</v>
      </c>
    </row>
    <row r="405" ht="14.25" customHeight="1">
      <c r="A405" s="15" t="s">
        <v>3115</v>
      </c>
      <c r="B405" s="16">
        <v>45090.0</v>
      </c>
      <c r="C405" s="17">
        <v>45094.0</v>
      </c>
      <c r="D405" s="18">
        <v>1.0</v>
      </c>
      <c r="E405" s="19">
        <v>3.0</v>
      </c>
      <c r="F405" s="20">
        <v>16000.0</v>
      </c>
      <c r="G405" s="21" t="s">
        <v>2711</v>
      </c>
      <c r="H405" s="19">
        <v>4.0</v>
      </c>
      <c r="I405" s="21" t="s">
        <v>398</v>
      </c>
      <c r="J405" s="22" t="s">
        <v>2677</v>
      </c>
    </row>
    <row r="406" ht="14.25" customHeight="1">
      <c r="A406" s="15" t="s">
        <v>3116</v>
      </c>
      <c r="B406" s="16">
        <v>45090.0</v>
      </c>
      <c r="C406" s="17">
        <v>45093.0</v>
      </c>
      <c r="D406" s="18">
        <v>6.0</v>
      </c>
      <c r="E406" s="19">
        <v>1.0</v>
      </c>
      <c r="F406" s="20">
        <v>12000.0</v>
      </c>
      <c r="G406" s="21" t="s">
        <v>2711</v>
      </c>
      <c r="H406" s="19">
        <v>4.0</v>
      </c>
      <c r="I406" s="21" t="s">
        <v>1248</v>
      </c>
      <c r="J406" s="22" t="s">
        <v>2597</v>
      </c>
    </row>
    <row r="407" ht="14.25" customHeight="1">
      <c r="A407" s="15" t="s">
        <v>3117</v>
      </c>
      <c r="B407" s="16">
        <v>45090.0</v>
      </c>
      <c r="C407" s="17">
        <v>45092.0</v>
      </c>
      <c r="D407" s="18">
        <v>4.0</v>
      </c>
      <c r="E407" s="19">
        <v>2.0</v>
      </c>
      <c r="F407" s="20">
        <v>14000.0</v>
      </c>
      <c r="G407" s="21" t="s">
        <v>2711</v>
      </c>
      <c r="H407" s="19">
        <v>5.0</v>
      </c>
      <c r="I407" s="21" t="s">
        <v>1328</v>
      </c>
      <c r="J407" s="22" t="s">
        <v>2677</v>
      </c>
    </row>
    <row r="408" ht="14.25" customHeight="1">
      <c r="A408" s="15" t="s">
        <v>3118</v>
      </c>
      <c r="B408" s="16">
        <v>45090.0</v>
      </c>
      <c r="C408" s="17">
        <v>45094.0</v>
      </c>
      <c r="D408" s="18">
        <v>1.0</v>
      </c>
      <c r="E408" s="19">
        <v>1.0</v>
      </c>
      <c r="F408" s="20">
        <v>12000.0</v>
      </c>
      <c r="G408" s="21" t="s">
        <v>2711</v>
      </c>
      <c r="H408" s="19">
        <v>4.0</v>
      </c>
      <c r="I408" s="21" t="s">
        <v>1184</v>
      </c>
      <c r="J408" s="22" t="s">
        <v>2496</v>
      </c>
    </row>
    <row r="409" ht="14.25" customHeight="1">
      <c r="A409" s="15" t="s">
        <v>3119</v>
      </c>
      <c r="B409" s="16">
        <v>45090.0</v>
      </c>
      <c r="C409" s="17">
        <v>45094.0</v>
      </c>
      <c r="D409" s="18">
        <v>1.0</v>
      </c>
      <c r="E409" s="19">
        <v>3.0</v>
      </c>
      <c r="F409" s="20">
        <v>16000.0</v>
      </c>
      <c r="G409" s="21" t="s">
        <v>2711</v>
      </c>
      <c r="H409" s="19">
        <v>4.0</v>
      </c>
      <c r="I409" s="21" t="s">
        <v>30</v>
      </c>
      <c r="J409" s="22" t="s">
        <v>2511</v>
      </c>
    </row>
    <row r="410" ht="14.25" customHeight="1">
      <c r="A410" s="15" t="s">
        <v>3120</v>
      </c>
      <c r="B410" s="16">
        <v>45090.0</v>
      </c>
      <c r="C410" s="17">
        <v>45095.0</v>
      </c>
      <c r="D410" s="18">
        <v>2.0</v>
      </c>
      <c r="E410" s="19">
        <v>2.0</v>
      </c>
      <c r="F410" s="20">
        <v>14000.0</v>
      </c>
      <c r="G410" s="21" t="s">
        <v>2711</v>
      </c>
      <c r="H410" s="19">
        <v>5.0</v>
      </c>
      <c r="I410" s="21" t="s">
        <v>593</v>
      </c>
      <c r="J410" s="22" t="s">
        <v>2687</v>
      </c>
    </row>
    <row r="411" ht="14.25" customHeight="1">
      <c r="A411" s="15" t="s">
        <v>3121</v>
      </c>
      <c r="B411" s="16">
        <v>45090.0</v>
      </c>
      <c r="C411" s="17">
        <v>45091.0</v>
      </c>
      <c r="D411" s="18">
        <v>1.0</v>
      </c>
      <c r="E411" s="19">
        <v>1.0</v>
      </c>
      <c r="F411" s="20">
        <v>12000.0</v>
      </c>
      <c r="G411" s="21" t="s">
        <v>2711</v>
      </c>
      <c r="H411" s="19">
        <v>5.0</v>
      </c>
      <c r="I411" s="21" t="s">
        <v>2469</v>
      </c>
      <c r="J411" s="22" t="s">
        <v>2547</v>
      </c>
    </row>
    <row r="412" ht="14.25" customHeight="1">
      <c r="A412" s="15" t="s">
        <v>3122</v>
      </c>
      <c r="B412" s="16">
        <v>45090.0</v>
      </c>
      <c r="C412" s="17">
        <v>45091.0</v>
      </c>
      <c r="D412" s="18">
        <v>1.0</v>
      </c>
      <c r="E412" s="19">
        <v>3.0</v>
      </c>
      <c r="F412" s="20">
        <v>16000.0</v>
      </c>
      <c r="G412" s="21" t="s">
        <v>2711</v>
      </c>
      <c r="H412" s="19">
        <v>5.0</v>
      </c>
      <c r="I412" s="21" t="s">
        <v>2092</v>
      </c>
      <c r="J412" s="22" t="s">
        <v>2506</v>
      </c>
    </row>
    <row r="413" ht="14.25" customHeight="1">
      <c r="A413" s="15" t="s">
        <v>3123</v>
      </c>
      <c r="B413" s="16">
        <v>45090.0</v>
      </c>
      <c r="C413" s="17">
        <v>45093.0</v>
      </c>
      <c r="D413" s="18">
        <v>13.0</v>
      </c>
      <c r="E413" s="19">
        <v>5.0</v>
      </c>
      <c r="F413" s="20">
        <v>20000.0</v>
      </c>
      <c r="G413" s="21" t="s">
        <v>2711</v>
      </c>
      <c r="H413" s="19">
        <v>4.0</v>
      </c>
      <c r="I413" s="21" t="s">
        <v>1240</v>
      </c>
      <c r="J413" s="22" t="s">
        <v>2484</v>
      </c>
    </row>
    <row r="414" ht="14.25" customHeight="1">
      <c r="A414" s="15" t="s">
        <v>3124</v>
      </c>
      <c r="B414" s="16">
        <v>45090.0</v>
      </c>
      <c r="C414" s="17">
        <v>45092.0</v>
      </c>
      <c r="D414" s="18">
        <v>4.0</v>
      </c>
      <c r="E414" s="19">
        <v>2.0</v>
      </c>
      <c r="F414" s="20">
        <v>14000.0</v>
      </c>
      <c r="G414" s="21" t="s">
        <v>2711</v>
      </c>
      <c r="H414" s="19">
        <v>5.0</v>
      </c>
      <c r="I414" s="21" t="s">
        <v>370</v>
      </c>
      <c r="J414" s="22" t="s">
        <v>2612</v>
      </c>
    </row>
    <row r="415" ht="14.25" customHeight="1">
      <c r="A415" s="15" t="s">
        <v>3125</v>
      </c>
      <c r="B415" s="16">
        <v>45090.0</v>
      </c>
      <c r="C415" s="17">
        <v>45095.0</v>
      </c>
      <c r="D415" s="18">
        <v>10.0</v>
      </c>
      <c r="E415" s="19">
        <v>5.0</v>
      </c>
      <c r="F415" s="20">
        <v>20000.0</v>
      </c>
      <c r="G415" s="21" t="s">
        <v>2711</v>
      </c>
      <c r="H415" s="19">
        <v>4.0</v>
      </c>
      <c r="I415" s="21" t="s">
        <v>1366</v>
      </c>
      <c r="J415" s="22" t="s">
        <v>2667</v>
      </c>
    </row>
    <row r="416" ht="14.25" customHeight="1">
      <c r="A416" s="15" t="s">
        <v>3126</v>
      </c>
      <c r="B416" s="16">
        <v>45090.0</v>
      </c>
      <c r="C416" s="17">
        <v>45092.0</v>
      </c>
      <c r="D416" s="18">
        <v>20.0</v>
      </c>
      <c r="E416" s="19">
        <v>5.0</v>
      </c>
      <c r="F416" s="20">
        <v>26000.0</v>
      </c>
      <c r="G416" s="21" t="s">
        <v>2711</v>
      </c>
      <c r="H416" s="19">
        <v>4.0</v>
      </c>
      <c r="I416" s="21" t="s">
        <v>1953</v>
      </c>
      <c r="J416" s="22" t="s">
        <v>2587</v>
      </c>
    </row>
    <row r="417" ht="14.25" customHeight="1">
      <c r="A417" s="15" t="s">
        <v>3127</v>
      </c>
      <c r="B417" s="16">
        <v>45090.0</v>
      </c>
      <c r="C417" s="17">
        <v>45091.0</v>
      </c>
      <c r="D417" s="18">
        <v>4.0</v>
      </c>
      <c r="E417" s="19">
        <v>3.0</v>
      </c>
      <c r="F417" s="20">
        <v>16000.0</v>
      </c>
      <c r="G417" s="21" t="s">
        <v>2711</v>
      </c>
      <c r="H417" s="19">
        <v>4.0</v>
      </c>
      <c r="I417" s="21" t="s">
        <v>2417</v>
      </c>
      <c r="J417" s="22" t="s">
        <v>2677</v>
      </c>
    </row>
    <row r="418" ht="14.25" customHeight="1">
      <c r="A418" s="15" t="s">
        <v>3128</v>
      </c>
      <c r="B418" s="16">
        <v>45090.0</v>
      </c>
      <c r="C418" s="17">
        <v>45091.0</v>
      </c>
      <c r="D418" s="18">
        <v>11.0</v>
      </c>
      <c r="E418" s="19">
        <v>5.0</v>
      </c>
      <c r="F418" s="20">
        <v>20000.0</v>
      </c>
      <c r="G418" s="21" t="s">
        <v>2711</v>
      </c>
      <c r="H418" s="19">
        <v>4.0</v>
      </c>
      <c r="I418" s="21" t="s">
        <v>2310</v>
      </c>
      <c r="J418" s="22" t="s">
        <v>2537</v>
      </c>
    </row>
    <row r="419" ht="14.25" customHeight="1">
      <c r="A419" s="15" t="s">
        <v>3129</v>
      </c>
      <c r="B419" s="16">
        <v>45090.0</v>
      </c>
      <c r="C419" s="17">
        <v>45095.0</v>
      </c>
      <c r="D419" s="18">
        <v>3.0</v>
      </c>
      <c r="E419" s="19">
        <v>1.0</v>
      </c>
      <c r="F419" s="20">
        <v>12000.0</v>
      </c>
      <c r="G419" s="21" t="s">
        <v>2711</v>
      </c>
      <c r="H419" s="19">
        <v>4.0</v>
      </c>
      <c r="I419" s="21" t="s">
        <v>1898</v>
      </c>
      <c r="J419" s="22" t="s">
        <v>2542</v>
      </c>
    </row>
    <row r="420" ht="14.25" customHeight="1">
      <c r="A420" s="15" t="s">
        <v>3130</v>
      </c>
      <c r="B420" s="16">
        <v>45090.0</v>
      </c>
      <c r="C420" s="17">
        <v>45092.0</v>
      </c>
      <c r="D420" s="18">
        <v>2.0</v>
      </c>
      <c r="E420" s="19">
        <v>1.0</v>
      </c>
      <c r="F420" s="20">
        <v>12000.0</v>
      </c>
      <c r="G420" s="21" t="s">
        <v>2711</v>
      </c>
      <c r="H420" s="19">
        <v>4.0</v>
      </c>
      <c r="I420" s="21" t="s">
        <v>1374</v>
      </c>
      <c r="J420" s="22" t="s">
        <v>2567</v>
      </c>
    </row>
    <row r="421" ht="14.25" customHeight="1">
      <c r="A421" s="15" t="s">
        <v>3131</v>
      </c>
      <c r="B421" s="16">
        <v>45090.0</v>
      </c>
      <c r="C421" s="17">
        <v>45091.0</v>
      </c>
      <c r="D421" s="18">
        <v>6.0</v>
      </c>
      <c r="E421" s="19">
        <v>2.0</v>
      </c>
      <c r="F421" s="20">
        <v>14000.0</v>
      </c>
      <c r="G421" s="21" t="s">
        <v>2711</v>
      </c>
      <c r="H421" s="19">
        <v>5.0</v>
      </c>
      <c r="I421" s="21" t="s">
        <v>870</v>
      </c>
      <c r="J421" s="22" t="s">
        <v>2612</v>
      </c>
    </row>
    <row r="422" ht="14.25" customHeight="1">
      <c r="A422" s="15" t="s">
        <v>3132</v>
      </c>
      <c r="B422" s="16">
        <v>45090.0</v>
      </c>
      <c r="C422" s="17">
        <v>45093.0</v>
      </c>
      <c r="D422" s="18">
        <v>6.0</v>
      </c>
      <c r="E422" s="19">
        <v>1.0</v>
      </c>
      <c r="F422" s="20">
        <v>12000.0</v>
      </c>
      <c r="G422" s="21" t="s">
        <v>2711</v>
      </c>
      <c r="H422" s="19">
        <v>5.0</v>
      </c>
      <c r="I422" s="21" t="s">
        <v>1792</v>
      </c>
      <c r="J422" s="22" t="s">
        <v>2612</v>
      </c>
    </row>
    <row r="423" ht="14.25" customHeight="1">
      <c r="A423" s="15" t="s">
        <v>3133</v>
      </c>
      <c r="B423" s="16">
        <v>45090.0</v>
      </c>
      <c r="C423" s="17">
        <v>45095.0</v>
      </c>
      <c r="D423" s="18">
        <v>3.0</v>
      </c>
      <c r="E423" s="19">
        <v>3.0</v>
      </c>
      <c r="F423" s="20">
        <v>16000.0</v>
      </c>
      <c r="G423" s="21" t="s">
        <v>2711</v>
      </c>
      <c r="H423" s="19">
        <v>5.0</v>
      </c>
      <c r="I423" s="21" t="s">
        <v>930</v>
      </c>
      <c r="J423" s="22" t="s">
        <v>2532</v>
      </c>
    </row>
    <row r="424" ht="14.25" customHeight="1">
      <c r="A424" s="15" t="s">
        <v>3134</v>
      </c>
      <c r="B424" s="16">
        <v>45090.0</v>
      </c>
      <c r="C424" s="17">
        <v>45094.0</v>
      </c>
      <c r="D424" s="18">
        <v>6.0</v>
      </c>
      <c r="E424" s="19">
        <v>1.0</v>
      </c>
      <c r="F424" s="20">
        <v>12000.0</v>
      </c>
      <c r="G424" s="21" t="s">
        <v>2711</v>
      </c>
      <c r="H424" s="19">
        <v>5.0</v>
      </c>
      <c r="I424" s="21" t="s">
        <v>334</v>
      </c>
      <c r="J424" s="22" t="s">
        <v>2527</v>
      </c>
    </row>
    <row r="425" ht="14.25" customHeight="1">
      <c r="A425" s="15" t="s">
        <v>3135</v>
      </c>
      <c r="B425" s="16">
        <v>45090.0</v>
      </c>
      <c r="C425" s="17">
        <v>45091.0</v>
      </c>
      <c r="D425" s="18">
        <v>1.0</v>
      </c>
      <c r="E425" s="19">
        <v>1.0</v>
      </c>
      <c r="F425" s="20">
        <v>12000.0</v>
      </c>
      <c r="G425" s="21" t="s">
        <v>2711</v>
      </c>
      <c r="H425" s="19">
        <v>4.0</v>
      </c>
      <c r="I425" s="21" t="s">
        <v>2334</v>
      </c>
      <c r="J425" s="22" t="s">
        <v>2490</v>
      </c>
    </row>
    <row r="426" ht="14.25" customHeight="1">
      <c r="A426" s="15" t="s">
        <v>3136</v>
      </c>
      <c r="B426" s="16">
        <v>45090.0</v>
      </c>
      <c r="C426" s="17">
        <v>45092.0</v>
      </c>
      <c r="D426" s="18">
        <v>10.0</v>
      </c>
      <c r="E426" s="19">
        <v>6.0</v>
      </c>
      <c r="F426" s="20">
        <v>22000.0</v>
      </c>
      <c r="G426" s="21" t="s">
        <v>2711</v>
      </c>
      <c r="H426" s="19">
        <v>5.0</v>
      </c>
      <c r="I426" s="21" t="s">
        <v>2453</v>
      </c>
      <c r="J426" s="22" t="s">
        <v>2607</v>
      </c>
    </row>
    <row r="427" ht="14.25" customHeight="1">
      <c r="A427" s="15" t="s">
        <v>3137</v>
      </c>
      <c r="B427" s="16">
        <v>45090.0</v>
      </c>
      <c r="C427" s="17">
        <v>45092.0</v>
      </c>
      <c r="D427" s="18">
        <v>3.0</v>
      </c>
      <c r="E427" s="19">
        <v>2.0</v>
      </c>
      <c r="F427" s="20">
        <v>14000.0</v>
      </c>
      <c r="G427" s="21" t="s">
        <v>2711</v>
      </c>
      <c r="H427" s="19">
        <v>4.0</v>
      </c>
      <c r="I427" s="21" t="s">
        <v>410</v>
      </c>
      <c r="J427" s="22" t="s">
        <v>2557</v>
      </c>
    </row>
    <row r="428" ht="14.25" customHeight="1">
      <c r="A428" s="15" t="s">
        <v>3138</v>
      </c>
      <c r="B428" s="16">
        <v>45090.0</v>
      </c>
      <c r="C428" s="17">
        <v>45092.0</v>
      </c>
      <c r="D428" s="18">
        <v>10.0</v>
      </c>
      <c r="E428" s="19">
        <v>10.0</v>
      </c>
      <c r="F428" s="20">
        <v>30000.0</v>
      </c>
      <c r="G428" s="21" t="s">
        <v>2711</v>
      </c>
      <c r="H428" s="19">
        <v>5.0</v>
      </c>
      <c r="I428" s="21" t="s">
        <v>1033</v>
      </c>
      <c r="J428" s="22" t="s">
        <v>2587</v>
      </c>
    </row>
    <row r="429" ht="14.25" customHeight="1">
      <c r="A429" s="15" t="s">
        <v>3139</v>
      </c>
      <c r="B429" s="16">
        <v>45090.0</v>
      </c>
      <c r="C429" s="17">
        <v>45093.0</v>
      </c>
      <c r="D429" s="18">
        <v>20.0</v>
      </c>
      <c r="E429" s="19">
        <v>5.0</v>
      </c>
      <c r="F429" s="20">
        <v>26000.0</v>
      </c>
      <c r="G429" s="21" t="s">
        <v>2711</v>
      </c>
      <c r="H429" s="19">
        <v>4.0</v>
      </c>
      <c r="I429" s="21" t="s">
        <v>1953</v>
      </c>
      <c r="J429" s="22" t="s">
        <v>2501</v>
      </c>
    </row>
    <row r="430" ht="14.25" customHeight="1">
      <c r="A430" s="15" t="s">
        <v>3140</v>
      </c>
      <c r="B430" s="16">
        <v>45090.0</v>
      </c>
      <c r="C430" s="17">
        <v>45093.0</v>
      </c>
      <c r="D430" s="18">
        <v>13.0</v>
      </c>
      <c r="E430" s="19">
        <v>4.0</v>
      </c>
      <c r="F430" s="20">
        <v>18000.0</v>
      </c>
      <c r="G430" s="21" t="s">
        <v>2711</v>
      </c>
      <c r="H430" s="19">
        <v>4.0</v>
      </c>
      <c r="I430" s="21" t="s">
        <v>1721</v>
      </c>
      <c r="J430" s="22" t="s">
        <v>2607</v>
      </c>
    </row>
    <row r="431" ht="14.25" customHeight="1">
      <c r="A431" s="15" t="s">
        <v>3141</v>
      </c>
      <c r="B431" s="17">
        <v>45091.0</v>
      </c>
      <c r="C431" s="17">
        <f t="shared" ref="C431:C432" si="4">B431 + RANDBETWEEN(1,5)</f>
        <v>45096</v>
      </c>
      <c r="D431" s="18">
        <v>6.0</v>
      </c>
      <c r="E431" s="19">
        <v>2.0</v>
      </c>
      <c r="F431" s="20">
        <v>14000.0</v>
      </c>
      <c r="G431" s="21" t="s">
        <v>2711</v>
      </c>
      <c r="H431" s="19">
        <v>5.0</v>
      </c>
      <c r="I431" s="21" t="s">
        <v>902</v>
      </c>
      <c r="J431" s="22" t="s">
        <v>2496</v>
      </c>
    </row>
    <row r="432" ht="14.25" customHeight="1">
      <c r="A432" s="15" t="s">
        <v>3142</v>
      </c>
      <c r="B432" s="17">
        <v>45091.0</v>
      </c>
      <c r="C432" s="17">
        <f t="shared" si="4"/>
        <v>45094</v>
      </c>
      <c r="D432" s="18">
        <v>5.0</v>
      </c>
      <c r="E432" s="19">
        <v>1.0</v>
      </c>
      <c r="F432" s="20">
        <v>12000.0</v>
      </c>
      <c r="G432" s="21" t="s">
        <v>2711</v>
      </c>
      <c r="H432" s="19">
        <v>5.0</v>
      </c>
      <c r="I432" s="21" t="s">
        <v>238</v>
      </c>
      <c r="J432" s="22" t="s">
        <v>2532</v>
      </c>
    </row>
    <row r="433" ht="14.25" customHeight="1">
      <c r="A433" s="15" t="s">
        <v>3143</v>
      </c>
      <c r="B433" s="16">
        <v>45091.0</v>
      </c>
      <c r="C433" s="17">
        <v>45094.0</v>
      </c>
      <c r="D433" s="18">
        <v>13.0</v>
      </c>
      <c r="E433" s="19">
        <v>9.0</v>
      </c>
      <c r="F433" s="20">
        <v>28000.0</v>
      </c>
      <c r="G433" s="21" t="s">
        <v>2711</v>
      </c>
      <c r="H433" s="19">
        <v>4.0</v>
      </c>
      <c r="I433" s="21" t="s">
        <v>50</v>
      </c>
      <c r="J433" s="22" t="s">
        <v>2627</v>
      </c>
    </row>
    <row r="434" ht="14.25" customHeight="1">
      <c r="A434" s="15" t="s">
        <v>3144</v>
      </c>
      <c r="B434" s="16">
        <v>45091.0</v>
      </c>
      <c r="C434" s="17">
        <v>45096.0</v>
      </c>
      <c r="D434" s="18">
        <v>11.0</v>
      </c>
      <c r="E434" s="19">
        <v>4.0</v>
      </c>
      <c r="F434" s="20">
        <v>18000.0</v>
      </c>
      <c r="G434" s="21" t="s">
        <v>2711</v>
      </c>
      <c r="H434" s="19">
        <v>5.0</v>
      </c>
      <c r="I434" s="21" t="s">
        <v>502</v>
      </c>
      <c r="J434" s="22" t="s">
        <v>2484</v>
      </c>
    </row>
    <row r="435" ht="14.25" customHeight="1">
      <c r="A435" s="15" t="s">
        <v>3145</v>
      </c>
      <c r="B435" s="16">
        <v>45091.0</v>
      </c>
      <c r="C435" s="17">
        <v>45095.0</v>
      </c>
      <c r="D435" s="18">
        <v>19.0</v>
      </c>
      <c r="E435" s="19">
        <v>6.0</v>
      </c>
      <c r="F435" s="20">
        <v>27700.0</v>
      </c>
      <c r="G435" s="21" t="s">
        <v>2711</v>
      </c>
      <c r="H435" s="19">
        <v>5.0</v>
      </c>
      <c r="I435" s="21" t="s">
        <v>2366</v>
      </c>
      <c r="J435" s="22" t="s">
        <v>2672</v>
      </c>
    </row>
    <row r="436" ht="14.25" customHeight="1">
      <c r="A436" s="15" t="s">
        <v>3146</v>
      </c>
      <c r="B436" s="16">
        <v>45091.0</v>
      </c>
      <c r="C436" s="17">
        <v>45094.0</v>
      </c>
      <c r="D436" s="18">
        <v>4.0</v>
      </c>
      <c r="E436" s="19">
        <v>2.0</v>
      </c>
      <c r="F436" s="20">
        <v>14000.0</v>
      </c>
      <c r="G436" s="21" t="s">
        <v>2711</v>
      </c>
      <c r="H436" s="19">
        <v>5.0</v>
      </c>
      <c r="I436" s="21" t="s">
        <v>334</v>
      </c>
      <c r="J436" s="22" t="s">
        <v>2647</v>
      </c>
    </row>
    <row r="437" ht="14.25" customHeight="1">
      <c r="A437" s="15" t="s">
        <v>3147</v>
      </c>
      <c r="B437" s="16">
        <v>45091.0</v>
      </c>
      <c r="C437" s="17">
        <v>45093.0</v>
      </c>
      <c r="D437" s="18">
        <v>6.0</v>
      </c>
      <c r="E437" s="19">
        <v>3.0</v>
      </c>
      <c r="F437" s="20">
        <v>16000.0</v>
      </c>
      <c r="G437" s="21" t="s">
        <v>2711</v>
      </c>
      <c r="H437" s="19">
        <v>4.0</v>
      </c>
      <c r="I437" s="21" t="s">
        <v>106</v>
      </c>
      <c r="J437" s="22" t="s">
        <v>2506</v>
      </c>
    </row>
    <row r="438" ht="14.25" customHeight="1">
      <c r="A438" s="15" t="s">
        <v>3148</v>
      </c>
      <c r="B438" s="16">
        <v>45091.0</v>
      </c>
      <c r="C438" s="17">
        <v>45096.0</v>
      </c>
      <c r="D438" s="18">
        <v>1.0</v>
      </c>
      <c r="E438" s="19">
        <v>2.0</v>
      </c>
      <c r="F438" s="20">
        <v>14000.0</v>
      </c>
      <c r="G438" s="21" t="s">
        <v>2711</v>
      </c>
      <c r="H438" s="19">
        <v>4.0</v>
      </c>
      <c r="I438" s="21" t="s">
        <v>466</v>
      </c>
      <c r="J438" s="22" t="s">
        <v>2567</v>
      </c>
    </row>
    <row r="439" ht="14.25" customHeight="1">
      <c r="A439" s="15" t="s">
        <v>3149</v>
      </c>
      <c r="B439" s="16">
        <v>45091.0</v>
      </c>
      <c r="C439" s="17">
        <v>45092.0</v>
      </c>
      <c r="D439" s="18">
        <v>9.0</v>
      </c>
      <c r="E439" s="19">
        <v>5.0</v>
      </c>
      <c r="F439" s="20">
        <v>20000.0</v>
      </c>
      <c r="G439" s="21" t="s">
        <v>2711</v>
      </c>
      <c r="H439" s="19">
        <v>4.0</v>
      </c>
      <c r="I439" s="21" t="s">
        <v>906</v>
      </c>
      <c r="J439" s="22" t="s">
        <v>2697</v>
      </c>
    </row>
    <row r="440" ht="14.25" customHeight="1">
      <c r="A440" s="15" t="s">
        <v>3150</v>
      </c>
      <c r="B440" s="16">
        <v>45091.0</v>
      </c>
      <c r="C440" s="17">
        <v>45092.0</v>
      </c>
      <c r="D440" s="18">
        <v>5.0</v>
      </c>
      <c r="E440" s="19">
        <v>2.0</v>
      </c>
      <c r="F440" s="20">
        <v>14000.0</v>
      </c>
      <c r="G440" s="21" t="s">
        <v>2711</v>
      </c>
      <c r="H440" s="19">
        <v>4.0</v>
      </c>
      <c r="I440" s="21" t="s">
        <v>142</v>
      </c>
      <c r="J440" s="22" t="s">
        <v>2490</v>
      </c>
    </row>
    <row r="441" ht="14.25" customHeight="1">
      <c r="A441" s="15" t="s">
        <v>3151</v>
      </c>
      <c r="B441" s="16">
        <v>45091.0</v>
      </c>
      <c r="C441" s="17">
        <v>45093.0</v>
      </c>
      <c r="D441" s="18">
        <v>14.0</v>
      </c>
      <c r="E441" s="19">
        <v>4.0</v>
      </c>
      <c r="F441" s="20">
        <v>18000.0</v>
      </c>
      <c r="G441" s="21" t="s">
        <v>2711</v>
      </c>
      <c r="H441" s="19">
        <v>5.0</v>
      </c>
      <c r="I441" s="21" t="s">
        <v>958</v>
      </c>
      <c r="J441" s="22" t="s">
        <v>2607</v>
      </c>
    </row>
    <row r="442" ht="14.25" customHeight="1">
      <c r="A442" s="15" t="s">
        <v>3152</v>
      </c>
      <c r="B442" s="16">
        <v>45091.0</v>
      </c>
      <c r="C442" s="17">
        <v>45095.0</v>
      </c>
      <c r="D442" s="18">
        <v>2.0</v>
      </c>
      <c r="E442" s="19">
        <v>3.0</v>
      </c>
      <c r="F442" s="20">
        <v>16000.0</v>
      </c>
      <c r="G442" s="21" t="s">
        <v>2711</v>
      </c>
      <c r="H442" s="19">
        <v>5.0</v>
      </c>
      <c r="I442" s="21" t="s">
        <v>1772</v>
      </c>
      <c r="J442" s="22" t="s">
        <v>2490</v>
      </c>
    </row>
    <row r="443" ht="14.25" customHeight="1">
      <c r="A443" s="15" t="s">
        <v>3153</v>
      </c>
      <c r="B443" s="16">
        <v>45091.0</v>
      </c>
      <c r="C443" s="17">
        <v>45093.0</v>
      </c>
      <c r="D443" s="18">
        <v>3.0</v>
      </c>
      <c r="E443" s="19">
        <v>3.0</v>
      </c>
      <c r="F443" s="20">
        <v>16000.0</v>
      </c>
      <c r="G443" s="21" t="s">
        <v>2711</v>
      </c>
      <c r="H443" s="19">
        <v>4.0</v>
      </c>
      <c r="I443" s="21" t="s">
        <v>1792</v>
      </c>
      <c r="J443" s="22" t="s">
        <v>2602</v>
      </c>
    </row>
    <row r="444" ht="14.25" customHeight="1">
      <c r="A444" s="15" t="s">
        <v>3154</v>
      </c>
      <c r="B444" s="16">
        <v>45091.0</v>
      </c>
      <c r="C444" s="17">
        <v>45095.0</v>
      </c>
      <c r="D444" s="18">
        <v>16.0</v>
      </c>
      <c r="E444" s="19">
        <v>8.0</v>
      </c>
      <c r="F444" s="20">
        <v>30800.0</v>
      </c>
      <c r="G444" s="21" t="s">
        <v>2711</v>
      </c>
      <c r="H444" s="19">
        <v>5.0</v>
      </c>
      <c r="I444" s="21" t="s">
        <v>2041</v>
      </c>
      <c r="J444" s="22" t="s">
        <v>2662</v>
      </c>
    </row>
    <row r="445" ht="14.25" customHeight="1">
      <c r="A445" s="15" t="s">
        <v>3155</v>
      </c>
      <c r="B445" s="16">
        <v>45091.0</v>
      </c>
      <c r="C445" s="17">
        <v>45095.0</v>
      </c>
      <c r="D445" s="18">
        <v>2.0</v>
      </c>
      <c r="E445" s="19">
        <v>2.0</v>
      </c>
      <c r="F445" s="20">
        <v>14000.0</v>
      </c>
      <c r="G445" s="21" t="s">
        <v>2711</v>
      </c>
      <c r="H445" s="19">
        <v>4.0</v>
      </c>
      <c r="I445" s="21" t="s">
        <v>1117</v>
      </c>
      <c r="J445" s="22" t="s">
        <v>2612</v>
      </c>
    </row>
    <row r="446" ht="14.25" customHeight="1">
      <c r="A446" s="15" t="s">
        <v>3156</v>
      </c>
      <c r="B446" s="16">
        <v>45091.0</v>
      </c>
      <c r="C446" s="17">
        <v>45096.0</v>
      </c>
      <c r="D446" s="18">
        <v>5.0</v>
      </c>
      <c r="E446" s="19">
        <v>3.0</v>
      </c>
      <c r="F446" s="20">
        <v>16000.0</v>
      </c>
      <c r="G446" s="21" t="s">
        <v>2711</v>
      </c>
      <c r="H446" s="19">
        <v>4.0</v>
      </c>
      <c r="I446" s="21" t="s">
        <v>18</v>
      </c>
      <c r="J446" s="22" t="s">
        <v>2617</v>
      </c>
    </row>
    <row r="447" ht="14.25" customHeight="1">
      <c r="A447" s="15" t="s">
        <v>3157</v>
      </c>
      <c r="B447" s="16">
        <v>45091.0</v>
      </c>
      <c r="C447" s="17">
        <v>45096.0</v>
      </c>
      <c r="D447" s="18">
        <v>16.0</v>
      </c>
      <c r="E447" s="19">
        <v>8.0</v>
      </c>
      <c r="F447" s="20">
        <v>30800.0</v>
      </c>
      <c r="G447" s="21" t="s">
        <v>2711</v>
      </c>
      <c r="H447" s="19">
        <v>4.0</v>
      </c>
      <c r="I447" s="21" t="s">
        <v>2346</v>
      </c>
      <c r="J447" s="22" t="s">
        <v>2667</v>
      </c>
    </row>
    <row r="448" ht="14.25" customHeight="1">
      <c r="A448" s="15" t="s">
        <v>3158</v>
      </c>
      <c r="B448" s="16">
        <v>45091.0</v>
      </c>
      <c r="C448" s="17">
        <v>45096.0</v>
      </c>
      <c r="D448" s="18">
        <v>3.0</v>
      </c>
      <c r="E448" s="19">
        <v>2.0</v>
      </c>
      <c r="F448" s="20">
        <v>14000.0</v>
      </c>
      <c r="G448" s="21" t="s">
        <v>2711</v>
      </c>
      <c r="H448" s="19">
        <v>5.0</v>
      </c>
      <c r="I448" s="21" t="s">
        <v>1882</v>
      </c>
      <c r="J448" s="22" t="s">
        <v>2652</v>
      </c>
    </row>
    <row r="449" ht="14.25" customHeight="1">
      <c r="A449" s="15" t="s">
        <v>3159</v>
      </c>
      <c r="B449" s="16">
        <v>45091.0</v>
      </c>
      <c r="C449" s="17">
        <v>45096.0</v>
      </c>
      <c r="D449" s="18">
        <v>5.0</v>
      </c>
      <c r="E449" s="19">
        <v>1.0</v>
      </c>
      <c r="F449" s="20">
        <v>12000.0</v>
      </c>
      <c r="G449" s="21" t="s">
        <v>2711</v>
      </c>
      <c r="H449" s="19">
        <v>4.0</v>
      </c>
      <c r="I449" s="21" t="s">
        <v>1053</v>
      </c>
      <c r="J449" s="22" t="s">
        <v>2617</v>
      </c>
    </row>
    <row r="450" ht="14.25" customHeight="1">
      <c r="A450" s="15" t="s">
        <v>3160</v>
      </c>
      <c r="B450" s="16">
        <v>45091.0</v>
      </c>
      <c r="C450" s="17">
        <v>45094.0</v>
      </c>
      <c r="D450" s="18">
        <v>1.0</v>
      </c>
      <c r="E450" s="19">
        <v>1.0</v>
      </c>
      <c r="F450" s="20">
        <v>12000.0</v>
      </c>
      <c r="G450" s="21" t="s">
        <v>2711</v>
      </c>
      <c r="H450" s="19">
        <v>5.0</v>
      </c>
      <c r="I450" s="21" t="s">
        <v>518</v>
      </c>
      <c r="J450" s="22" t="s">
        <v>2622</v>
      </c>
    </row>
    <row r="451" ht="14.25" customHeight="1">
      <c r="A451" s="15" t="s">
        <v>3161</v>
      </c>
      <c r="B451" s="16">
        <v>45091.0</v>
      </c>
      <c r="C451" s="17">
        <v>45096.0</v>
      </c>
      <c r="D451" s="18">
        <v>10.0</v>
      </c>
      <c r="E451" s="19">
        <v>10.0</v>
      </c>
      <c r="F451" s="20">
        <v>30000.0</v>
      </c>
      <c r="G451" s="21" t="s">
        <v>2711</v>
      </c>
      <c r="H451" s="19">
        <v>4.0</v>
      </c>
      <c r="I451" s="21" t="s">
        <v>621</v>
      </c>
      <c r="J451" s="22" t="s">
        <v>2662</v>
      </c>
    </row>
    <row r="452" ht="14.25" customHeight="1">
      <c r="A452" s="15" t="s">
        <v>3162</v>
      </c>
      <c r="B452" s="16">
        <v>45091.0</v>
      </c>
      <c r="C452" s="17">
        <v>45094.0</v>
      </c>
      <c r="D452" s="18">
        <v>3.0</v>
      </c>
      <c r="E452" s="19">
        <v>2.0</v>
      </c>
      <c r="F452" s="20">
        <v>14000.0</v>
      </c>
      <c r="G452" s="21" t="s">
        <v>2711</v>
      </c>
      <c r="H452" s="19">
        <v>4.0</v>
      </c>
      <c r="I452" s="21" t="s">
        <v>162</v>
      </c>
      <c r="J452" s="22" t="s">
        <v>2692</v>
      </c>
      <c r="K452" s="27"/>
    </row>
    <row r="453" ht="14.25" customHeight="1">
      <c r="A453" s="15" t="s">
        <v>3163</v>
      </c>
      <c r="B453" s="16">
        <v>45091.0</v>
      </c>
      <c r="C453" s="17">
        <v>45092.0</v>
      </c>
      <c r="D453" s="18">
        <v>19.0</v>
      </c>
      <c r="E453" s="19">
        <v>10.0</v>
      </c>
      <c r="F453" s="20">
        <v>35700.0</v>
      </c>
      <c r="G453" s="21" t="s">
        <v>2711</v>
      </c>
      <c r="H453" s="19">
        <v>5.0</v>
      </c>
      <c r="I453" s="21" t="s">
        <v>1882</v>
      </c>
      <c r="J453" s="22" t="s">
        <v>2662</v>
      </c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</row>
    <row r="454" ht="14.25" customHeight="1">
      <c r="A454" s="15" t="s">
        <v>3164</v>
      </c>
      <c r="B454" s="16">
        <v>45091.0</v>
      </c>
      <c r="C454" s="17">
        <v>45094.0</v>
      </c>
      <c r="D454" s="18">
        <v>12.0</v>
      </c>
      <c r="E454" s="19">
        <v>8.0</v>
      </c>
      <c r="F454" s="20">
        <v>26000.0</v>
      </c>
      <c r="G454" s="21" t="s">
        <v>2711</v>
      </c>
      <c r="H454" s="19">
        <v>5.0</v>
      </c>
      <c r="I454" s="21" t="s">
        <v>2025</v>
      </c>
      <c r="J454" s="22" t="s">
        <v>2537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</row>
    <row r="455" ht="14.25" customHeight="1">
      <c r="A455" s="15" t="s">
        <v>3165</v>
      </c>
      <c r="B455" s="16">
        <v>45091.0</v>
      </c>
      <c r="C455" s="17">
        <v>45096.0</v>
      </c>
      <c r="D455" s="18">
        <v>19.0</v>
      </c>
      <c r="E455" s="19">
        <v>7.0</v>
      </c>
      <c r="F455" s="20">
        <v>29700.0</v>
      </c>
      <c r="G455" s="21" t="s">
        <v>2711</v>
      </c>
      <c r="H455" s="19">
        <v>5.0</v>
      </c>
      <c r="I455" s="21" t="s">
        <v>1093</v>
      </c>
      <c r="J455" s="22" t="s">
        <v>2697</v>
      </c>
    </row>
    <row r="456" ht="14.25" customHeight="1">
      <c r="A456" s="15" t="s">
        <v>3166</v>
      </c>
      <c r="B456" s="16">
        <v>45091.0</v>
      </c>
      <c r="C456" s="17">
        <v>45093.0</v>
      </c>
      <c r="D456" s="18">
        <v>18.0</v>
      </c>
      <c r="E456" s="19">
        <v>6.0</v>
      </c>
      <c r="F456" s="20">
        <v>27400.0</v>
      </c>
      <c r="G456" s="21" t="s">
        <v>2711</v>
      </c>
      <c r="H456" s="19">
        <v>4.0</v>
      </c>
      <c r="I456" s="21" t="s">
        <v>692</v>
      </c>
      <c r="J456" s="22" t="s">
        <v>2637</v>
      </c>
    </row>
    <row r="457" ht="14.25" customHeight="1">
      <c r="A457" s="15" t="s">
        <v>3167</v>
      </c>
      <c r="B457" s="16">
        <v>45091.0</v>
      </c>
      <c r="C457" s="17">
        <v>45095.0</v>
      </c>
      <c r="D457" s="18">
        <v>2.0</v>
      </c>
      <c r="E457" s="19">
        <v>2.0</v>
      </c>
      <c r="F457" s="20">
        <v>14000.0</v>
      </c>
      <c r="G457" s="21" t="s">
        <v>2711</v>
      </c>
      <c r="H457" s="19">
        <v>5.0</v>
      </c>
      <c r="I457" s="21" t="s">
        <v>126</v>
      </c>
      <c r="J457" s="22" t="s">
        <v>2647</v>
      </c>
    </row>
    <row r="458" ht="14.25" customHeight="1">
      <c r="A458" s="15" t="s">
        <v>3168</v>
      </c>
      <c r="B458" s="16">
        <v>45091.0</v>
      </c>
      <c r="C458" s="17">
        <v>45093.0</v>
      </c>
      <c r="D458" s="18">
        <v>11.0</v>
      </c>
      <c r="E458" s="19">
        <v>6.0</v>
      </c>
      <c r="F458" s="20">
        <v>22000.0</v>
      </c>
      <c r="G458" s="21" t="s">
        <v>2711</v>
      </c>
      <c r="H458" s="19">
        <v>5.0</v>
      </c>
      <c r="I458" s="21" t="s">
        <v>1240</v>
      </c>
      <c r="J458" s="22" t="s">
        <v>2607</v>
      </c>
    </row>
    <row r="459" ht="14.25" customHeight="1">
      <c r="A459" s="15" t="s">
        <v>3169</v>
      </c>
      <c r="B459" s="16">
        <v>45091.0</v>
      </c>
      <c r="C459" s="17">
        <v>45092.0</v>
      </c>
      <c r="D459" s="18">
        <v>4.0</v>
      </c>
      <c r="E459" s="19">
        <v>3.0</v>
      </c>
      <c r="F459" s="20">
        <v>16000.0</v>
      </c>
      <c r="G459" s="21" t="s">
        <v>2711</v>
      </c>
      <c r="H459" s="19">
        <v>5.0</v>
      </c>
      <c r="I459" s="21" t="s">
        <v>537</v>
      </c>
      <c r="J459" s="22" t="s">
        <v>2582</v>
      </c>
    </row>
    <row r="460" ht="14.25" customHeight="1">
      <c r="A460" s="15" t="s">
        <v>3170</v>
      </c>
      <c r="B460" s="16">
        <v>45091.0</v>
      </c>
      <c r="C460" s="17">
        <v>45094.0</v>
      </c>
      <c r="D460" s="18">
        <v>7.0</v>
      </c>
      <c r="E460" s="19">
        <v>10.0</v>
      </c>
      <c r="F460" s="20">
        <v>30000.0</v>
      </c>
      <c r="G460" s="21" t="s">
        <v>2711</v>
      </c>
      <c r="H460" s="19">
        <v>4.0</v>
      </c>
      <c r="I460" s="21" t="s">
        <v>2445</v>
      </c>
      <c r="J460" s="22" t="s">
        <v>2607</v>
      </c>
    </row>
    <row r="461" ht="14.25" customHeight="1">
      <c r="A461" s="15" t="s">
        <v>3171</v>
      </c>
      <c r="B461" s="16">
        <v>45091.0</v>
      </c>
      <c r="C461" s="17">
        <v>45096.0</v>
      </c>
      <c r="D461" s="18">
        <v>15.0</v>
      </c>
      <c r="E461" s="19">
        <v>4.0</v>
      </c>
      <c r="F461" s="20">
        <v>22500.0</v>
      </c>
      <c r="G461" s="21" t="s">
        <v>2711</v>
      </c>
      <c r="H461" s="19">
        <v>4.0</v>
      </c>
      <c r="I461" s="21" t="s">
        <v>1172</v>
      </c>
      <c r="J461" s="22" t="s">
        <v>2501</v>
      </c>
    </row>
    <row r="462" ht="14.25" customHeight="1">
      <c r="A462" s="15" t="s">
        <v>3172</v>
      </c>
      <c r="B462" s="16">
        <v>45091.0</v>
      </c>
      <c r="C462" s="17">
        <v>45093.0</v>
      </c>
      <c r="D462" s="18">
        <v>5.0</v>
      </c>
      <c r="E462" s="19">
        <v>2.0</v>
      </c>
      <c r="F462" s="20">
        <v>14000.0</v>
      </c>
      <c r="G462" s="21" t="s">
        <v>2711</v>
      </c>
      <c r="H462" s="19">
        <v>4.0</v>
      </c>
      <c r="I462" s="21" t="s">
        <v>2437</v>
      </c>
      <c r="J462" s="22" t="s">
        <v>2547</v>
      </c>
    </row>
    <row r="463" ht="14.25" customHeight="1">
      <c r="A463" s="15" t="s">
        <v>3173</v>
      </c>
      <c r="B463" s="16">
        <v>45091.0</v>
      </c>
      <c r="C463" s="17">
        <v>45092.0</v>
      </c>
      <c r="D463" s="18">
        <v>5.0</v>
      </c>
      <c r="E463" s="19">
        <v>1.0</v>
      </c>
      <c r="F463" s="20">
        <v>12000.0</v>
      </c>
      <c r="G463" s="21" t="s">
        <v>2711</v>
      </c>
      <c r="H463" s="19">
        <v>5.0</v>
      </c>
      <c r="I463" s="21" t="s">
        <v>771</v>
      </c>
      <c r="J463" s="22" t="s">
        <v>2597</v>
      </c>
    </row>
    <row r="464" ht="14.25" customHeight="1">
      <c r="A464" s="15" t="s">
        <v>3174</v>
      </c>
      <c r="B464" s="17">
        <v>45092.0</v>
      </c>
      <c r="C464" s="17">
        <f>B464 + RANDBETWEEN(1,5)</f>
        <v>45094</v>
      </c>
      <c r="D464" s="18">
        <v>3.0</v>
      </c>
      <c r="E464" s="19">
        <v>1.0</v>
      </c>
      <c r="F464" s="20">
        <v>12000.0</v>
      </c>
      <c r="G464" s="21" t="s">
        <v>2711</v>
      </c>
      <c r="H464" s="19">
        <v>4.0</v>
      </c>
      <c r="I464" s="21" t="s">
        <v>2294</v>
      </c>
      <c r="J464" s="22" t="s">
        <v>2506</v>
      </c>
    </row>
    <row r="465" ht="14.25" customHeight="1">
      <c r="A465" s="15" t="s">
        <v>3175</v>
      </c>
      <c r="B465" s="16">
        <v>45092.0</v>
      </c>
      <c r="C465" s="17">
        <v>45097.0</v>
      </c>
      <c r="D465" s="18">
        <v>5.0</v>
      </c>
      <c r="E465" s="19">
        <v>3.0</v>
      </c>
      <c r="F465" s="20">
        <v>16000.0</v>
      </c>
      <c r="G465" s="21" t="s">
        <v>2711</v>
      </c>
      <c r="H465" s="19">
        <v>4.0</v>
      </c>
      <c r="I465" s="21" t="s">
        <v>86</v>
      </c>
      <c r="J465" s="22" t="s">
        <v>2687</v>
      </c>
    </row>
    <row r="466" ht="14.25" customHeight="1">
      <c r="A466" s="15" t="s">
        <v>3176</v>
      </c>
      <c r="B466" s="16">
        <v>45092.0</v>
      </c>
      <c r="C466" s="17">
        <v>45097.0</v>
      </c>
      <c r="D466" s="18">
        <v>5.0</v>
      </c>
      <c r="E466" s="19">
        <v>3.0</v>
      </c>
      <c r="F466" s="20">
        <v>16000.0</v>
      </c>
      <c r="G466" s="21" t="s">
        <v>2711</v>
      </c>
      <c r="H466" s="19">
        <v>4.0</v>
      </c>
      <c r="I466" s="21" t="s">
        <v>1736</v>
      </c>
      <c r="J466" s="22" t="s">
        <v>2652</v>
      </c>
    </row>
    <row r="467" ht="14.25" customHeight="1">
      <c r="A467" s="15" t="s">
        <v>3177</v>
      </c>
      <c r="B467" s="16">
        <v>45092.0</v>
      </c>
      <c r="C467" s="17">
        <v>45093.0</v>
      </c>
      <c r="D467" s="18">
        <v>8.0</v>
      </c>
      <c r="E467" s="19">
        <v>4.0</v>
      </c>
      <c r="F467" s="20">
        <v>18000.0</v>
      </c>
      <c r="G467" s="21" t="s">
        <v>2711</v>
      </c>
      <c r="H467" s="19">
        <v>4.0</v>
      </c>
      <c r="I467" s="21" t="s">
        <v>696</v>
      </c>
      <c r="J467" s="22" t="s">
        <v>2537</v>
      </c>
    </row>
    <row r="468" ht="14.25" customHeight="1">
      <c r="A468" s="15" t="s">
        <v>3178</v>
      </c>
      <c r="B468" s="16">
        <v>45092.0</v>
      </c>
      <c r="C468" s="17">
        <v>45095.0</v>
      </c>
      <c r="D468" s="18">
        <v>6.0</v>
      </c>
      <c r="E468" s="19">
        <v>2.0</v>
      </c>
      <c r="F468" s="20">
        <v>14000.0</v>
      </c>
      <c r="G468" s="21" t="s">
        <v>2711</v>
      </c>
      <c r="H468" s="19">
        <v>4.0</v>
      </c>
      <c r="I468" s="21" t="s">
        <v>2401</v>
      </c>
      <c r="J468" s="22" t="s">
        <v>2632</v>
      </c>
    </row>
    <row r="469" ht="14.25" customHeight="1">
      <c r="A469" s="15" t="s">
        <v>3179</v>
      </c>
      <c r="B469" s="16">
        <v>45092.0</v>
      </c>
      <c r="C469" s="17">
        <v>45094.0</v>
      </c>
      <c r="D469" s="18">
        <v>17.0</v>
      </c>
      <c r="E469" s="19">
        <v>6.0</v>
      </c>
      <c r="F469" s="20">
        <v>27100.0</v>
      </c>
      <c r="G469" s="21" t="s">
        <v>2711</v>
      </c>
      <c r="H469" s="19">
        <v>4.0</v>
      </c>
      <c r="I469" s="21" t="s">
        <v>577</v>
      </c>
      <c r="J469" s="22" t="s">
        <v>2627</v>
      </c>
    </row>
    <row r="470" ht="14.25" customHeight="1">
      <c r="A470" s="15" t="s">
        <v>3180</v>
      </c>
      <c r="B470" s="16">
        <v>45092.0</v>
      </c>
      <c r="C470" s="17">
        <v>45096.0</v>
      </c>
      <c r="D470" s="18">
        <v>15.0</v>
      </c>
      <c r="E470" s="19">
        <v>10.0</v>
      </c>
      <c r="F470" s="20">
        <v>34500.0</v>
      </c>
      <c r="G470" s="21" t="s">
        <v>2711</v>
      </c>
      <c r="H470" s="19">
        <v>4.0</v>
      </c>
      <c r="I470" s="21" t="s">
        <v>2279</v>
      </c>
      <c r="J470" s="22" t="s">
        <v>2627</v>
      </c>
    </row>
    <row r="471" ht="14.25" customHeight="1">
      <c r="A471" s="15" t="s">
        <v>3181</v>
      </c>
      <c r="B471" s="16">
        <v>45092.0</v>
      </c>
      <c r="C471" s="17">
        <v>45096.0</v>
      </c>
      <c r="D471" s="18">
        <v>60.0</v>
      </c>
      <c r="E471" s="19">
        <v>27.0</v>
      </c>
      <c r="F471" s="20">
        <v>82000.0</v>
      </c>
      <c r="G471" s="21" t="s">
        <v>2711</v>
      </c>
      <c r="H471" s="19">
        <v>4.0</v>
      </c>
      <c r="I471" s="21" t="s">
        <v>1422</v>
      </c>
      <c r="J471" s="26" t="s">
        <v>2657</v>
      </c>
    </row>
    <row r="472" ht="14.25" customHeight="1">
      <c r="A472" s="15" t="s">
        <v>3182</v>
      </c>
      <c r="B472" s="16">
        <v>45092.0</v>
      </c>
      <c r="C472" s="17">
        <v>45093.0</v>
      </c>
      <c r="D472" s="18">
        <v>2.0</v>
      </c>
      <c r="E472" s="19">
        <v>2.0</v>
      </c>
      <c r="F472" s="20">
        <v>14000.0</v>
      </c>
      <c r="G472" s="21" t="s">
        <v>2711</v>
      </c>
      <c r="H472" s="19">
        <v>5.0</v>
      </c>
      <c r="I472" s="21" t="s">
        <v>2425</v>
      </c>
      <c r="J472" s="22" t="s">
        <v>2557</v>
      </c>
    </row>
    <row r="473" ht="14.25" customHeight="1">
      <c r="A473" s="15" t="s">
        <v>3183</v>
      </c>
      <c r="B473" s="16">
        <v>45092.0</v>
      </c>
      <c r="C473" s="17">
        <v>45094.0</v>
      </c>
      <c r="D473" s="18">
        <v>73.0</v>
      </c>
      <c r="E473" s="19">
        <v>17.0</v>
      </c>
      <c r="F473" s="20">
        <v>65900.0</v>
      </c>
      <c r="G473" s="21" t="s">
        <v>2711</v>
      </c>
      <c r="H473" s="19">
        <v>5.0</v>
      </c>
      <c r="I473" s="21" t="s">
        <v>672</v>
      </c>
      <c r="J473" s="26" t="s">
        <v>2657</v>
      </c>
    </row>
    <row r="474" ht="14.25" customHeight="1">
      <c r="A474" s="15" t="s">
        <v>3184</v>
      </c>
      <c r="B474" s="16">
        <v>45092.0</v>
      </c>
      <c r="C474" s="17">
        <v>45095.0</v>
      </c>
      <c r="D474" s="18">
        <v>4.0</v>
      </c>
      <c r="E474" s="19">
        <v>2.0</v>
      </c>
      <c r="F474" s="20">
        <v>14000.0</v>
      </c>
      <c r="G474" s="21" t="s">
        <v>2711</v>
      </c>
      <c r="H474" s="19">
        <v>4.0</v>
      </c>
      <c r="I474" s="21" t="s">
        <v>450</v>
      </c>
      <c r="J474" s="22" t="s">
        <v>2632</v>
      </c>
    </row>
    <row r="475" ht="14.25" customHeight="1">
      <c r="A475" s="15" t="s">
        <v>3185</v>
      </c>
      <c r="B475" s="16">
        <v>45092.0</v>
      </c>
      <c r="C475" s="17">
        <v>45097.0</v>
      </c>
      <c r="D475" s="18">
        <v>2.0</v>
      </c>
      <c r="E475" s="19">
        <v>3.0</v>
      </c>
      <c r="F475" s="20">
        <v>16000.0</v>
      </c>
      <c r="G475" s="21" t="s">
        <v>2711</v>
      </c>
      <c r="H475" s="19">
        <v>5.0</v>
      </c>
      <c r="I475" s="21" t="s">
        <v>1858</v>
      </c>
      <c r="J475" s="22" t="s">
        <v>2692</v>
      </c>
    </row>
    <row r="476" ht="14.25" customHeight="1">
      <c r="A476" s="15" t="s">
        <v>3186</v>
      </c>
      <c r="B476" s="16">
        <v>45092.0</v>
      </c>
      <c r="C476" s="17">
        <v>45095.0</v>
      </c>
      <c r="D476" s="18">
        <v>1.0</v>
      </c>
      <c r="E476" s="19">
        <v>1.0</v>
      </c>
      <c r="F476" s="20">
        <v>12000.0</v>
      </c>
      <c r="G476" s="21" t="s">
        <v>2711</v>
      </c>
      <c r="H476" s="19">
        <v>5.0</v>
      </c>
      <c r="I476" s="21" t="s">
        <v>1348</v>
      </c>
      <c r="J476" s="22" t="s">
        <v>2652</v>
      </c>
    </row>
    <row r="477" ht="14.25" customHeight="1">
      <c r="A477" s="15" t="s">
        <v>3187</v>
      </c>
      <c r="B477" s="16">
        <v>45092.0</v>
      </c>
      <c r="C477" s="17">
        <v>45097.0</v>
      </c>
      <c r="D477" s="18">
        <v>5.0</v>
      </c>
      <c r="E477" s="19">
        <v>3.0</v>
      </c>
      <c r="F477" s="20">
        <v>16000.0</v>
      </c>
      <c r="G477" s="21" t="s">
        <v>2711</v>
      </c>
      <c r="H477" s="19">
        <v>5.0</v>
      </c>
      <c r="I477" s="21" t="s">
        <v>526</v>
      </c>
      <c r="J477" s="22" t="s">
        <v>2622</v>
      </c>
    </row>
    <row r="478" ht="14.25" customHeight="1">
      <c r="A478" s="15" t="s">
        <v>3188</v>
      </c>
      <c r="B478" s="16">
        <v>45092.0</v>
      </c>
      <c r="C478" s="17">
        <v>45095.0</v>
      </c>
      <c r="D478" s="18">
        <v>3.0</v>
      </c>
      <c r="E478" s="19">
        <v>2.0</v>
      </c>
      <c r="F478" s="20">
        <v>14000.0</v>
      </c>
      <c r="G478" s="21" t="s">
        <v>2711</v>
      </c>
      <c r="H478" s="19">
        <v>5.0</v>
      </c>
      <c r="I478" s="21" t="s">
        <v>146</v>
      </c>
      <c r="J478" s="22" t="s">
        <v>2612</v>
      </c>
    </row>
    <row r="479" ht="14.25" customHeight="1">
      <c r="A479" s="15" t="s">
        <v>3189</v>
      </c>
      <c r="B479" s="16">
        <v>45092.0</v>
      </c>
      <c r="C479" s="17">
        <v>45096.0</v>
      </c>
      <c r="D479" s="18">
        <v>43.0</v>
      </c>
      <c r="E479" s="19">
        <v>14.0</v>
      </c>
      <c r="F479" s="20">
        <v>50900.0</v>
      </c>
      <c r="G479" s="21" t="s">
        <v>2711</v>
      </c>
      <c r="H479" s="19">
        <v>5.0</v>
      </c>
      <c r="I479" s="21" t="s">
        <v>254</v>
      </c>
      <c r="J479" s="22" t="s">
        <v>2552</v>
      </c>
    </row>
    <row r="480" ht="14.25" customHeight="1">
      <c r="A480" s="15" t="s">
        <v>3190</v>
      </c>
      <c r="B480" s="16">
        <v>45092.0</v>
      </c>
      <c r="C480" s="17">
        <v>45093.0</v>
      </c>
      <c r="D480" s="18">
        <v>7.0</v>
      </c>
      <c r="E480" s="19">
        <v>6.0</v>
      </c>
      <c r="F480" s="20">
        <v>22000.0</v>
      </c>
      <c r="G480" s="21" t="s">
        <v>2711</v>
      </c>
      <c r="H480" s="19">
        <v>4.0</v>
      </c>
      <c r="I480" s="21" t="s">
        <v>2108</v>
      </c>
      <c r="J480" s="22" t="s">
        <v>2662</v>
      </c>
    </row>
    <row r="481" ht="14.25" customHeight="1">
      <c r="A481" s="15" t="s">
        <v>3191</v>
      </c>
      <c r="B481" s="16">
        <v>45092.0</v>
      </c>
      <c r="C481" s="17">
        <v>45096.0</v>
      </c>
      <c r="D481" s="18">
        <v>59.0</v>
      </c>
      <c r="E481" s="19">
        <v>20.0</v>
      </c>
      <c r="F481" s="20">
        <v>67700.0</v>
      </c>
      <c r="G481" s="21" t="s">
        <v>2711</v>
      </c>
      <c r="H481" s="19">
        <v>4.0</v>
      </c>
      <c r="I481" s="21" t="s">
        <v>1145</v>
      </c>
      <c r="J481" s="26" t="s">
        <v>2657</v>
      </c>
    </row>
    <row r="482" ht="14.25" customHeight="1">
      <c r="A482" s="15" t="s">
        <v>3192</v>
      </c>
      <c r="B482" s="16">
        <v>45092.0</v>
      </c>
      <c r="C482" s="17">
        <v>45093.0</v>
      </c>
      <c r="D482" s="18">
        <v>58.0</v>
      </c>
      <c r="E482" s="19">
        <v>16.0</v>
      </c>
      <c r="F482" s="20">
        <v>59400.0</v>
      </c>
      <c r="G482" s="21" t="s">
        <v>2711</v>
      </c>
      <c r="H482" s="19">
        <v>4.0</v>
      </c>
      <c r="I482" s="21" t="s">
        <v>2271</v>
      </c>
      <c r="J482" s="22" t="s">
        <v>2552</v>
      </c>
    </row>
    <row r="483" ht="14.25" customHeight="1">
      <c r="A483" s="15" t="s">
        <v>3193</v>
      </c>
      <c r="B483" s="16">
        <v>45092.0</v>
      </c>
      <c r="C483" s="17">
        <v>45094.0</v>
      </c>
      <c r="D483" s="18">
        <v>21.0</v>
      </c>
      <c r="E483" s="19">
        <v>24.0</v>
      </c>
      <c r="F483" s="20">
        <v>64300.0</v>
      </c>
      <c r="G483" s="21" t="s">
        <v>2711</v>
      </c>
      <c r="H483" s="19">
        <v>5.0</v>
      </c>
      <c r="I483" s="21" t="s">
        <v>1772</v>
      </c>
      <c r="J483" s="22" t="s">
        <v>2552</v>
      </c>
    </row>
    <row r="484" ht="14.25" customHeight="1">
      <c r="A484" s="15" t="s">
        <v>3194</v>
      </c>
      <c r="B484" s="16">
        <v>45092.0</v>
      </c>
      <c r="C484" s="17">
        <v>45097.0</v>
      </c>
      <c r="D484" s="18">
        <v>7.0</v>
      </c>
      <c r="E484" s="19">
        <v>9.0</v>
      </c>
      <c r="F484" s="20">
        <v>28000.0</v>
      </c>
      <c r="G484" s="21" t="s">
        <v>2711</v>
      </c>
      <c r="H484" s="19">
        <v>4.0</v>
      </c>
      <c r="I484" s="21" t="s">
        <v>306</v>
      </c>
      <c r="J484" s="22" t="s">
        <v>2607</v>
      </c>
    </row>
    <row r="485" ht="14.25" customHeight="1">
      <c r="A485" s="15" t="s">
        <v>3195</v>
      </c>
      <c r="B485" s="16">
        <v>45092.0</v>
      </c>
      <c r="C485" s="17">
        <v>45095.0</v>
      </c>
      <c r="D485" s="18">
        <v>65.0</v>
      </c>
      <c r="E485" s="19">
        <v>16.0</v>
      </c>
      <c r="F485" s="20">
        <v>61500.0</v>
      </c>
      <c r="G485" s="21" t="s">
        <v>2711</v>
      </c>
      <c r="H485" s="19">
        <v>5.0</v>
      </c>
      <c r="I485" s="21" t="s">
        <v>1192</v>
      </c>
      <c r="J485" s="22" t="s">
        <v>2552</v>
      </c>
    </row>
    <row r="486" ht="14.25" customHeight="1">
      <c r="A486" s="15" t="s">
        <v>3196</v>
      </c>
      <c r="B486" s="16">
        <v>45092.0</v>
      </c>
      <c r="C486" s="17">
        <v>45097.0</v>
      </c>
      <c r="D486" s="18">
        <v>70.0</v>
      </c>
      <c r="E486" s="19">
        <v>20.0</v>
      </c>
      <c r="F486" s="20">
        <v>71000.0</v>
      </c>
      <c r="G486" s="21" t="s">
        <v>2711</v>
      </c>
      <c r="H486" s="19">
        <v>5.0</v>
      </c>
      <c r="I486" s="21" t="s">
        <v>262</v>
      </c>
      <c r="J486" s="26" t="s">
        <v>2657</v>
      </c>
    </row>
    <row r="487" ht="14.25" customHeight="1">
      <c r="A487" s="15" t="s">
        <v>3197</v>
      </c>
      <c r="B487" s="16">
        <v>45092.0</v>
      </c>
      <c r="C487" s="17">
        <v>45093.0</v>
      </c>
      <c r="D487" s="18">
        <v>8.0</v>
      </c>
      <c r="E487" s="19">
        <v>4.0</v>
      </c>
      <c r="F487" s="20">
        <v>18000.0</v>
      </c>
      <c r="G487" s="21" t="s">
        <v>2711</v>
      </c>
      <c r="H487" s="19">
        <v>5.0</v>
      </c>
      <c r="I487" s="21" t="s">
        <v>1842</v>
      </c>
      <c r="J487" s="22" t="s">
        <v>2587</v>
      </c>
    </row>
    <row r="488" ht="14.25" customHeight="1">
      <c r="A488" s="15" t="s">
        <v>3198</v>
      </c>
      <c r="B488" s="16">
        <v>45092.0</v>
      </c>
      <c r="C488" s="17">
        <v>45093.0</v>
      </c>
      <c r="D488" s="18">
        <v>63.0</v>
      </c>
      <c r="E488" s="19">
        <v>21.0</v>
      </c>
      <c r="F488" s="20">
        <v>70900.0</v>
      </c>
      <c r="G488" s="21" t="s">
        <v>2711</v>
      </c>
      <c r="H488" s="19">
        <v>4.0</v>
      </c>
      <c r="I488" s="21" t="s">
        <v>174</v>
      </c>
      <c r="J488" s="22" t="s">
        <v>2552</v>
      </c>
    </row>
    <row r="489" ht="14.25" customHeight="1">
      <c r="A489" s="15" t="s">
        <v>3199</v>
      </c>
      <c r="B489" s="16">
        <v>45092.0</v>
      </c>
      <c r="C489" s="17">
        <v>45093.0</v>
      </c>
      <c r="D489" s="18">
        <v>16.0</v>
      </c>
      <c r="E489" s="19">
        <v>8.0</v>
      </c>
      <c r="F489" s="20">
        <v>30800.0</v>
      </c>
      <c r="G489" s="21" t="s">
        <v>2711</v>
      </c>
      <c r="H489" s="19">
        <v>5.0</v>
      </c>
      <c r="I489" s="21" t="s">
        <v>1336</v>
      </c>
      <c r="J489" s="22" t="s">
        <v>2667</v>
      </c>
    </row>
    <row r="490" ht="14.25" customHeight="1">
      <c r="A490" s="15" t="s">
        <v>3200</v>
      </c>
      <c r="B490" s="16">
        <v>45092.0</v>
      </c>
      <c r="C490" s="17">
        <v>45096.0</v>
      </c>
      <c r="D490" s="18">
        <v>72.0</v>
      </c>
      <c r="E490" s="19">
        <v>17.0</v>
      </c>
      <c r="F490" s="20">
        <v>65600.0</v>
      </c>
      <c r="G490" s="21" t="s">
        <v>2711</v>
      </c>
      <c r="H490" s="19">
        <v>4.0</v>
      </c>
      <c r="I490" s="21" t="s">
        <v>1858</v>
      </c>
      <c r="J490" s="22" t="s">
        <v>2552</v>
      </c>
    </row>
    <row r="491" ht="14.25" customHeight="1">
      <c r="A491" s="15" t="s">
        <v>3201</v>
      </c>
      <c r="B491" s="16">
        <v>45092.0</v>
      </c>
      <c r="C491" s="17">
        <v>45096.0</v>
      </c>
      <c r="D491" s="18">
        <v>4.0</v>
      </c>
      <c r="E491" s="19">
        <v>3.0</v>
      </c>
      <c r="F491" s="20">
        <v>16000.0</v>
      </c>
      <c r="G491" s="21" t="s">
        <v>2711</v>
      </c>
      <c r="H491" s="19">
        <v>4.0</v>
      </c>
      <c r="I491" s="21" t="s">
        <v>1049</v>
      </c>
      <c r="J491" s="22" t="s">
        <v>2622</v>
      </c>
    </row>
    <row r="492" ht="14.25" customHeight="1">
      <c r="A492" s="15" t="s">
        <v>3202</v>
      </c>
      <c r="B492" s="16">
        <v>45092.0</v>
      </c>
      <c r="C492" s="17">
        <v>45095.0</v>
      </c>
      <c r="D492" s="18">
        <v>1.0</v>
      </c>
      <c r="E492" s="19">
        <v>2.0</v>
      </c>
      <c r="F492" s="20">
        <v>14000.0</v>
      </c>
      <c r="G492" s="21" t="s">
        <v>2711</v>
      </c>
      <c r="H492" s="19">
        <v>5.0</v>
      </c>
      <c r="I492" s="21" t="s">
        <v>298</v>
      </c>
      <c r="J492" s="22" t="s">
        <v>2622</v>
      </c>
    </row>
    <row r="493" ht="14.25" customHeight="1">
      <c r="A493" s="15" t="s">
        <v>3203</v>
      </c>
      <c r="B493" s="16">
        <v>45092.0</v>
      </c>
      <c r="C493" s="17">
        <v>45096.0</v>
      </c>
      <c r="D493" s="18">
        <v>4.0</v>
      </c>
      <c r="E493" s="19">
        <v>2.0</v>
      </c>
      <c r="F493" s="20">
        <v>14000.0</v>
      </c>
      <c r="G493" s="21" t="s">
        <v>2711</v>
      </c>
      <c r="H493" s="19">
        <v>4.0</v>
      </c>
      <c r="I493" s="21" t="s">
        <v>1926</v>
      </c>
      <c r="J493" s="22" t="s">
        <v>2562</v>
      </c>
    </row>
    <row r="494" ht="14.25" customHeight="1">
      <c r="A494" s="15" t="s">
        <v>3204</v>
      </c>
      <c r="B494" s="16">
        <v>45092.0</v>
      </c>
      <c r="C494" s="17">
        <v>45095.0</v>
      </c>
      <c r="D494" s="18">
        <v>2.0</v>
      </c>
      <c r="E494" s="19">
        <v>3.0</v>
      </c>
      <c r="F494" s="20">
        <v>16000.0</v>
      </c>
      <c r="G494" s="21" t="s">
        <v>2711</v>
      </c>
      <c r="H494" s="19">
        <v>5.0</v>
      </c>
      <c r="I494" s="21" t="s">
        <v>506</v>
      </c>
      <c r="J494" s="22" t="s">
        <v>2652</v>
      </c>
    </row>
    <row r="495" ht="14.25" customHeight="1">
      <c r="A495" s="15" t="s">
        <v>3205</v>
      </c>
      <c r="B495" s="16">
        <v>45092.0</v>
      </c>
      <c r="C495" s="17">
        <v>45093.0</v>
      </c>
      <c r="D495" s="18">
        <v>17.0</v>
      </c>
      <c r="E495" s="19">
        <v>6.0</v>
      </c>
      <c r="F495" s="20">
        <v>27100.0</v>
      </c>
      <c r="G495" s="21" t="s">
        <v>2711</v>
      </c>
      <c r="H495" s="19">
        <v>4.0</v>
      </c>
      <c r="I495" s="21" t="s">
        <v>1826</v>
      </c>
      <c r="J495" s="22" t="s">
        <v>2501</v>
      </c>
    </row>
    <row r="496" ht="14.25" customHeight="1">
      <c r="A496" s="15" t="s">
        <v>3206</v>
      </c>
      <c r="B496" s="16">
        <v>45092.0</v>
      </c>
      <c r="C496" s="17">
        <v>45097.0</v>
      </c>
      <c r="D496" s="18">
        <v>72.0</v>
      </c>
      <c r="E496" s="19">
        <v>18.0</v>
      </c>
      <c r="F496" s="20">
        <v>67600.0</v>
      </c>
      <c r="G496" s="21" t="s">
        <v>2711</v>
      </c>
      <c r="H496" s="19">
        <v>5.0</v>
      </c>
      <c r="I496" s="21" t="s">
        <v>708</v>
      </c>
      <c r="J496" s="22" t="s">
        <v>2657</v>
      </c>
    </row>
    <row r="497" ht="14.25" customHeight="1">
      <c r="A497" s="15" t="s">
        <v>3207</v>
      </c>
      <c r="B497" s="16">
        <v>45092.0</v>
      </c>
      <c r="C497" s="17">
        <v>45097.0</v>
      </c>
      <c r="D497" s="18">
        <v>14.0</v>
      </c>
      <c r="E497" s="19">
        <v>8.0</v>
      </c>
      <c r="F497" s="20">
        <v>26000.0</v>
      </c>
      <c r="G497" s="21" t="s">
        <v>2711</v>
      </c>
      <c r="H497" s="19">
        <v>5.0</v>
      </c>
      <c r="I497" s="21" t="s">
        <v>854</v>
      </c>
      <c r="J497" s="22" t="s">
        <v>2662</v>
      </c>
    </row>
    <row r="498" ht="14.25" customHeight="1">
      <c r="A498" s="15" t="s">
        <v>3208</v>
      </c>
      <c r="B498" s="16">
        <v>45092.0</v>
      </c>
      <c r="C498" s="17">
        <v>45097.0</v>
      </c>
      <c r="D498" s="18">
        <v>4.0</v>
      </c>
      <c r="E498" s="19">
        <v>1.0</v>
      </c>
      <c r="F498" s="20">
        <v>12000.0</v>
      </c>
      <c r="G498" s="21" t="s">
        <v>2711</v>
      </c>
      <c r="H498" s="19">
        <v>4.0</v>
      </c>
      <c r="I498" s="21" t="s">
        <v>2057</v>
      </c>
      <c r="J498" s="22" t="s">
        <v>2617</v>
      </c>
    </row>
    <row r="499" ht="14.25" customHeight="1">
      <c r="A499" s="15" t="s">
        <v>3209</v>
      </c>
      <c r="B499" s="16">
        <v>45092.0</v>
      </c>
      <c r="C499" s="17">
        <v>45096.0</v>
      </c>
      <c r="D499" s="18">
        <v>5.0</v>
      </c>
      <c r="E499" s="19">
        <v>3.0</v>
      </c>
      <c r="F499" s="20">
        <v>16000.0</v>
      </c>
      <c r="G499" s="21" t="s">
        <v>2711</v>
      </c>
      <c r="H499" s="19">
        <v>4.0</v>
      </c>
      <c r="I499" s="21" t="s">
        <v>783</v>
      </c>
      <c r="J499" s="22" t="s">
        <v>2532</v>
      </c>
    </row>
    <row r="500" ht="14.25" customHeight="1">
      <c r="A500" s="15" t="s">
        <v>3210</v>
      </c>
      <c r="B500" s="16">
        <v>45092.0</v>
      </c>
      <c r="C500" s="17">
        <v>45095.0</v>
      </c>
      <c r="D500" s="18">
        <v>6.0</v>
      </c>
      <c r="E500" s="19">
        <v>1.0</v>
      </c>
      <c r="F500" s="20">
        <v>12000.0</v>
      </c>
      <c r="G500" s="21" t="s">
        <v>2711</v>
      </c>
      <c r="H500" s="19">
        <v>5.0</v>
      </c>
      <c r="I500" s="21" t="s">
        <v>1145</v>
      </c>
      <c r="J500" s="22" t="s">
        <v>2567</v>
      </c>
    </row>
    <row r="501" ht="14.25" customHeight="1">
      <c r="A501" s="15" t="s">
        <v>3211</v>
      </c>
      <c r="B501" s="16">
        <v>45093.0</v>
      </c>
      <c r="C501" s="17">
        <v>45095.0</v>
      </c>
      <c r="D501" s="18">
        <v>1.0</v>
      </c>
      <c r="E501" s="19">
        <v>2.0</v>
      </c>
      <c r="F501" s="20">
        <v>14000.0</v>
      </c>
      <c r="G501" s="21" t="s">
        <v>2711</v>
      </c>
      <c r="H501" s="19">
        <v>5.0</v>
      </c>
      <c r="I501" s="21" t="s">
        <v>1184</v>
      </c>
      <c r="J501" s="22" t="s">
        <v>2577</v>
      </c>
    </row>
    <row r="502" ht="14.25" customHeight="1">
      <c r="A502" s="15" t="s">
        <v>3212</v>
      </c>
      <c r="B502" s="16">
        <v>45093.0</v>
      </c>
      <c r="C502" s="17">
        <v>45094.0</v>
      </c>
      <c r="D502" s="18">
        <v>4.0</v>
      </c>
      <c r="E502" s="19">
        <v>3.0</v>
      </c>
      <c r="F502" s="20">
        <v>16000.0</v>
      </c>
      <c r="G502" s="21" t="s">
        <v>2711</v>
      </c>
      <c r="H502" s="19">
        <v>4.0</v>
      </c>
      <c r="I502" s="21" t="s">
        <v>1961</v>
      </c>
      <c r="J502" s="22" t="s">
        <v>2622</v>
      </c>
    </row>
    <row r="503" ht="14.25" customHeight="1">
      <c r="A503" s="15" t="s">
        <v>3213</v>
      </c>
      <c r="B503" s="16">
        <v>45093.0</v>
      </c>
      <c r="C503" s="17">
        <v>45095.0</v>
      </c>
      <c r="D503" s="18">
        <v>1.0</v>
      </c>
      <c r="E503" s="19">
        <v>1.0</v>
      </c>
      <c r="F503" s="20">
        <v>12000.0</v>
      </c>
      <c r="G503" s="21" t="s">
        <v>2711</v>
      </c>
      <c r="H503" s="19">
        <v>4.0</v>
      </c>
      <c r="I503" s="21" t="s">
        <v>834</v>
      </c>
      <c r="J503" s="22" t="s">
        <v>2577</v>
      </c>
    </row>
    <row r="504" ht="14.25" customHeight="1">
      <c r="A504" s="15" t="s">
        <v>3214</v>
      </c>
      <c r="B504" s="16">
        <v>45093.0</v>
      </c>
      <c r="C504" s="17">
        <v>45095.0</v>
      </c>
      <c r="D504" s="18">
        <v>2.0</v>
      </c>
      <c r="E504" s="19">
        <v>1.0</v>
      </c>
      <c r="F504" s="20">
        <v>12000.0</v>
      </c>
      <c r="G504" s="21" t="s">
        <v>2711</v>
      </c>
      <c r="H504" s="19">
        <v>5.0</v>
      </c>
      <c r="I504" s="21" t="s">
        <v>1105</v>
      </c>
      <c r="J504" s="22" t="s">
        <v>2632</v>
      </c>
    </row>
    <row r="505" ht="14.25" customHeight="1">
      <c r="A505" s="15" t="s">
        <v>3215</v>
      </c>
      <c r="B505" s="16">
        <v>45093.0</v>
      </c>
      <c r="C505" s="17">
        <v>45095.0</v>
      </c>
      <c r="D505" s="18">
        <v>6.0</v>
      </c>
      <c r="E505" s="19">
        <v>3.0</v>
      </c>
      <c r="F505" s="20">
        <v>16000.0</v>
      </c>
      <c r="G505" s="21" t="s">
        <v>2711</v>
      </c>
      <c r="H505" s="19">
        <v>5.0</v>
      </c>
      <c r="I505" s="21" t="s">
        <v>914</v>
      </c>
      <c r="J505" s="22" t="s">
        <v>2677</v>
      </c>
    </row>
    <row r="506" ht="14.25" customHeight="1">
      <c r="A506" s="15" t="s">
        <v>3216</v>
      </c>
      <c r="B506" s="16">
        <v>45093.0</v>
      </c>
      <c r="C506" s="17">
        <v>45098.0</v>
      </c>
      <c r="D506" s="18">
        <v>4.0</v>
      </c>
      <c r="E506" s="19">
        <v>2.0</v>
      </c>
      <c r="F506" s="20">
        <v>14000.0</v>
      </c>
      <c r="G506" s="21" t="s">
        <v>2747</v>
      </c>
      <c r="H506" s="21"/>
      <c r="I506" s="21" t="s">
        <v>1101</v>
      </c>
      <c r="J506" s="22" t="s">
        <v>2652</v>
      </c>
    </row>
    <row r="507" ht="14.25" customHeight="1">
      <c r="A507" s="15" t="s">
        <v>3217</v>
      </c>
      <c r="B507" s="16">
        <v>45093.0</v>
      </c>
      <c r="C507" s="17">
        <v>45094.0</v>
      </c>
      <c r="D507" s="18">
        <v>2.0</v>
      </c>
      <c r="E507" s="19">
        <v>3.0</v>
      </c>
      <c r="F507" s="20">
        <v>16000.0</v>
      </c>
      <c r="G507" s="21" t="s">
        <v>2711</v>
      </c>
      <c r="H507" s="19">
        <v>4.0</v>
      </c>
      <c r="I507" s="21" t="s">
        <v>82</v>
      </c>
      <c r="J507" s="22" t="s">
        <v>2547</v>
      </c>
    </row>
    <row r="508" ht="14.25" customHeight="1">
      <c r="A508" s="15" t="s">
        <v>3218</v>
      </c>
      <c r="B508" s="16">
        <v>45093.0</v>
      </c>
      <c r="C508" s="17">
        <v>45098.0</v>
      </c>
      <c r="D508" s="18">
        <v>3.0</v>
      </c>
      <c r="E508" s="19">
        <v>1.0</v>
      </c>
      <c r="F508" s="20">
        <v>12000.0</v>
      </c>
      <c r="G508" s="21" t="s">
        <v>2711</v>
      </c>
      <c r="H508" s="19">
        <v>5.0</v>
      </c>
      <c r="I508" s="21" t="s">
        <v>1830</v>
      </c>
      <c r="J508" s="22" t="s">
        <v>2612</v>
      </c>
    </row>
    <row r="509" ht="14.25" customHeight="1">
      <c r="A509" s="15" t="s">
        <v>3219</v>
      </c>
      <c r="B509" s="16">
        <v>45093.0</v>
      </c>
      <c r="C509" s="17">
        <v>45095.0</v>
      </c>
      <c r="D509" s="18">
        <v>4.0</v>
      </c>
      <c r="E509" s="19">
        <v>2.0</v>
      </c>
      <c r="F509" s="20">
        <v>14000.0</v>
      </c>
      <c r="G509" s="21" t="s">
        <v>2711</v>
      </c>
      <c r="H509" s="19">
        <v>4.0</v>
      </c>
      <c r="I509" s="21" t="s">
        <v>1328</v>
      </c>
      <c r="J509" s="22" t="s">
        <v>2527</v>
      </c>
    </row>
    <row r="510" ht="14.25" customHeight="1">
      <c r="A510" s="15" t="s">
        <v>3220</v>
      </c>
      <c r="B510" s="16">
        <v>45093.0</v>
      </c>
      <c r="C510" s="17">
        <v>45094.0</v>
      </c>
      <c r="D510" s="18">
        <v>15.0</v>
      </c>
      <c r="E510" s="19">
        <v>10.0</v>
      </c>
      <c r="F510" s="20">
        <v>34500.0</v>
      </c>
      <c r="G510" s="21" t="s">
        <v>2711</v>
      </c>
      <c r="H510" s="19">
        <v>4.0</v>
      </c>
      <c r="I510" s="21" t="s">
        <v>2259</v>
      </c>
      <c r="J510" s="22" t="s">
        <v>2537</v>
      </c>
    </row>
    <row r="511" ht="14.25" customHeight="1">
      <c r="A511" s="15" t="s">
        <v>3221</v>
      </c>
      <c r="B511" s="16">
        <v>45093.0</v>
      </c>
      <c r="C511" s="17">
        <v>45098.0</v>
      </c>
      <c r="D511" s="18">
        <v>8.0</v>
      </c>
      <c r="E511" s="19">
        <v>8.0</v>
      </c>
      <c r="F511" s="20">
        <v>26000.0</v>
      </c>
      <c r="G511" s="21" t="s">
        <v>2711</v>
      </c>
      <c r="H511" s="19">
        <v>5.0</v>
      </c>
      <c r="I511" s="21" t="s">
        <v>1244</v>
      </c>
      <c r="J511" s="22" t="s">
        <v>2697</v>
      </c>
    </row>
    <row r="512" ht="14.25" customHeight="1">
      <c r="A512" s="15" t="s">
        <v>3222</v>
      </c>
      <c r="B512" s="16">
        <v>45093.0</v>
      </c>
      <c r="C512" s="17">
        <v>45097.0</v>
      </c>
      <c r="D512" s="18">
        <v>5.0</v>
      </c>
      <c r="E512" s="19">
        <v>3.0</v>
      </c>
      <c r="F512" s="20">
        <v>16000.0</v>
      </c>
      <c r="G512" s="21" t="s">
        <v>2711</v>
      </c>
      <c r="H512" s="19">
        <v>5.0</v>
      </c>
      <c r="I512" s="21" t="s">
        <v>2212</v>
      </c>
      <c r="J512" s="22" t="s">
        <v>2677</v>
      </c>
    </row>
    <row r="513" ht="14.25" customHeight="1">
      <c r="A513" s="15" t="s">
        <v>3223</v>
      </c>
      <c r="B513" s="16">
        <v>45093.0</v>
      </c>
      <c r="C513" s="17">
        <v>45096.0</v>
      </c>
      <c r="D513" s="18">
        <v>6.0</v>
      </c>
      <c r="E513" s="19">
        <v>2.0</v>
      </c>
      <c r="F513" s="20">
        <v>14000.0</v>
      </c>
      <c r="G513" s="21" t="s">
        <v>2711</v>
      </c>
      <c r="H513" s="19">
        <v>4.0</v>
      </c>
      <c r="I513" s="21" t="s">
        <v>1826</v>
      </c>
      <c r="J513" s="22" t="s">
        <v>2567</v>
      </c>
    </row>
    <row r="514" ht="14.25" customHeight="1">
      <c r="A514" s="15" t="s">
        <v>3224</v>
      </c>
      <c r="B514" s="16">
        <v>45093.0</v>
      </c>
      <c r="C514" s="17">
        <v>45098.0</v>
      </c>
      <c r="D514" s="18">
        <v>1.0</v>
      </c>
      <c r="E514" s="19">
        <v>1.0</v>
      </c>
      <c r="F514" s="20">
        <v>12000.0</v>
      </c>
      <c r="G514" s="21" t="s">
        <v>2711</v>
      </c>
      <c r="H514" s="19">
        <v>5.0</v>
      </c>
      <c r="I514" s="21" t="s">
        <v>1922</v>
      </c>
      <c r="J514" s="22" t="s">
        <v>2567</v>
      </c>
    </row>
    <row r="515" ht="14.25" customHeight="1">
      <c r="A515" s="15" t="s">
        <v>3225</v>
      </c>
      <c r="B515" s="16">
        <v>45093.0</v>
      </c>
      <c r="C515" s="17">
        <v>45097.0</v>
      </c>
      <c r="D515" s="18">
        <v>5.0</v>
      </c>
      <c r="E515" s="19">
        <v>1.0</v>
      </c>
      <c r="F515" s="20">
        <v>12000.0</v>
      </c>
      <c r="G515" s="21" t="s">
        <v>2711</v>
      </c>
      <c r="H515" s="19">
        <v>4.0</v>
      </c>
      <c r="I515" s="21" t="s">
        <v>1105</v>
      </c>
      <c r="J515" s="22" t="s">
        <v>2647</v>
      </c>
    </row>
    <row r="516" ht="14.25" customHeight="1">
      <c r="A516" s="15" t="s">
        <v>3226</v>
      </c>
      <c r="B516" s="16">
        <v>45093.0</v>
      </c>
      <c r="C516" s="17">
        <v>45094.0</v>
      </c>
      <c r="D516" s="18">
        <v>10.0</v>
      </c>
      <c r="E516" s="19">
        <v>5.0</v>
      </c>
      <c r="F516" s="30"/>
      <c r="G516" s="21" t="s">
        <v>2711</v>
      </c>
      <c r="H516" s="19">
        <v>5.0</v>
      </c>
      <c r="I516" s="21" t="s">
        <v>2049</v>
      </c>
      <c r="J516" s="22" t="s">
        <v>2662</v>
      </c>
    </row>
    <row r="517" ht="14.25" customHeight="1">
      <c r="A517" s="15" t="s">
        <v>3227</v>
      </c>
      <c r="B517" s="16">
        <v>45093.0</v>
      </c>
      <c r="C517" s="17">
        <v>45094.0</v>
      </c>
      <c r="D517" s="18">
        <v>2.0</v>
      </c>
      <c r="E517" s="19">
        <v>3.0</v>
      </c>
      <c r="F517" s="20">
        <v>16000.0</v>
      </c>
      <c r="G517" s="21" t="s">
        <v>2711</v>
      </c>
      <c r="H517" s="19">
        <v>5.0</v>
      </c>
      <c r="I517" s="21" t="s">
        <v>874</v>
      </c>
      <c r="J517" s="22" t="s">
        <v>2602</v>
      </c>
    </row>
    <row r="518" ht="14.25" customHeight="1">
      <c r="A518" s="15" t="s">
        <v>3228</v>
      </c>
      <c r="B518" s="16">
        <v>45093.0</v>
      </c>
      <c r="C518" s="17">
        <v>45094.0</v>
      </c>
      <c r="D518" s="18">
        <v>17.0</v>
      </c>
      <c r="E518" s="19">
        <v>4.0</v>
      </c>
      <c r="F518" s="20">
        <v>23100.0</v>
      </c>
      <c r="G518" s="21" t="s">
        <v>2711</v>
      </c>
      <c r="H518" s="19">
        <v>4.0</v>
      </c>
      <c r="I518" s="21" t="s">
        <v>454</v>
      </c>
      <c r="J518" s="22" t="s">
        <v>2672</v>
      </c>
    </row>
    <row r="519" ht="14.25" customHeight="1">
      <c r="A519" s="15" t="s">
        <v>3229</v>
      </c>
      <c r="B519" s="16">
        <v>45093.0</v>
      </c>
      <c r="C519" s="17">
        <v>45096.0</v>
      </c>
      <c r="D519" s="18">
        <v>16.0</v>
      </c>
      <c r="E519" s="19">
        <v>6.0</v>
      </c>
      <c r="F519" s="20">
        <v>26800.0</v>
      </c>
      <c r="G519" s="21" t="s">
        <v>2711</v>
      </c>
      <c r="H519" s="19">
        <v>5.0</v>
      </c>
      <c r="I519" s="21" t="s">
        <v>2302</v>
      </c>
      <c r="J519" s="22" t="s">
        <v>2627</v>
      </c>
    </row>
    <row r="520" ht="14.25" customHeight="1">
      <c r="A520" s="15" t="s">
        <v>3230</v>
      </c>
      <c r="B520" s="16">
        <v>45093.0</v>
      </c>
      <c r="C520" s="17">
        <v>45097.0</v>
      </c>
      <c r="D520" s="18">
        <v>3.0</v>
      </c>
      <c r="E520" s="19">
        <v>2.0</v>
      </c>
      <c r="F520" s="20">
        <v>14000.0</v>
      </c>
      <c r="G520" s="21" t="s">
        <v>2711</v>
      </c>
      <c r="H520" s="19">
        <v>4.0</v>
      </c>
      <c r="I520" s="21" t="s">
        <v>557</v>
      </c>
      <c r="J520" s="22" t="s">
        <v>2582</v>
      </c>
    </row>
    <row r="521" ht="14.25" customHeight="1">
      <c r="A521" s="15" t="s">
        <v>3231</v>
      </c>
      <c r="B521" s="16">
        <v>45093.0</v>
      </c>
      <c r="C521" s="17">
        <v>45095.0</v>
      </c>
      <c r="D521" s="18">
        <v>4.0</v>
      </c>
      <c r="E521" s="19">
        <v>2.0</v>
      </c>
      <c r="F521" s="20">
        <v>14000.0</v>
      </c>
      <c r="G521" s="21" t="s">
        <v>2711</v>
      </c>
      <c r="H521" s="19">
        <v>4.0</v>
      </c>
      <c r="I521" s="21" t="s">
        <v>226</v>
      </c>
      <c r="J521" s="22" t="s">
        <v>2597</v>
      </c>
    </row>
    <row r="522" ht="14.25" customHeight="1">
      <c r="A522" s="15" t="s">
        <v>3232</v>
      </c>
      <c r="B522" s="16">
        <v>45093.0</v>
      </c>
      <c r="C522" s="17">
        <v>45097.0</v>
      </c>
      <c r="D522" s="18">
        <v>10.0</v>
      </c>
      <c r="E522" s="19">
        <v>7.0</v>
      </c>
      <c r="F522" s="20">
        <v>24000.0</v>
      </c>
      <c r="G522" s="21" t="s">
        <v>2711</v>
      </c>
      <c r="H522" s="19">
        <v>4.0</v>
      </c>
      <c r="I522" s="21" t="s">
        <v>2271</v>
      </c>
      <c r="J522" s="22" t="s">
        <v>2607</v>
      </c>
    </row>
    <row r="523" ht="14.25" customHeight="1">
      <c r="A523" s="15" t="s">
        <v>3233</v>
      </c>
      <c r="B523" s="16">
        <v>45093.0</v>
      </c>
      <c r="C523" s="17">
        <v>45094.0</v>
      </c>
      <c r="D523" s="18">
        <v>5.0</v>
      </c>
      <c r="E523" s="19">
        <v>2.0</v>
      </c>
      <c r="F523" s="20">
        <v>14000.0</v>
      </c>
      <c r="G523" s="21" t="s">
        <v>2711</v>
      </c>
      <c r="H523" s="19">
        <v>5.0</v>
      </c>
      <c r="I523" s="21" t="s">
        <v>1212</v>
      </c>
      <c r="J523" s="22" t="s">
        <v>2567</v>
      </c>
    </row>
    <row r="524" ht="14.25" customHeight="1">
      <c r="A524" s="15" t="s">
        <v>3234</v>
      </c>
      <c r="B524" s="16">
        <v>45093.0</v>
      </c>
      <c r="C524" s="17">
        <v>45096.0</v>
      </c>
      <c r="D524" s="18">
        <v>1.0</v>
      </c>
      <c r="E524" s="19">
        <v>2.0</v>
      </c>
      <c r="F524" s="20">
        <v>14000.0</v>
      </c>
      <c r="G524" s="21" t="s">
        <v>2711</v>
      </c>
      <c r="H524" s="19">
        <v>4.0</v>
      </c>
      <c r="I524" s="21" t="s">
        <v>2220</v>
      </c>
      <c r="J524" s="22" t="s">
        <v>2622</v>
      </c>
    </row>
    <row r="525" ht="14.25" customHeight="1">
      <c r="A525" s="15" t="s">
        <v>3235</v>
      </c>
      <c r="B525" s="16">
        <v>45093.0</v>
      </c>
      <c r="C525" s="17">
        <v>45097.0</v>
      </c>
      <c r="D525" s="18">
        <v>14.0</v>
      </c>
      <c r="E525" s="19">
        <v>4.0</v>
      </c>
      <c r="F525" s="20">
        <v>18000.0</v>
      </c>
      <c r="G525" s="21" t="s">
        <v>2711</v>
      </c>
      <c r="H525" s="19">
        <v>4.0</v>
      </c>
      <c r="I525" s="21" t="s">
        <v>2009</v>
      </c>
      <c r="J525" s="22" t="s">
        <v>2484</v>
      </c>
    </row>
    <row r="526" ht="14.25" customHeight="1">
      <c r="A526" s="15" t="s">
        <v>3236</v>
      </c>
      <c r="B526" s="16">
        <v>45093.0</v>
      </c>
      <c r="C526" s="17">
        <v>45095.0</v>
      </c>
      <c r="D526" s="18">
        <v>8.0</v>
      </c>
      <c r="E526" s="19">
        <v>7.0</v>
      </c>
      <c r="F526" s="20">
        <v>24000.0</v>
      </c>
      <c r="G526" s="21" t="s">
        <v>2711</v>
      </c>
      <c r="H526" s="19">
        <v>4.0</v>
      </c>
      <c r="I526" s="21" t="s">
        <v>1340</v>
      </c>
      <c r="J526" s="22" t="s">
        <v>2637</v>
      </c>
    </row>
    <row r="527" ht="14.25" customHeight="1">
      <c r="A527" s="15" t="s">
        <v>3237</v>
      </c>
      <c r="B527" s="17">
        <v>45094.0</v>
      </c>
      <c r="C527" s="17">
        <f>B527 + RANDBETWEEN(1,5)</f>
        <v>45099</v>
      </c>
      <c r="D527" s="18">
        <v>2.0</v>
      </c>
      <c r="E527" s="19">
        <v>2.0</v>
      </c>
      <c r="F527" s="20">
        <v>14000.0</v>
      </c>
      <c r="G527" s="21" t="s">
        <v>2711</v>
      </c>
      <c r="H527" s="19">
        <v>4.0</v>
      </c>
      <c r="I527" s="21" t="s">
        <v>958</v>
      </c>
      <c r="J527" s="22" t="s">
        <v>2632</v>
      </c>
    </row>
    <row r="528" ht="14.25" customHeight="1">
      <c r="A528" s="15" t="s">
        <v>3238</v>
      </c>
      <c r="B528" s="16">
        <v>45094.0</v>
      </c>
      <c r="C528" s="17">
        <v>45098.0</v>
      </c>
      <c r="D528" s="18">
        <v>6.0</v>
      </c>
      <c r="E528" s="19">
        <v>2.0</v>
      </c>
      <c r="F528" s="20">
        <v>14000.0</v>
      </c>
      <c r="G528" s="21" t="s">
        <v>2711</v>
      </c>
      <c r="H528" s="19">
        <v>4.0</v>
      </c>
      <c r="I528" s="21" t="s">
        <v>54</v>
      </c>
      <c r="J528" s="22" t="s">
        <v>2532</v>
      </c>
    </row>
    <row r="529" ht="14.25" customHeight="1">
      <c r="A529" s="15" t="s">
        <v>3239</v>
      </c>
      <c r="B529" s="16">
        <v>45094.0</v>
      </c>
      <c r="C529" s="17">
        <v>45097.0</v>
      </c>
      <c r="D529" s="18">
        <v>5.0</v>
      </c>
      <c r="E529" s="19">
        <v>1.0</v>
      </c>
      <c r="F529" s="20">
        <v>12000.0</v>
      </c>
      <c r="G529" s="21" t="s">
        <v>2711</v>
      </c>
      <c r="H529" s="19">
        <v>4.0</v>
      </c>
      <c r="I529" s="21" t="s">
        <v>1304</v>
      </c>
      <c r="J529" s="22" t="s">
        <v>2652</v>
      </c>
    </row>
    <row r="530" ht="14.25" customHeight="1">
      <c r="A530" s="15" t="s">
        <v>3240</v>
      </c>
      <c r="B530" s="16">
        <v>45094.0</v>
      </c>
      <c r="C530" s="17">
        <v>45096.0</v>
      </c>
      <c r="D530" s="18">
        <v>2.0</v>
      </c>
      <c r="E530" s="19">
        <v>3.0</v>
      </c>
      <c r="F530" s="20">
        <v>16000.0</v>
      </c>
      <c r="G530" s="21" t="s">
        <v>2711</v>
      </c>
      <c r="H530" s="19">
        <v>5.0</v>
      </c>
      <c r="I530" s="21" t="s">
        <v>1053</v>
      </c>
      <c r="J530" s="22" t="s">
        <v>2516</v>
      </c>
    </row>
    <row r="531" ht="14.25" customHeight="1">
      <c r="A531" s="15" t="s">
        <v>3241</v>
      </c>
      <c r="B531" s="16">
        <v>45094.0</v>
      </c>
      <c r="C531" s="17">
        <v>45095.0</v>
      </c>
      <c r="D531" s="18">
        <v>1.0</v>
      </c>
      <c r="E531" s="19">
        <v>3.0</v>
      </c>
      <c r="F531" s="20">
        <v>16000.0</v>
      </c>
      <c r="G531" s="21" t="s">
        <v>2711</v>
      </c>
      <c r="H531" s="19">
        <v>5.0</v>
      </c>
      <c r="I531" s="21" t="s">
        <v>1906</v>
      </c>
      <c r="J531" s="22" t="s">
        <v>2532</v>
      </c>
    </row>
    <row r="532" ht="14.25" customHeight="1">
      <c r="A532" s="15" t="s">
        <v>3242</v>
      </c>
      <c r="B532" s="16">
        <v>45094.0</v>
      </c>
      <c r="C532" s="17">
        <v>45097.0</v>
      </c>
      <c r="D532" s="18">
        <v>16.0</v>
      </c>
      <c r="E532" s="19">
        <v>4.0</v>
      </c>
      <c r="F532" s="20">
        <v>22800.0</v>
      </c>
      <c r="G532" s="21" t="s">
        <v>2711</v>
      </c>
      <c r="H532" s="19">
        <v>5.0</v>
      </c>
      <c r="I532" s="21" t="s">
        <v>198</v>
      </c>
      <c r="J532" s="22" t="s">
        <v>2484</v>
      </c>
    </row>
    <row r="533" ht="14.25" customHeight="1">
      <c r="A533" s="15" t="s">
        <v>3243</v>
      </c>
      <c r="B533" s="16">
        <v>45094.0</v>
      </c>
      <c r="C533" s="17">
        <v>45096.0</v>
      </c>
      <c r="D533" s="18">
        <v>5.0</v>
      </c>
      <c r="E533" s="19">
        <v>3.0</v>
      </c>
      <c r="F533" s="20">
        <v>16000.0</v>
      </c>
      <c r="G533" s="21" t="s">
        <v>2711</v>
      </c>
      <c r="H533" s="19">
        <v>4.0</v>
      </c>
      <c r="I533" s="21" t="s">
        <v>2208</v>
      </c>
      <c r="J533" s="22" t="s">
        <v>2567</v>
      </c>
    </row>
    <row r="534" ht="14.25" customHeight="1">
      <c r="A534" s="15" t="s">
        <v>3244</v>
      </c>
      <c r="B534" s="16">
        <v>45094.0</v>
      </c>
      <c r="C534" s="17">
        <v>45098.0</v>
      </c>
      <c r="D534" s="18">
        <v>6.0</v>
      </c>
      <c r="E534" s="19">
        <v>2.0</v>
      </c>
      <c r="F534" s="20">
        <v>14000.0</v>
      </c>
      <c r="G534" s="21" t="s">
        <v>2711</v>
      </c>
      <c r="H534" s="19">
        <v>5.0</v>
      </c>
      <c r="I534" s="21" t="s">
        <v>2271</v>
      </c>
      <c r="J534" s="22" t="s">
        <v>2622</v>
      </c>
    </row>
    <row r="535" ht="14.25" customHeight="1">
      <c r="A535" s="15" t="s">
        <v>3245</v>
      </c>
      <c r="B535" s="16">
        <v>45094.0</v>
      </c>
      <c r="C535" s="17">
        <v>45096.0</v>
      </c>
      <c r="D535" s="18">
        <v>16.0</v>
      </c>
      <c r="E535" s="19">
        <v>7.0</v>
      </c>
      <c r="F535" s="20">
        <v>28800.0</v>
      </c>
      <c r="G535" s="21" t="s">
        <v>2711</v>
      </c>
      <c r="H535" s="19">
        <v>4.0</v>
      </c>
      <c r="I535" s="21" t="s">
        <v>1061</v>
      </c>
      <c r="J535" s="22" t="s">
        <v>2637</v>
      </c>
    </row>
    <row r="536" ht="14.25" customHeight="1">
      <c r="A536" s="15" t="s">
        <v>3246</v>
      </c>
      <c r="B536" s="16">
        <v>45094.0</v>
      </c>
      <c r="C536" s="17">
        <v>45098.0</v>
      </c>
      <c r="D536" s="18">
        <v>2.0</v>
      </c>
      <c r="E536" s="19">
        <v>2.0</v>
      </c>
      <c r="F536" s="20">
        <v>14000.0</v>
      </c>
      <c r="G536" s="21" t="s">
        <v>2711</v>
      </c>
      <c r="H536" s="19">
        <v>4.0</v>
      </c>
      <c r="I536" s="21" t="s">
        <v>1133</v>
      </c>
      <c r="J536" s="22" t="s">
        <v>2557</v>
      </c>
    </row>
    <row r="537" ht="14.25" customHeight="1">
      <c r="A537" s="15" t="s">
        <v>3247</v>
      </c>
      <c r="B537" s="16">
        <v>45094.0</v>
      </c>
      <c r="C537" s="17">
        <v>45095.0</v>
      </c>
      <c r="D537" s="18">
        <v>4.0</v>
      </c>
      <c r="E537" s="19">
        <v>1.0</v>
      </c>
      <c r="F537" s="20">
        <v>12000.0</v>
      </c>
      <c r="G537" s="21" t="s">
        <v>2711</v>
      </c>
      <c r="H537" s="19">
        <v>4.0</v>
      </c>
      <c r="I537" s="21" t="s">
        <v>438</v>
      </c>
      <c r="J537" s="22" t="s">
        <v>2511</v>
      </c>
    </row>
    <row r="538" ht="14.25" customHeight="1">
      <c r="A538" s="15" t="s">
        <v>3248</v>
      </c>
      <c r="B538" s="16">
        <v>45094.0</v>
      </c>
      <c r="C538" s="17">
        <v>45097.0</v>
      </c>
      <c r="D538" s="18">
        <v>3.0</v>
      </c>
      <c r="E538" s="19">
        <v>3.0</v>
      </c>
      <c r="F538" s="20">
        <v>16000.0</v>
      </c>
      <c r="G538" s="21" t="s">
        <v>2711</v>
      </c>
      <c r="H538" s="19">
        <v>5.0</v>
      </c>
      <c r="I538" s="21" t="s">
        <v>446</v>
      </c>
      <c r="J538" s="22" t="s">
        <v>2496</v>
      </c>
    </row>
    <row r="539" ht="14.25" customHeight="1">
      <c r="A539" s="15" t="s">
        <v>3249</v>
      </c>
      <c r="B539" s="16">
        <v>45094.0</v>
      </c>
      <c r="C539" s="17">
        <v>45099.0</v>
      </c>
      <c r="D539" s="18">
        <v>2.0</v>
      </c>
      <c r="E539" s="19">
        <v>2.0</v>
      </c>
      <c r="F539" s="20">
        <v>14000.0</v>
      </c>
      <c r="G539" s="21" t="s">
        <v>2711</v>
      </c>
      <c r="H539" s="19">
        <v>5.0</v>
      </c>
      <c r="I539" s="21" t="s">
        <v>262</v>
      </c>
      <c r="J539" s="22" t="s">
        <v>2516</v>
      </c>
    </row>
    <row r="540" ht="14.25" customHeight="1">
      <c r="A540" s="15" t="s">
        <v>3250</v>
      </c>
      <c r="B540" s="16">
        <v>45094.0</v>
      </c>
      <c r="C540" s="17">
        <v>45099.0</v>
      </c>
      <c r="D540" s="18">
        <v>6.0</v>
      </c>
      <c r="E540" s="19">
        <v>1.0</v>
      </c>
      <c r="F540" s="20">
        <v>12000.0</v>
      </c>
      <c r="G540" s="21" t="s">
        <v>2711</v>
      </c>
      <c r="H540" s="19">
        <v>5.0</v>
      </c>
      <c r="I540" s="21" t="s">
        <v>704</v>
      </c>
      <c r="J540" s="22" t="s">
        <v>2652</v>
      </c>
    </row>
    <row r="541" ht="14.25" customHeight="1">
      <c r="A541" s="15" t="s">
        <v>3251</v>
      </c>
      <c r="B541" s="16">
        <v>45094.0</v>
      </c>
      <c r="C541" s="17">
        <v>45096.0</v>
      </c>
      <c r="D541" s="18">
        <v>2.0</v>
      </c>
      <c r="E541" s="19">
        <v>1.0</v>
      </c>
      <c r="F541" s="20">
        <v>12000.0</v>
      </c>
      <c r="G541" s="21" t="s">
        <v>2711</v>
      </c>
      <c r="H541" s="19">
        <v>5.0</v>
      </c>
      <c r="I541" s="21" t="s">
        <v>997</v>
      </c>
      <c r="J541" s="22" t="s">
        <v>2682</v>
      </c>
    </row>
    <row r="542" ht="14.25" customHeight="1">
      <c r="A542" s="15" t="s">
        <v>3252</v>
      </c>
      <c r="B542" s="16">
        <v>45094.0</v>
      </c>
      <c r="C542" s="17">
        <v>45098.0</v>
      </c>
      <c r="D542" s="18">
        <v>18.0</v>
      </c>
      <c r="E542" s="19">
        <v>9.0</v>
      </c>
      <c r="F542" s="20">
        <v>33400.0</v>
      </c>
      <c r="G542" s="21" t="s">
        <v>2711</v>
      </c>
      <c r="H542" s="19">
        <v>4.0</v>
      </c>
      <c r="I542" s="21" t="s">
        <v>1304</v>
      </c>
      <c r="J542" s="22" t="s">
        <v>2627</v>
      </c>
    </row>
    <row r="543" ht="14.25" customHeight="1">
      <c r="A543" s="15" t="s">
        <v>3253</v>
      </c>
      <c r="B543" s="16">
        <v>45094.0</v>
      </c>
      <c r="C543" s="17">
        <v>45095.0</v>
      </c>
      <c r="D543" s="18">
        <v>5.0</v>
      </c>
      <c r="E543" s="19">
        <v>1.0</v>
      </c>
      <c r="F543" s="20">
        <v>12000.0</v>
      </c>
      <c r="G543" s="21" t="s">
        <v>2711</v>
      </c>
      <c r="H543" s="19">
        <v>4.0</v>
      </c>
      <c r="I543" s="21" t="s">
        <v>294</v>
      </c>
      <c r="J543" s="22" t="s">
        <v>2692</v>
      </c>
    </row>
    <row r="544" ht="14.25" customHeight="1">
      <c r="A544" s="15" t="s">
        <v>3254</v>
      </c>
      <c r="B544" s="16">
        <v>45094.0</v>
      </c>
      <c r="C544" s="17">
        <v>45097.0</v>
      </c>
      <c r="D544" s="18">
        <v>3.0</v>
      </c>
      <c r="E544" s="19">
        <v>3.0</v>
      </c>
      <c r="F544" s="20">
        <v>16000.0</v>
      </c>
      <c r="G544" s="21" t="s">
        <v>2711</v>
      </c>
      <c r="H544" s="19">
        <v>5.0</v>
      </c>
      <c r="I544" s="21" t="s">
        <v>2334</v>
      </c>
      <c r="J544" s="22" t="s">
        <v>2682</v>
      </c>
    </row>
    <row r="545" ht="14.25" customHeight="1">
      <c r="A545" s="15" t="s">
        <v>3255</v>
      </c>
      <c r="B545" s="16">
        <v>45094.0</v>
      </c>
      <c r="C545" s="17">
        <v>45098.0</v>
      </c>
      <c r="D545" s="18">
        <v>9.0</v>
      </c>
      <c r="E545" s="19">
        <v>7.0</v>
      </c>
      <c r="F545" s="20">
        <v>24000.0</v>
      </c>
      <c r="G545" s="21" t="s">
        <v>2711</v>
      </c>
      <c r="H545" s="19">
        <v>4.0</v>
      </c>
      <c r="I545" s="21" t="s">
        <v>454</v>
      </c>
      <c r="J545" s="22" t="s">
        <v>2627</v>
      </c>
    </row>
    <row r="546" ht="14.25" customHeight="1">
      <c r="A546" s="15" t="s">
        <v>3256</v>
      </c>
      <c r="B546" s="16">
        <v>45094.0</v>
      </c>
      <c r="C546" s="17">
        <v>45096.0</v>
      </c>
      <c r="D546" s="18">
        <v>6.0</v>
      </c>
      <c r="E546" s="19">
        <v>3.0</v>
      </c>
      <c r="F546" s="20">
        <v>16000.0</v>
      </c>
      <c r="G546" s="21" t="s">
        <v>2711</v>
      </c>
      <c r="H546" s="19">
        <v>5.0</v>
      </c>
      <c r="I546" s="21" t="s">
        <v>314</v>
      </c>
      <c r="J546" s="22" t="s">
        <v>2490</v>
      </c>
    </row>
    <row r="547" ht="14.25" customHeight="1">
      <c r="A547" s="15" t="s">
        <v>3257</v>
      </c>
      <c r="B547" s="16">
        <v>45094.0</v>
      </c>
      <c r="C547" s="17">
        <v>45099.0</v>
      </c>
      <c r="D547" s="18">
        <v>5.0</v>
      </c>
      <c r="E547" s="19">
        <v>3.0</v>
      </c>
      <c r="F547" s="20">
        <v>16000.0</v>
      </c>
      <c r="G547" s="21" t="s">
        <v>2747</v>
      </c>
      <c r="H547" s="21"/>
      <c r="I547" s="21" t="s">
        <v>142</v>
      </c>
      <c r="J547" s="22" t="s">
        <v>2612</v>
      </c>
      <c r="K547" s="27"/>
    </row>
    <row r="548" ht="14.25" customHeight="1">
      <c r="A548" s="15" t="s">
        <v>3258</v>
      </c>
      <c r="B548" s="16">
        <v>45094.0</v>
      </c>
      <c r="C548" s="17">
        <v>45096.0</v>
      </c>
      <c r="D548" s="18">
        <v>6.0</v>
      </c>
      <c r="E548" s="19">
        <v>2.0</v>
      </c>
      <c r="F548" s="20">
        <v>14000.0</v>
      </c>
      <c r="G548" s="21" t="s">
        <v>2711</v>
      </c>
      <c r="H548" s="19">
        <v>5.0</v>
      </c>
      <c r="I548" s="21" t="s">
        <v>1248</v>
      </c>
      <c r="J548" s="22" t="s">
        <v>2557</v>
      </c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</row>
    <row r="549" ht="14.25" customHeight="1">
      <c r="A549" s="15" t="s">
        <v>3259</v>
      </c>
      <c r="B549" s="16">
        <v>45094.0</v>
      </c>
      <c r="C549" s="17">
        <v>45099.0</v>
      </c>
      <c r="D549" s="18">
        <v>5.0</v>
      </c>
      <c r="E549" s="19">
        <v>1.0</v>
      </c>
      <c r="F549" s="20">
        <v>12000.0</v>
      </c>
      <c r="G549" s="21" t="s">
        <v>2711</v>
      </c>
      <c r="H549" s="19">
        <v>5.0</v>
      </c>
      <c r="I549" s="21" t="s">
        <v>1053</v>
      </c>
      <c r="J549" s="22" t="s">
        <v>2682</v>
      </c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</row>
    <row r="550" ht="14.25" customHeight="1">
      <c r="A550" s="15" t="s">
        <v>3260</v>
      </c>
      <c r="B550" s="16">
        <v>45094.0</v>
      </c>
      <c r="C550" s="17">
        <v>45096.0</v>
      </c>
      <c r="D550" s="18">
        <v>4.0</v>
      </c>
      <c r="E550" s="19">
        <v>1.0</v>
      </c>
      <c r="F550" s="20">
        <v>12000.0</v>
      </c>
      <c r="G550" s="21" t="s">
        <v>2711</v>
      </c>
      <c r="H550" s="19">
        <v>5.0</v>
      </c>
      <c r="I550" s="21" t="s">
        <v>2116</v>
      </c>
      <c r="J550" s="22" t="s">
        <v>2567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</row>
    <row r="551" ht="14.25" customHeight="1">
      <c r="A551" s="15" t="s">
        <v>3261</v>
      </c>
      <c r="B551" s="16">
        <v>45094.0</v>
      </c>
      <c r="C551" s="17">
        <v>45096.0</v>
      </c>
      <c r="D551" s="18">
        <v>17.0</v>
      </c>
      <c r="E551" s="19">
        <v>10.0</v>
      </c>
      <c r="F551" s="20">
        <v>35100.0</v>
      </c>
      <c r="G551" s="21" t="s">
        <v>2711</v>
      </c>
      <c r="H551" s="19">
        <v>5.0</v>
      </c>
      <c r="I551" s="21" t="s">
        <v>2445</v>
      </c>
      <c r="J551" s="22" t="s">
        <v>2662</v>
      </c>
    </row>
    <row r="552" ht="14.25" customHeight="1">
      <c r="A552" s="15" t="s">
        <v>3262</v>
      </c>
      <c r="B552" s="16">
        <v>45094.0</v>
      </c>
      <c r="C552" s="17">
        <v>45095.0</v>
      </c>
      <c r="D552" s="18">
        <v>12.0</v>
      </c>
      <c r="E552" s="19">
        <v>4.0</v>
      </c>
      <c r="F552" s="20">
        <v>18000.0</v>
      </c>
      <c r="G552" s="21" t="s">
        <v>2711</v>
      </c>
      <c r="H552" s="19">
        <v>4.0</v>
      </c>
      <c r="I552" s="21" t="s">
        <v>2330</v>
      </c>
      <c r="J552" s="22" t="s">
        <v>2607</v>
      </c>
    </row>
    <row r="553" ht="14.25" customHeight="1">
      <c r="A553" s="15" t="s">
        <v>3263</v>
      </c>
      <c r="B553" s="16">
        <v>45094.0</v>
      </c>
      <c r="C553" s="17">
        <v>45095.0</v>
      </c>
      <c r="D553" s="18">
        <v>2.0</v>
      </c>
      <c r="E553" s="19">
        <v>2.0</v>
      </c>
      <c r="F553" s="20">
        <v>14000.0</v>
      </c>
      <c r="G553" s="21" t="s">
        <v>2711</v>
      </c>
      <c r="H553" s="19">
        <v>4.0</v>
      </c>
      <c r="I553" s="21" t="s">
        <v>961</v>
      </c>
      <c r="J553" s="22" t="s">
        <v>2692</v>
      </c>
    </row>
    <row r="554" ht="14.25" customHeight="1">
      <c r="A554" s="15" t="s">
        <v>3264</v>
      </c>
      <c r="B554" s="16">
        <v>45094.0</v>
      </c>
      <c r="C554" s="17">
        <v>45099.0</v>
      </c>
      <c r="D554" s="18">
        <v>3.0</v>
      </c>
      <c r="E554" s="19">
        <v>1.0</v>
      </c>
      <c r="F554" s="20">
        <v>12000.0</v>
      </c>
      <c r="G554" s="21" t="s">
        <v>2711</v>
      </c>
      <c r="H554" s="19">
        <v>5.0</v>
      </c>
      <c r="I554" s="21" t="s">
        <v>350</v>
      </c>
      <c r="J554" s="22" t="s">
        <v>2532</v>
      </c>
    </row>
    <row r="555" ht="14.25" customHeight="1">
      <c r="A555" s="15" t="s">
        <v>3265</v>
      </c>
      <c r="B555" s="16">
        <v>45094.0</v>
      </c>
      <c r="C555" s="17">
        <v>45095.0</v>
      </c>
      <c r="D555" s="18">
        <v>6.0</v>
      </c>
      <c r="E555" s="19">
        <v>3.0</v>
      </c>
      <c r="F555" s="20">
        <v>16000.0</v>
      </c>
      <c r="G555" s="21" t="s">
        <v>2711</v>
      </c>
      <c r="H555" s="19">
        <v>4.0</v>
      </c>
      <c r="I555" s="21" t="s">
        <v>1069</v>
      </c>
      <c r="J555" s="22" t="s">
        <v>2542</v>
      </c>
    </row>
    <row r="556" ht="14.25" customHeight="1">
      <c r="A556" s="15" t="s">
        <v>3266</v>
      </c>
      <c r="B556" s="16">
        <v>45094.0</v>
      </c>
      <c r="C556" s="17">
        <v>45095.0</v>
      </c>
      <c r="D556" s="18">
        <v>2.0</v>
      </c>
      <c r="E556" s="19">
        <v>1.0</v>
      </c>
      <c r="F556" s="20">
        <v>12000.0</v>
      </c>
      <c r="G556" s="21" t="s">
        <v>2711</v>
      </c>
      <c r="H556" s="19">
        <v>5.0</v>
      </c>
      <c r="I556" s="21" t="s">
        <v>1756</v>
      </c>
      <c r="J556" s="22" t="s">
        <v>2532</v>
      </c>
    </row>
    <row r="557" ht="14.25" customHeight="1">
      <c r="A557" s="15" t="s">
        <v>3267</v>
      </c>
      <c r="B557" s="16">
        <v>45094.0</v>
      </c>
      <c r="C557" s="17">
        <v>45096.0</v>
      </c>
      <c r="D557" s="18">
        <v>3.0</v>
      </c>
      <c r="E557" s="19">
        <v>1.0</v>
      </c>
      <c r="F557" s="20">
        <v>12000.0</v>
      </c>
      <c r="G557" s="21" t="s">
        <v>2711</v>
      </c>
      <c r="H557" s="19">
        <v>4.0</v>
      </c>
      <c r="I557" s="21" t="s">
        <v>2401</v>
      </c>
      <c r="J557" s="22" t="s">
        <v>2642</v>
      </c>
    </row>
    <row r="558" ht="14.25" customHeight="1">
      <c r="A558" s="15" t="s">
        <v>3268</v>
      </c>
      <c r="B558" s="16">
        <v>45094.0</v>
      </c>
      <c r="C558" s="17">
        <v>45096.0</v>
      </c>
      <c r="D558" s="18">
        <v>6.0</v>
      </c>
      <c r="E558" s="19">
        <v>3.0</v>
      </c>
      <c r="F558" s="20">
        <v>16000.0</v>
      </c>
      <c r="G558" s="21" t="s">
        <v>2711</v>
      </c>
      <c r="H558" s="19">
        <v>5.0</v>
      </c>
      <c r="I558" s="21" t="s">
        <v>2366</v>
      </c>
      <c r="J558" s="22" t="s">
        <v>2506</v>
      </c>
    </row>
    <row r="559" ht="14.25" customHeight="1">
      <c r="A559" s="15" t="s">
        <v>3269</v>
      </c>
      <c r="B559" s="16">
        <v>45094.0</v>
      </c>
      <c r="C559" s="17">
        <v>45097.0</v>
      </c>
      <c r="D559" s="18">
        <v>19.0</v>
      </c>
      <c r="E559" s="19">
        <v>9.0</v>
      </c>
      <c r="F559" s="20">
        <v>33700.0</v>
      </c>
      <c r="G559" s="21" t="s">
        <v>2711</v>
      </c>
      <c r="H559" s="19">
        <v>5.0</v>
      </c>
      <c r="I559" s="21" t="s">
        <v>834</v>
      </c>
      <c r="J559" s="22" t="s">
        <v>2637</v>
      </c>
    </row>
    <row r="560" ht="14.25" customHeight="1">
      <c r="A560" s="15" t="s">
        <v>3270</v>
      </c>
      <c r="B560" s="16">
        <v>45094.0</v>
      </c>
      <c r="C560" s="17">
        <v>45097.0</v>
      </c>
      <c r="D560" s="18">
        <v>20.0</v>
      </c>
      <c r="E560" s="19">
        <v>10.0</v>
      </c>
      <c r="F560" s="20">
        <v>36000.0</v>
      </c>
      <c r="G560" s="21" t="s">
        <v>2711</v>
      </c>
      <c r="H560" s="19">
        <v>4.0</v>
      </c>
      <c r="I560" s="21" t="s">
        <v>1933</v>
      </c>
      <c r="J560" s="22" t="s">
        <v>2537</v>
      </c>
    </row>
    <row r="561" ht="14.25" customHeight="1">
      <c r="A561" s="15" t="s">
        <v>3271</v>
      </c>
      <c r="B561" s="16">
        <v>45094.0</v>
      </c>
      <c r="C561" s="17">
        <v>45095.0</v>
      </c>
      <c r="D561" s="18">
        <v>14.0</v>
      </c>
      <c r="E561" s="19">
        <v>7.0</v>
      </c>
      <c r="F561" s="20">
        <v>24000.0</v>
      </c>
      <c r="G561" s="21" t="s">
        <v>2711</v>
      </c>
      <c r="H561" s="19">
        <v>4.0</v>
      </c>
      <c r="I561" s="21" t="s">
        <v>66</v>
      </c>
      <c r="J561" s="22" t="s">
        <v>2627</v>
      </c>
    </row>
    <row r="562" ht="14.25" customHeight="1">
      <c r="A562" s="15" t="s">
        <v>3272</v>
      </c>
      <c r="B562" s="16">
        <v>45094.0</v>
      </c>
      <c r="C562" s="17">
        <v>45096.0</v>
      </c>
      <c r="D562" s="18">
        <v>14.0</v>
      </c>
      <c r="E562" s="19">
        <v>8.0</v>
      </c>
      <c r="F562" s="20">
        <v>26000.0</v>
      </c>
      <c r="G562" s="21" t="s">
        <v>2711</v>
      </c>
      <c r="H562" s="19">
        <v>5.0</v>
      </c>
      <c r="I562" s="21" t="s">
        <v>2184</v>
      </c>
      <c r="J562" s="22" t="s">
        <v>2697</v>
      </c>
    </row>
    <row r="563" ht="14.25" customHeight="1">
      <c r="A563" s="15" t="s">
        <v>3273</v>
      </c>
      <c r="B563" s="16">
        <v>45094.0</v>
      </c>
      <c r="C563" s="17">
        <v>45097.0</v>
      </c>
      <c r="D563" s="18">
        <v>5.0</v>
      </c>
      <c r="E563" s="19">
        <v>2.0</v>
      </c>
      <c r="F563" s="20">
        <v>14000.0</v>
      </c>
      <c r="G563" s="21" t="s">
        <v>2711</v>
      </c>
      <c r="H563" s="19">
        <v>4.0</v>
      </c>
      <c r="I563" s="21" t="s">
        <v>374</v>
      </c>
      <c r="J563" s="22" t="s">
        <v>2542</v>
      </c>
    </row>
    <row r="564" ht="14.25" customHeight="1">
      <c r="A564" s="15" t="s">
        <v>3274</v>
      </c>
      <c r="B564" s="17">
        <v>45095.0</v>
      </c>
      <c r="C564" s="17">
        <f t="shared" ref="C564:C565" si="5">B564 + RANDBETWEEN(1,5)</f>
        <v>45099</v>
      </c>
      <c r="D564" s="18">
        <v>6.0</v>
      </c>
      <c r="E564" s="19">
        <v>2.0</v>
      </c>
      <c r="F564" s="20">
        <v>14000.0</v>
      </c>
      <c r="G564" s="21" t="s">
        <v>2711</v>
      </c>
      <c r="H564" s="19">
        <v>5.0</v>
      </c>
      <c r="I564" s="21" t="s">
        <v>621</v>
      </c>
      <c r="J564" s="22" t="s">
        <v>2557</v>
      </c>
    </row>
    <row r="565" ht="14.25" customHeight="1">
      <c r="A565" s="15" t="s">
        <v>3275</v>
      </c>
      <c r="B565" s="17">
        <v>45095.0</v>
      </c>
      <c r="C565" s="17">
        <f t="shared" si="5"/>
        <v>45100</v>
      </c>
      <c r="D565" s="18">
        <v>6.0</v>
      </c>
      <c r="E565" s="19">
        <v>3.0</v>
      </c>
      <c r="F565" s="20">
        <v>16000.0</v>
      </c>
      <c r="G565" s="21" t="s">
        <v>2711</v>
      </c>
      <c r="H565" s="19">
        <v>5.0</v>
      </c>
      <c r="I565" s="21" t="s">
        <v>874</v>
      </c>
      <c r="J565" s="22" t="s">
        <v>2490</v>
      </c>
    </row>
    <row r="566" ht="14.25" customHeight="1">
      <c r="A566" s="15" t="s">
        <v>3276</v>
      </c>
      <c r="B566" s="16">
        <v>45095.0</v>
      </c>
      <c r="C566" s="17">
        <v>45099.0</v>
      </c>
      <c r="D566" s="18">
        <v>1.0</v>
      </c>
      <c r="E566" s="19">
        <v>3.0</v>
      </c>
      <c r="F566" s="20">
        <v>16000.0</v>
      </c>
      <c r="G566" s="21" t="s">
        <v>2711</v>
      </c>
      <c r="H566" s="19">
        <v>5.0</v>
      </c>
      <c r="I566" s="21" t="s">
        <v>1320</v>
      </c>
      <c r="J566" s="22" t="s">
        <v>2602</v>
      </c>
    </row>
    <row r="567" ht="14.25" customHeight="1">
      <c r="A567" s="15" t="s">
        <v>3277</v>
      </c>
      <c r="B567" s="16">
        <v>45095.0</v>
      </c>
      <c r="C567" s="17">
        <v>45099.0</v>
      </c>
      <c r="D567" s="18">
        <v>5.0</v>
      </c>
      <c r="E567" s="19">
        <v>2.0</v>
      </c>
      <c r="F567" s="20">
        <v>14000.0</v>
      </c>
      <c r="G567" s="21" t="s">
        <v>2711</v>
      </c>
      <c r="H567" s="19">
        <v>5.0</v>
      </c>
      <c r="I567" s="21" t="s">
        <v>354</v>
      </c>
      <c r="J567" s="22" t="s">
        <v>2647</v>
      </c>
    </row>
    <row r="568" ht="14.25" customHeight="1">
      <c r="A568" s="15" t="s">
        <v>3278</v>
      </c>
      <c r="B568" s="16">
        <v>45095.0</v>
      </c>
      <c r="C568" s="17">
        <v>45096.0</v>
      </c>
      <c r="D568" s="18">
        <v>2.0</v>
      </c>
      <c r="E568" s="19">
        <v>3.0</v>
      </c>
      <c r="F568" s="20">
        <v>16000.0</v>
      </c>
      <c r="G568" s="21" t="s">
        <v>2711</v>
      </c>
      <c r="H568" s="19">
        <v>4.0</v>
      </c>
      <c r="I568" s="21" t="s">
        <v>2160</v>
      </c>
      <c r="J568" s="22" t="s">
        <v>2622</v>
      </c>
    </row>
    <row r="569" ht="14.25" customHeight="1">
      <c r="A569" s="15" t="s">
        <v>3279</v>
      </c>
      <c r="B569" s="16">
        <v>45095.0</v>
      </c>
      <c r="C569" s="17">
        <v>45099.0</v>
      </c>
      <c r="D569" s="18">
        <v>2.0</v>
      </c>
      <c r="E569" s="19">
        <v>2.0</v>
      </c>
      <c r="F569" s="20">
        <v>14000.0</v>
      </c>
      <c r="G569" s="21" t="s">
        <v>2711</v>
      </c>
      <c r="H569" s="19">
        <v>4.0</v>
      </c>
      <c r="I569" s="21" t="s">
        <v>803</v>
      </c>
      <c r="J569" s="22" t="s">
        <v>2622</v>
      </c>
    </row>
    <row r="570" ht="14.25" customHeight="1">
      <c r="A570" s="15" t="s">
        <v>3280</v>
      </c>
      <c r="B570" s="16">
        <v>45095.0</v>
      </c>
      <c r="C570" s="17">
        <v>45096.0</v>
      </c>
      <c r="D570" s="18">
        <v>2.0</v>
      </c>
      <c r="E570" s="19">
        <v>3.0</v>
      </c>
      <c r="F570" s="20">
        <v>16000.0</v>
      </c>
      <c r="G570" s="21" t="s">
        <v>2711</v>
      </c>
      <c r="H570" s="19">
        <v>5.0</v>
      </c>
      <c r="I570" s="21" t="s">
        <v>1740</v>
      </c>
      <c r="J570" s="22" t="s">
        <v>2612</v>
      </c>
    </row>
    <row r="571" ht="14.25" customHeight="1">
      <c r="A571" s="15" t="s">
        <v>3281</v>
      </c>
      <c r="B571" s="16">
        <v>45095.0</v>
      </c>
      <c r="C571" s="17">
        <v>45097.0</v>
      </c>
      <c r="D571" s="18">
        <v>19.0</v>
      </c>
      <c r="E571" s="19">
        <v>4.0</v>
      </c>
      <c r="F571" s="20">
        <v>23700.0</v>
      </c>
      <c r="G571" s="21" t="s">
        <v>2711</v>
      </c>
      <c r="H571" s="19">
        <v>4.0</v>
      </c>
      <c r="I571" s="21" t="s">
        <v>1192</v>
      </c>
      <c r="J571" s="22" t="s">
        <v>2484</v>
      </c>
    </row>
    <row r="572" ht="14.25" customHeight="1">
      <c r="A572" s="15" t="s">
        <v>3282</v>
      </c>
      <c r="B572" s="16">
        <v>45095.0</v>
      </c>
      <c r="C572" s="17">
        <v>45100.0</v>
      </c>
      <c r="D572" s="18">
        <v>3.0</v>
      </c>
      <c r="E572" s="19">
        <v>2.0</v>
      </c>
      <c r="F572" s="20">
        <v>14000.0</v>
      </c>
      <c r="G572" s="21" t="s">
        <v>2711</v>
      </c>
      <c r="H572" s="19">
        <v>5.0</v>
      </c>
      <c r="I572" s="21" t="s">
        <v>700</v>
      </c>
      <c r="J572" s="22" t="s">
        <v>2572</v>
      </c>
    </row>
    <row r="573" ht="14.25" customHeight="1">
      <c r="A573" s="15" t="s">
        <v>3283</v>
      </c>
      <c r="B573" s="16">
        <v>45095.0</v>
      </c>
      <c r="C573" s="17">
        <v>45096.0</v>
      </c>
      <c r="D573" s="18">
        <v>5.0</v>
      </c>
      <c r="E573" s="19">
        <v>3.0</v>
      </c>
      <c r="F573" s="20">
        <v>16000.0</v>
      </c>
      <c r="G573" s="21" t="s">
        <v>2711</v>
      </c>
      <c r="H573" s="19">
        <v>5.0</v>
      </c>
      <c r="I573" s="21" t="s">
        <v>1756</v>
      </c>
      <c r="J573" s="22" t="s">
        <v>2547</v>
      </c>
    </row>
    <row r="574" ht="14.25" customHeight="1">
      <c r="A574" s="15" t="s">
        <v>3284</v>
      </c>
      <c r="B574" s="16">
        <v>45095.0</v>
      </c>
      <c r="C574" s="17">
        <v>45096.0</v>
      </c>
      <c r="D574" s="18">
        <v>3.0</v>
      </c>
      <c r="E574" s="19">
        <v>2.0</v>
      </c>
      <c r="F574" s="20">
        <v>14000.0</v>
      </c>
      <c r="G574" s="21" t="s">
        <v>2711</v>
      </c>
      <c r="H574" s="19">
        <v>5.0</v>
      </c>
      <c r="I574" s="21" t="s">
        <v>2287</v>
      </c>
      <c r="J574" s="22" t="s">
        <v>2496</v>
      </c>
    </row>
    <row r="575" ht="14.25" customHeight="1">
      <c r="A575" s="15" t="s">
        <v>3285</v>
      </c>
      <c r="B575" s="16">
        <v>45095.0</v>
      </c>
      <c r="C575" s="17">
        <v>45099.0</v>
      </c>
      <c r="D575" s="18">
        <v>14.0</v>
      </c>
      <c r="E575" s="19">
        <v>4.0</v>
      </c>
      <c r="F575" s="20">
        <v>18000.0</v>
      </c>
      <c r="G575" s="21" t="s">
        <v>2711</v>
      </c>
      <c r="H575" s="19">
        <v>4.0</v>
      </c>
      <c r="I575" s="21" t="s">
        <v>799</v>
      </c>
      <c r="J575" s="22" t="s">
        <v>2587</v>
      </c>
    </row>
    <row r="576" ht="14.25" customHeight="1">
      <c r="A576" s="15" t="s">
        <v>3286</v>
      </c>
      <c r="B576" s="16">
        <v>45095.0</v>
      </c>
      <c r="C576" s="17">
        <v>45099.0</v>
      </c>
      <c r="D576" s="18">
        <v>4.0</v>
      </c>
      <c r="E576" s="19">
        <v>1.0</v>
      </c>
      <c r="F576" s="20">
        <v>12000.0</v>
      </c>
      <c r="G576" s="21" t="s">
        <v>2711</v>
      </c>
      <c r="H576" s="19">
        <v>5.0</v>
      </c>
      <c r="I576" s="21" t="s">
        <v>442</v>
      </c>
      <c r="J576" s="22" t="s">
        <v>2511</v>
      </c>
    </row>
    <row r="577" ht="14.25" customHeight="1">
      <c r="A577" s="15" t="s">
        <v>3287</v>
      </c>
      <c r="B577" s="16">
        <v>45095.0</v>
      </c>
      <c r="C577" s="17">
        <v>45100.0</v>
      </c>
      <c r="D577" s="18">
        <v>6.0</v>
      </c>
      <c r="E577" s="19">
        <v>3.0</v>
      </c>
      <c r="F577" s="20">
        <v>16000.0</v>
      </c>
      <c r="G577" s="21" t="s">
        <v>2711</v>
      </c>
      <c r="H577" s="19">
        <v>5.0</v>
      </c>
      <c r="I577" s="21" t="s">
        <v>656</v>
      </c>
      <c r="J577" s="22" t="s">
        <v>2617</v>
      </c>
    </row>
    <row r="578" ht="14.25" customHeight="1">
      <c r="A578" s="15" t="s">
        <v>3288</v>
      </c>
      <c r="B578" s="16">
        <v>45095.0</v>
      </c>
      <c r="C578" s="17">
        <v>45098.0</v>
      </c>
      <c r="D578" s="18">
        <v>2.0</v>
      </c>
      <c r="E578" s="19">
        <v>2.0</v>
      </c>
      <c r="F578" s="20">
        <v>14000.0</v>
      </c>
      <c r="G578" s="21" t="s">
        <v>2711</v>
      </c>
      <c r="H578" s="19">
        <v>4.0</v>
      </c>
      <c r="I578" s="21" t="s">
        <v>2049</v>
      </c>
      <c r="J578" s="22" t="s">
        <v>2516</v>
      </c>
    </row>
    <row r="579" ht="14.25" customHeight="1">
      <c r="A579" s="15" t="s">
        <v>3289</v>
      </c>
      <c r="B579" s="16">
        <v>45095.0</v>
      </c>
      <c r="C579" s="17">
        <v>45099.0</v>
      </c>
      <c r="D579" s="18">
        <v>9.0</v>
      </c>
      <c r="E579" s="19">
        <v>8.0</v>
      </c>
      <c r="F579" s="20">
        <v>26000.0</v>
      </c>
      <c r="G579" s="21" t="s">
        <v>2711</v>
      </c>
      <c r="H579" s="19">
        <v>4.0</v>
      </c>
      <c r="I579" s="21" t="s">
        <v>74</v>
      </c>
      <c r="J579" s="22" t="s">
        <v>2627</v>
      </c>
    </row>
    <row r="580" ht="14.25" customHeight="1">
      <c r="A580" s="15" t="s">
        <v>3290</v>
      </c>
      <c r="B580" s="16">
        <v>45095.0</v>
      </c>
      <c r="C580" s="17">
        <v>45098.0</v>
      </c>
      <c r="D580" s="18">
        <v>8.0</v>
      </c>
      <c r="E580" s="19">
        <v>5.0</v>
      </c>
      <c r="F580" s="20">
        <v>20000.0</v>
      </c>
      <c r="G580" s="21" t="s">
        <v>2711</v>
      </c>
      <c r="H580" s="19">
        <v>5.0</v>
      </c>
      <c r="I580" s="21" t="s">
        <v>700</v>
      </c>
      <c r="J580" s="22" t="s">
        <v>2662</v>
      </c>
    </row>
    <row r="581" ht="14.25" customHeight="1">
      <c r="A581" s="15" t="s">
        <v>3291</v>
      </c>
      <c r="B581" s="16">
        <v>45095.0</v>
      </c>
      <c r="C581" s="17">
        <v>45097.0</v>
      </c>
      <c r="D581" s="18">
        <v>2.0</v>
      </c>
      <c r="E581" s="19">
        <v>3.0</v>
      </c>
      <c r="F581" s="20">
        <v>16000.0</v>
      </c>
      <c r="G581" s="21" t="s">
        <v>2711</v>
      </c>
      <c r="H581" s="19">
        <v>5.0</v>
      </c>
      <c r="I581" s="21" t="s">
        <v>174</v>
      </c>
      <c r="J581" s="22" t="s">
        <v>2547</v>
      </c>
    </row>
    <row r="582" ht="14.25" customHeight="1">
      <c r="A582" s="15" t="s">
        <v>3292</v>
      </c>
      <c r="B582" s="16">
        <v>45095.0</v>
      </c>
      <c r="C582" s="17">
        <v>45100.0</v>
      </c>
      <c r="D582" s="18">
        <v>1.0</v>
      </c>
      <c r="E582" s="19">
        <v>3.0</v>
      </c>
      <c r="F582" s="20">
        <v>16000.0</v>
      </c>
      <c r="G582" s="21" t="s">
        <v>2711</v>
      </c>
      <c r="H582" s="19">
        <v>4.0</v>
      </c>
      <c r="I582" s="21" t="s">
        <v>1918</v>
      </c>
      <c r="J582" s="22" t="s">
        <v>2642</v>
      </c>
    </row>
    <row r="583" ht="14.25" customHeight="1">
      <c r="A583" s="15" t="s">
        <v>3293</v>
      </c>
      <c r="B583" s="16">
        <v>45095.0</v>
      </c>
      <c r="C583" s="17">
        <v>45097.0</v>
      </c>
      <c r="D583" s="18">
        <v>13.0</v>
      </c>
      <c r="E583" s="19">
        <v>6.0</v>
      </c>
      <c r="F583" s="20">
        <v>22000.0</v>
      </c>
      <c r="G583" s="21" t="s">
        <v>2711</v>
      </c>
      <c r="H583" s="19">
        <v>5.0</v>
      </c>
      <c r="I583" s="21" t="s">
        <v>6</v>
      </c>
      <c r="J583" s="22" t="s">
        <v>2637</v>
      </c>
    </row>
    <row r="584" ht="14.25" customHeight="1">
      <c r="A584" s="15" t="s">
        <v>3294</v>
      </c>
      <c r="B584" s="16">
        <v>45095.0</v>
      </c>
      <c r="C584" s="17">
        <v>45097.0</v>
      </c>
      <c r="D584" s="18">
        <v>3.0</v>
      </c>
      <c r="E584" s="19">
        <v>2.0</v>
      </c>
      <c r="F584" s="20">
        <v>14000.0</v>
      </c>
      <c r="G584" s="21" t="s">
        <v>2711</v>
      </c>
      <c r="H584" s="19">
        <v>4.0</v>
      </c>
      <c r="I584" s="21" t="s">
        <v>1822</v>
      </c>
      <c r="J584" s="22" t="s">
        <v>2687</v>
      </c>
    </row>
    <row r="585" ht="14.25" customHeight="1">
      <c r="A585" s="15" t="s">
        <v>3295</v>
      </c>
      <c r="B585" s="16">
        <v>45095.0</v>
      </c>
      <c r="C585" s="17">
        <v>45096.0</v>
      </c>
      <c r="D585" s="18">
        <v>10.0</v>
      </c>
      <c r="E585" s="19">
        <v>4.0</v>
      </c>
      <c r="F585" s="20">
        <v>18000.0</v>
      </c>
      <c r="G585" s="21" t="s">
        <v>2711</v>
      </c>
      <c r="H585" s="19">
        <v>5.0</v>
      </c>
      <c r="I585" s="21" t="s">
        <v>2350</v>
      </c>
      <c r="J585" s="22" t="s">
        <v>2501</v>
      </c>
    </row>
    <row r="586" ht="14.25" customHeight="1">
      <c r="A586" s="15" t="s">
        <v>3296</v>
      </c>
      <c r="B586" s="16">
        <v>45095.0</v>
      </c>
      <c r="C586" s="17">
        <v>45099.0</v>
      </c>
      <c r="D586" s="18">
        <v>11.0</v>
      </c>
      <c r="E586" s="19">
        <v>4.0</v>
      </c>
      <c r="F586" s="20">
        <v>18000.0</v>
      </c>
      <c r="G586" s="21" t="s">
        <v>2711</v>
      </c>
      <c r="H586" s="19">
        <v>4.0</v>
      </c>
      <c r="I586" s="21" t="s">
        <v>1815</v>
      </c>
      <c r="J586" s="22" t="s">
        <v>2484</v>
      </c>
    </row>
    <row r="587" ht="14.25" customHeight="1">
      <c r="A587" s="15" t="s">
        <v>3297</v>
      </c>
      <c r="B587" s="16">
        <v>45095.0</v>
      </c>
      <c r="C587" s="17">
        <v>45100.0</v>
      </c>
      <c r="D587" s="18">
        <v>2.0</v>
      </c>
      <c r="E587" s="19">
        <v>2.0</v>
      </c>
      <c r="F587" s="20">
        <v>14000.0</v>
      </c>
      <c r="G587" s="21" t="s">
        <v>2711</v>
      </c>
      <c r="H587" s="19">
        <v>5.0</v>
      </c>
      <c r="I587" s="21" t="s">
        <v>1145</v>
      </c>
      <c r="J587" s="22" t="s">
        <v>2602</v>
      </c>
    </row>
    <row r="588" ht="14.25" customHeight="1">
      <c r="A588" s="15" t="s">
        <v>3298</v>
      </c>
      <c r="B588" s="16">
        <v>45095.0</v>
      </c>
      <c r="C588" s="17">
        <v>45100.0</v>
      </c>
      <c r="D588" s="18">
        <v>3.0</v>
      </c>
      <c r="E588" s="19">
        <v>3.0</v>
      </c>
      <c r="F588" s="20">
        <v>16000.0</v>
      </c>
      <c r="G588" s="21" t="s">
        <v>2711</v>
      </c>
      <c r="H588" s="19">
        <v>5.0</v>
      </c>
      <c r="I588" s="21" t="s">
        <v>985</v>
      </c>
      <c r="J588" s="22" t="s">
        <v>2612</v>
      </c>
    </row>
    <row r="589" ht="14.25" customHeight="1">
      <c r="A589" s="15" t="s">
        <v>3299</v>
      </c>
      <c r="B589" s="16">
        <v>45095.0</v>
      </c>
      <c r="C589" s="17">
        <v>45096.0</v>
      </c>
      <c r="D589" s="18">
        <v>5.0</v>
      </c>
      <c r="E589" s="19">
        <v>3.0</v>
      </c>
      <c r="F589" s="20">
        <v>16000.0</v>
      </c>
      <c r="G589" s="21" t="s">
        <v>2711</v>
      </c>
      <c r="H589" s="19">
        <v>4.0</v>
      </c>
      <c r="I589" s="21" t="s">
        <v>242</v>
      </c>
      <c r="J589" s="22" t="s">
        <v>2527</v>
      </c>
    </row>
    <row r="590" ht="14.25" customHeight="1">
      <c r="A590" s="15" t="s">
        <v>3300</v>
      </c>
      <c r="B590" s="16">
        <v>45095.0</v>
      </c>
      <c r="C590" s="17">
        <v>45098.0</v>
      </c>
      <c r="D590" s="18">
        <v>6.0</v>
      </c>
      <c r="E590" s="19">
        <v>3.0</v>
      </c>
      <c r="F590" s="20">
        <v>16000.0</v>
      </c>
      <c r="G590" s="21" t="s">
        <v>2711</v>
      </c>
      <c r="H590" s="19">
        <v>4.0</v>
      </c>
      <c r="I590" s="21" t="s">
        <v>1394</v>
      </c>
      <c r="J590" s="22" t="s">
        <v>2511</v>
      </c>
    </row>
    <row r="591" ht="14.25" customHeight="1">
      <c r="A591" s="15" t="s">
        <v>3301</v>
      </c>
      <c r="B591" s="16">
        <v>45095.0</v>
      </c>
      <c r="C591" s="17">
        <v>45096.0</v>
      </c>
      <c r="D591" s="18">
        <v>2.0</v>
      </c>
      <c r="E591" s="19">
        <v>3.0</v>
      </c>
      <c r="F591" s="20">
        <v>16000.0</v>
      </c>
      <c r="G591" s="21" t="s">
        <v>2711</v>
      </c>
      <c r="H591" s="19">
        <v>4.0</v>
      </c>
      <c r="I591" s="21" t="s">
        <v>166</v>
      </c>
      <c r="J591" s="22" t="s">
        <v>2572</v>
      </c>
    </row>
    <row r="592" ht="14.25" customHeight="1">
      <c r="A592" s="15" t="s">
        <v>3302</v>
      </c>
      <c r="B592" s="16">
        <v>45095.0</v>
      </c>
      <c r="C592" s="17">
        <v>45100.0</v>
      </c>
      <c r="D592" s="18">
        <v>4.0</v>
      </c>
      <c r="E592" s="19">
        <v>2.0</v>
      </c>
      <c r="F592" s="20">
        <v>14000.0</v>
      </c>
      <c r="G592" s="21" t="s">
        <v>2711</v>
      </c>
      <c r="H592" s="19">
        <v>5.0</v>
      </c>
      <c r="I592" s="21" t="s">
        <v>2244</v>
      </c>
      <c r="J592" s="22" t="s">
        <v>2557</v>
      </c>
    </row>
    <row r="593" ht="14.25" customHeight="1">
      <c r="A593" s="15" t="s">
        <v>3303</v>
      </c>
      <c r="B593" s="16">
        <v>45095.0</v>
      </c>
      <c r="C593" s="17">
        <v>45099.0</v>
      </c>
      <c r="D593" s="18">
        <v>1.0</v>
      </c>
      <c r="E593" s="19">
        <v>1.0</v>
      </c>
      <c r="F593" s="20">
        <v>12000.0</v>
      </c>
      <c r="G593" s="21" t="s">
        <v>2711</v>
      </c>
      <c r="H593" s="19">
        <v>5.0</v>
      </c>
      <c r="I593" s="21" t="s">
        <v>2441</v>
      </c>
      <c r="J593" s="22" t="s">
        <v>2602</v>
      </c>
    </row>
    <row r="594" ht="14.25" customHeight="1">
      <c r="A594" s="15" t="s">
        <v>3304</v>
      </c>
      <c r="B594" s="16">
        <v>45095.0</v>
      </c>
      <c r="C594" s="17">
        <v>45096.0</v>
      </c>
      <c r="D594" s="18">
        <v>19.0</v>
      </c>
      <c r="E594" s="19">
        <v>9.0</v>
      </c>
      <c r="F594" s="20">
        <v>33700.0</v>
      </c>
      <c r="G594" s="21" t="s">
        <v>2711</v>
      </c>
      <c r="H594" s="19">
        <v>4.0</v>
      </c>
      <c r="I594" s="21" t="s">
        <v>114</v>
      </c>
      <c r="J594" s="22" t="s">
        <v>2637</v>
      </c>
    </row>
    <row r="595" ht="14.25" customHeight="1">
      <c r="A595" s="15" t="s">
        <v>3305</v>
      </c>
      <c r="B595" s="16">
        <v>45095.0</v>
      </c>
      <c r="C595" s="17">
        <v>45099.0</v>
      </c>
      <c r="D595" s="18">
        <v>13.0</v>
      </c>
      <c r="E595" s="19">
        <v>4.0</v>
      </c>
      <c r="F595" s="20">
        <v>18000.0</v>
      </c>
      <c r="G595" s="21" t="s">
        <v>2711</v>
      </c>
      <c r="H595" s="19">
        <v>4.0</v>
      </c>
      <c r="I595" s="21" t="s">
        <v>1717</v>
      </c>
      <c r="J595" s="22" t="s">
        <v>2637</v>
      </c>
    </row>
    <row r="596" ht="14.25" customHeight="1">
      <c r="A596" s="15" t="s">
        <v>3306</v>
      </c>
      <c r="B596" s="16">
        <v>45095.0</v>
      </c>
      <c r="C596" s="17">
        <v>45097.0</v>
      </c>
      <c r="D596" s="18">
        <v>1.0</v>
      </c>
      <c r="E596" s="19">
        <v>3.0</v>
      </c>
      <c r="F596" s="20">
        <v>16000.0</v>
      </c>
      <c r="G596" s="21" t="s">
        <v>2711</v>
      </c>
      <c r="H596" s="19">
        <v>5.0</v>
      </c>
      <c r="I596" s="21" t="s">
        <v>1752</v>
      </c>
      <c r="J596" s="22" t="s">
        <v>2622</v>
      </c>
    </row>
    <row r="597" ht="14.25" customHeight="1">
      <c r="A597" s="15" t="s">
        <v>3307</v>
      </c>
      <c r="B597" s="16">
        <v>45095.0</v>
      </c>
      <c r="C597" s="17">
        <v>45099.0</v>
      </c>
      <c r="D597" s="18">
        <v>2.0</v>
      </c>
      <c r="E597" s="19">
        <v>1.0</v>
      </c>
      <c r="F597" s="20">
        <v>12000.0</v>
      </c>
      <c r="G597" s="21" t="s">
        <v>2711</v>
      </c>
      <c r="H597" s="19">
        <v>4.0</v>
      </c>
      <c r="I597" s="21" t="s">
        <v>2342</v>
      </c>
      <c r="J597" s="22" t="s">
        <v>2692</v>
      </c>
    </row>
    <row r="598" ht="14.25" customHeight="1">
      <c r="A598" s="15" t="s">
        <v>3308</v>
      </c>
      <c r="B598" s="17">
        <v>45096.0</v>
      </c>
      <c r="C598" s="17">
        <f>B598 + RANDBETWEEN(1,5)</f>
        <v>45100</v>
      </c>
      <c r="D598" s="18">
        <v>5.0</v>
      </c>
      <c r="E598" s="19">
        <v>3.0</v>
      </c>
      <c r="F598" s="20">
        <v>16000.0</v>
      </c>
      <c r="G598" s="21" t="s">
        <v>2711</v>
      </c>
      <c r="H598" s="19">
        <v>5.0</v>
      </c>
      <c r="I598" s="21" t="s">
        <v>410</v>
      </c>
      <c r="J598" s="22" t="s">
        <v>2647</v>
      </c>
    </row>
    <row r="599" ht="14.25" customHeight="1">
      <c r="A599" s="15" t="s">
        <v>3309</v>
      </c>
      <c r="B599" s="16">
        <v>45096.0</v>
      </c>
      <c r="C599" s="17">
        <v>45100.0</v>
      </c>
      <c r="D599" s="18">
        <v>5.0</v>
      </c>
      <c r="E599" s="19">
        <v>1.0</v>
      </c>
      <c r="F599" s="20">
        <v>12000.0</v>
      </c>
      <c r="G599" s="21" t="s">
        <v>2711</v>
      </c>
      <c r="H599" s="19">
        <v>4.0</v>
      </c>
      <c r="I599" s="21" t="s">
        <v>914</v>
      </c>
      <c r="J599" s="22" t="s">
        <v>2542</v>
      </c>
    </row>
    <row r="600" ht="14.25" customHeight="1">
      <c r="A600" s="15" t="s">
        <v>3310</v>
      </c>
      <c r="B600" s="16">
        <v>45096.0</v>
      </c>
      <c r="C600" s="17">
        <v>45101.0</v>
      </c>
      <c r="D600" s="18">
        <v>2.0</v>
      </c>
      <c r="E600" s="19">
        <v>2.0</v>
      </c>
      <c r="F600" s="20">
        <v>14000.0</v>
      </c>
      <c r="G600" s="21" t="s">
        <v>2711</v>
      </c>
      <c r="H600" s="19">
        <v>5.0</v>
      </c>
      <c r="I600" s="21" t="s">
        <v>577</v>
      </c>
      <c r="J600" s="22" t="s">
        <v>2547</v>
      </c>
    </row>
    <row r="601" ht="14.25" customHeight="1">
      <c r="A601" s="15" t="s">
        <v>3311</v>
      </c>
      <c r="B601" s="16">
        <v>45096.0</v>
      </c>
      <c r="C601" s="17">
        <v>45099.0</v>
      </c>
      <c r="D601" s="18">
        <v>5.0</v>
      </c>
      <c r="E601" s="19">
        <v>3.0</v>
      </c>
      <c r="F601" s="20">
        <v>16000.0</v>
      </c>
      <c r="G601" s="21" t="s">
        <v>2711</v>
      </c>
      <c r="H601" s="19">
        <v>5.0</v>
      </c>
      <c r="I601" s="21" t="s">
        <v>1169</v>
      </c>
      <c r="J601" s="22" t="s">
        <v>2617</v>
      </c>
    </row>
    <row r="602" ht="14.25" customHeight="1">
      <c r="A602" s="15" t="s">
        <v>3312</v>
      </c>
      <c r="B602" s="16">
        <v>45096.0</v>
      </c>
      <c r="C602" s="17">
        <v>45100.0</v>
      </c>
      <c r="D602" s="18">
        <v>6.0</v>
      </c>
      <c r="E602" s="19">
        <v>3.0</v>
      </c>
      <c r="F602" s="20">
        <v>16000.0</v>
      </c>
      <c r="G602" s="21" t="s">
        <v>2711</v>
      </c>
      <c r="H602" s="19">
        <v>5.0</v>
      </c>
      <c r="I602" s="21" t="s">
        <v>890</v>
      </c>
      <c r="J602" s="22" t="s">
        <v>2647</v>
      </c>
    </row>
    <row r="603" ht="14.25" customHeight="1">
      <c r="A603" s="15" t="s">
        <v>3313</v>
      </c>
      <c r="B603" s="16">
        <v>45096.0</v>
      </c>
      <c r="C603" s="17">
        <v>45100.0</v>
      </c>
      <c r="D603" s="18">
        <v>5.0</v>
      </c>
      <c r="E603" s="19">
        <v>2.0</v>
      </c>
      <c r="F603" s="20">
        <v>14000.0</v>
      </c>
      <c r="G603" s="21" t="s">
        <v>2711</v>
      </c>
      <c r="H603" s="19">
        <v>4.0</v>
      </c>
      <c r="I603" s="21" t="s">
        <v>2393</v>
      </c>
      <c r="J603" s="22" t="s">
        <v>2582</v>
      </c>
    </row>
    <row r="604" ht="14.25" customHeight="1">
      <c r="A604" s="15" t="s">
        <v>3314</v>
      </c>
      <c r="B604" s="16">
        <v>45096.0</v>
      </c>
      <c r="C604" s="17">
        <v>45097.0</v>
      </c>
      <c r="D604" s="18">
        <v>4.0</v>
      </c>
      <c r="E604" s="19">
        <v>3.0</v>
      </c>
      <c r="F604" s="20">
        <v>16000.0</v>
      </c>
      <c r="G604" s="21" t="s">
        <v>2711</v>
      </c>
      <c r="H604" s="19">
        <v>4.0</v>
      </c>
      <c r="I604" s="21" t="s">
        <v>2251</v>
      </c>
      <c r="J604" s="22" t="s">
        <v>2567</v>
      </c>
    </row>
    <row r="605" ht="14.25" customHeight="1">
      <c r="A605" s="15" t="s">
        <v>3315</v>
      </c>
      <c r="B605" s="16">
        <v>45096.0</v>
      </c>
      <c r="C605" s="17">
        <v>45101.0</v>
      </c>
      <c r="D605" s="18">
        <v>6.0</v>
      </c>
      <c r="E605" s="19">
        <v>2.0</v>
      </c>
      <c r="F605" s="20">
        <v>14000.0</v>
      </c>
      <c r="G605" s="21" t="s">
        <v>2711</v>
      </c>
      <c r="H605" s="19">
        <v>5.0</v>
      </c>
      <c r="I605" s="21" t="s">
        <v>2283</v>
      </c>
      <c r="J605" s="22" t="s">
        <v>2612</v>
      </c>
    </row>
    <row r="606" ht="14.25" customHeight="1">
      <c r="A606" s="15" t="s">
        <v>3316</v>
      </c>
      <c r="B606" s="16">
        <v>45096.0</v>
      </c>
      <c r="C606" s="17">
        <v>45097.0</v>
      </c>
      <c r="D606" s="18">
        <v>4.0</v>
      </c>
      <c r="E606" s="19">
        <v>2.0</v>
      </c>
      <c r="F606" s="20">
        <v>14000.0</v>
      </c>
      <c r="G606" s="21" t="s">
        <v>2711</v>
      </c>
      <c r="H606" s="19">
        <v>4.0</v>
      </c>
      <c r="I606" s="21" t="s">
        <v>1061</v>
      </c>
      <c r="J606" s="22" t="s">
        <v>2652</v>
      </c>
    </row>
    <row r="607" ht="14.25" customHeight="1">
      <c r="A607" s="15" t="s">
        <v>3317</v>
      </c>
      <c r="B607" s="16">
        <v>45096.0</v>
      </c>
      <c r="C607" s="17">
        <v>45099.0</v>
      </c>
      <c r="D607" s="18">
        <v>4.0</v>
      </c>
      <c r="E607" s="19">
        <v>2.0</v>
      </c>
      <c r="F607" s="20">
        <v>14000.0</v>
      </c>
      <c r="G607" s="21" t="s">
        <v>2711</v>
      </c>
      <c r="H607" s="19">
        <v>4.0</v>
      </c>
      <c r="I607" s="21" t="s">
        <v>138</v>
      </c>
      <c r="J607" s="22" t="s">
        <v>2490</v>
      </c>
    </row>
    <row r="608" ht="14.25" customHeight="1">
      <c r="A608" s="15" t="s">
        <v>3318</v>
      </c>
      <c r="B608" s="16">
        <v>45096.0</v>
      </c>
      <c r="C608" s="17">
        <v>45100.0</v>
      </c>
      <c r="D608" s="18">
        <v>8.0</v>
      </c>
      <c r="E608" s="19">
        <v>6.0</v>
      </c>
      <c r="F608" s="20">
        <v>22000.0</v>
      </c>
      <c r="G608" s="21" t="s">
        <v>2711</v>
      </c>
      <c r="H608" s="19">
        <v>4.0</v>
      </c>
      <c r="I608" s="21" t="s">
        <v>2445</v>
      </c>
      <c r="J608" s="22" t="s">
        <v>2627</v>
      </c>
    </row>
    <row r="609" ht="14.25" customHeight="1">
      <c r="A609" s="15" t="s">
        <v>3319</v>
      </c>
      <c r="B609" s="16">
        <v>45096.0</v>
      </c>
      <c r="C609" s="17">
        <v>45100.0</v>
      </c>
      <c r="D609" s="18">
        <v>3.0</v>
      </c>
      <c r="E609" s="19">
        <v>1.0</v>
      </c>
      <c r="F609" s="20">
        <v>12000.0</v>
      </c>
      <c r="G609" s="21" t="s">
        <v>2711</v>
      </c>
      <c r="H609" s="19">
        <v>4.0</v>
      </c>
      <c r="I609" s="21" t="s">
        <v>850</v>
      </c>
      <c r="J609" s="22" t="s">
        <v>2577</v>
      </c>
    </row>
    <row r="610" ht="14.25" customHeight="1">
      <c r="A610" s="15" t="s">
        <v>3320</v>
      </c>
      <c r="B610" s="16">
        <v>45096.0</v>
      </c>
      <c r="C610" s="17">
        <v>45097.0</v>
      </c>
      <c r="D610" s="18">
        <v>1.0</v>
      </c>
      <c r="E610" s="19">
        <v>2.0</v>
      </c>
      <c r="F610" s="20">
        <v>14000.0</v>
      </c>
      <c r="G610" s="21" t="s">
        <v>2711</v>
      </c>
      <c r="H610" s="19">
        <v>5.0</v>
      </c>
      <c r="I610" s="21" t="s">
        <v>354</v>
      </c>
      <c r="J610" s="22" t="s">
        <v>2567</v>
      </c>
    </row>
    <row r="611" ht="14.25" customHeight="1">
      <c r="A611" s="15" t="s">
        <v>3321</v>
      </c>
      <c r="B611" s="16">
        <v>45096.0</v>
      </c>
      <c r="C611" s="17">
        <v>45100.0</v>
      </c>
      <c r="D611" s="18">
        <v>3.0</v>
      </c>
      <c r="E611" s="19">
        <v>2.0</v>
      </c>
      <c r="F611" s="20">
        <v>14000.0</v>
      </c>
      <c r="G611" s="21" t="s">
        <v>2711</v>
      </c>
      <c r="H611" s="19">
        <v>4.0</v>
      </c>
      <c r="I611" s="21" t="s">
        <v>993</v>
      </c>
      <c r="J611" s="22" t="s">
        <v>2532</v>
      </c>
    </row>
    <row r="612" ht="14.25" customHeight="1">
      <c r="A612" s="15" t="s">
        <v>3322</v>
      </c>
      <c r="B612" s="16">
        <v>45096.0</v>
      </c>
      <c r="C612" s="17">
        <v>45099.0</v>
      </c>
      <c r="D612" s="18">
        <v>5.0</v>
      </c>
      <c r="E612" s="19">
        <v>1.0</v>
      </c>
      <c r="F612" s="20">
        <v>12000.0</v>
      </c>
      <c r="G612" s="21" t="s">
        <v>2711</v>
      </c>
      <c r="H612" s="19">
        <v>4.0</v>
      </c>
      <c r="I612" s="21" t="s">
        <v>1894</v>
      </c>
      <c r="J612" s="22" t="s">
        <v>2542</v>
      </c>
    </row>
    <row r="613" ht="14.25" customHeight="1">
      <c r="A613" s="15" t="s">
        <v>3323</v>
      </c>
      <c r="B613" s="16">
        <v>45096.0</v>
      </c>
      <c r="C613" s="17">
        <v>45099.0</v>
      </c>
      <c r="D613" s="18">
        <v>14.0</v>
      </c>
      <c r="E613" s="19">
        <v>4.0</v>
      </c>
      <c r="F613" s="20">
        <v>18000.0</v>
      </c>
      <c r="G613" s="21" t="s">
        <v>2711</v>
      </c>
      <c r="H613" s="19">
        <v>4.0</v>
      </c>
      <c r="I613" s="21" t="s">
        <v>102</v>
      </c>
      <c r="J613" s="22" t="s">
        <v>2637</v>
      </c>
    </row>
    <row r="614" ht="14.25" customHeight="1">
      <c r="A614" s="15" t="s">
        <v>3324</v>
      </c>
      <c r="B614" s="16">
        <v>45096.0</v>
      </c>
      <c r="C614" s="17">
        <v>45099.0</v>
      </c>
      <c r="D614" s="18">
        <v>2.0</v>
      </c>
      <c r="E614" s="19">
        <v>1.0</v>
      </c>
      <c r="F614" s="20">
        <v>12000.0</v>
      </c>
      <c r="G614" s="21" t="s">
        <v>2711</v>
      </c>
      <c r="H614" s="19">
        <v>5.0</v>
      </c>
      <c r="I614" s="21" t="s">
        <v>314</v>
      </c>
      <c r="J614" s="22" t="s">
        <v>2490</v>
      </c>
    </row>
    <row r="615" ht="14.25" customHeight="1">
      <c r="A615" s="15" t="s">
        <v>3325</v>
      </c>
      <c r="B615" s="16">
        <v>45096.0</v>
      </c>
      <c r="C615" s="17">
        <v>45101.0</v>
      </c>
      <c r="D615" s="18">
        <v>6.0</v>
      </c>
      <c r="E615" s="19">
        <v>3.0</v>
      </c>
      <c r="F615" s="20">
        <v>16000.0</v>
      </c>
      <c r="G615" s="21" t="s">
        <v>2711</v>
      </c>
      <c r="H615" s="19">
        <v>4.0</v>
      </c>
      <c r="I615" s="21" t="s">
        <v>1125</v>
      </c>
      <c r="J615" s="22" t="s">
        <v>2542</v>
      </c>
    </row>
    <row r="616" ht="14.25" customHeight="1">
      <c r="A616" s="15" t="s">
        <v>3326</v>
      </c>
      <c r="B616" s="16">
        <v>45096.0</v>
      </c>
      <c r="C616" s="17">
        <v>45097.0</v>
      </c>
      <c r="D616" s="18">
        <v>2.0</v>
      </c>
      <c r="E616" s="19">
        <v>2.0</v>
      </c>
      <c r="F616" s="20">
        <v>14000.0</v>
      </c>
      <c r="G616" s="21" t="s">
        <v>2711</v>
      </c>
      <c r="H616" s="19">
        <v>5.0</v>
      </c>
      <c r="I616" s="21" t="s">
        <v>1989</v>
      </c>
      <c r="J616" s="22" t="s">
        <v>2602</v>
      </c>
    </row>
    <row r="617" ht="14.25" customHeight="1">
      <c r="A617" s="15" t="s">
        <v>3327</v>
      </c>
      <c r="B617" s="16">
        <v>45096.0</v>
      </c>
      <c r="C617" s="17">
        <v>45097.0</v>
      </c>
      <c r="D617" s="18">
        <v>17.0</v>
      </c>
      <c r="E617" s="19">
        <v>7.0</v>
      </c>
      <c r="F617" s="20">
        <v>29100.0</v>
      </c>
      <c r="G617" s="21" t="s">
        <v>2711</v>
      </c>
      <c r="H617" s="19">
        <v>5.0</v>
      </c>
      <c r="I617" s="21" t="s">
        <v>1418</v>
      </c>
      <c r="J617" s="22" t="s">
        <v>2587</v>
      </c>
    </row>
    <row r="618" ht="14.25" customHeight="1">
      <c r="A618" s="15" t="s">
        <v>3328</v>
      </c>
      <c r="B618" s="16">
        <v>45096.0</v>
      </c>
      <c r="C618" s="17">
        <v>45097.0</v>
      </c>
      <c r="D618" s="18">
        <v>6.0</v>
      </c>
      <c r="E618" s="19">
        <v>3.0</v>
      </c>
      <c r="F618" s="20">
        <v>16000.0</v>
      </c>
      <c r="G618" s="21" t="s">
        <v>2711</v>
      </c>
      <c r="H618" s="19">
        <v>5.0</v>
      </c>
      <c r="I618" s="21" t="s">
        <v>1232</v>
      </c>
      <c r="J618" s="22" t="s">
        <v>2511</v>
      </c>
    </row>
    <row r="619" ht="14.25" customHeight="1">
      <c r="A619" s="15" t="s">
        <v>3329</v>
      </c>
      <c r="B619" s="16">
        <v>45096.0</v>
      </c>
      <c r="C619" s="17">
        <v>45097.0</v>
      </c>
      <c r="D619" s="18">
        <v>5.0</v>
      </c>
      <c r="E619" s="19">
        <v>2.0</v>
      </c>
      <c r="F619" s="20">
        <v>14000.0</v>
      </c>
      <c r="G619" s="21" t="s">
        <v>2711</v>
      </c>
      <c r="H619" s="19">
        <v>4.0</v>
      </c>
      <c r="I619" s="21" t="s">
        <v>2334</v>
      </c>
      <c r="J619" s="22" t="s">
        <v>2677</v>
      </c>
    </row>
    <row r="620" ht="14.25" customHeight="1">
      <c r="A620" s="15" t="s">
        <v>3330</v>
      </c>
      <c r="B620" s="16">
        <v>45096.0</v>
      </c>
      <c r="C620" s="17">
        <v>45097.0</v>
      </c>
      <c r="D620" s="18">
        <v>9.0</v>
      </c>
      <c r="E620" s="19">
        <v>10.0</v>
      </c>
      <c r="F620" s="30"/>
      <c r="G620" s="21" t="s">
        <v>2711</v>
      </c>
      <c r="H620" s="19">
        <v>5.0</v>
      </c>
      <c r="I620" s="21" t="s">
        <v>676</v>
      </c>
      <c r="J620" s="22" t="s">
        <v>2537</v>
      </c>
    </row>
    <row r="621" ht="14.25" customHeight="1">
      <c r="A621" s="15" t="s">
        <v>3331</v>
      </c>
      <c r="B621" s="16">
        <v>45096.0</v>
      </c>
      <c r="C621" s="17">
        <v>45097.0</v>
      </c>
      <c r="D621" s="18">
        <v>2.0</v>
      </c>
      <c r="E621" s="19">
        <v>1.0</v>
      </c>
      <c r="F621" s="30"/>
      <c r="G621" s="21" t="s">
        <v>2711</v>
      </c>
      <c r="H621" s="19">
        <v>5.0</v>
      </c>
      <c r="I621" s="21" t="s">
        <v>70</v>
      </c>
      <c r="J621" s="22" t="s">
        <v>2622</v>
      </c>
    </row>
    <row r="622" ht="14.25" customHeight="1">
      <c r="A622" s="15" t="s">
        <v>3332</v>
      </c>
      <c r="B622" s="16">
        <v>45096.0</v>
      </c>
      <c r="C622" s="17">
        <v>45100.0</v>
      </c>
      <c r="D622" s="18">
        <v>13.0</v>
      </c>
      <c r="E622" s="19">
        <v>7.0</v>
      </c>
      <c r="F622" s="20">
        <v>24000.0</v>
      </c>
      <c r="G622" s="21" t="s">
        <v>2711</v>
      </c>
      <c r="H622" s="19">
        <v>4.0</v>
      </c>
      <c r="I622" s="21" t="s">
        <v>414</v>
      </c>
      <c r="J622" s="22" t="s">
        <v>2537</v>
      </c>
    </row>
    <row r="623" ht="14.25" customHeight="1">
      <c r="A623" s="15" t="s">
        <v>3333</v>
      </c>
      <c r="B623" s="16">
        <v>45096.0</v>
      </c>
      <c r="C623" s="17">
        <v>45098.0</v>
      </c>
      <c r="D623" s="18">
        <v>4.0</v>
      </c>
      <c r="E623" s="19">
        <v>1.0</v>
      </c>
      <c r="F623" s="20">
        <v>12000.0</v>
      </c>
      <c r="G623" s="21" t="s">
        <v>2711</v>
      </c>
      <c r="H623" s="19">
        <v>4.0</v>
      </c>
      <c r="I623" s="21" t="s">
        <v>1276</v>
      </c>
      <c r="J623" s="22" t="s">
        <v>2632</v>
      </c>
    </row>
    <row r="624" ht="14.25" customHeight="1">
      <c r="A624" s="15" t="s">
        <v>3334</v>
      </c>
      <c r="B624" s="16">
        <v>45096.0</v>
      </c>
      <c r="C624" s="17">
        <v>45100.0</v>
      </c>
      <c r="D624" s="18">
        <v>20.0</v>
      </c>
      <c r="E624" s="19">
        <v>10.0</v>
      </c>
      <c r="F624" s="20">
        <v>36000.0</v>
      </c>
      <c r="G624" s="21" t="s">
        <v>2711</v>
      </c>
      <c r="H624" s="19">
        <v>5.0</v>
      </c>
      <c r="I624" s="21" t="s">
        <v>1288</v>
      </c>
      <c r="J624" s="22" t="s">
        <v>2587</v>
      </c>
    </row>
    <row r="625" ht="14.25" customHeight="1">
      <c r="A625" s="15" t="s">
        <v>3335</v>
      </c>
      <c r="B625" s="16">
        <v>45096.0</v>
      </c>
      <c r="C625" s="17">
        <v>45100.0</v>
      </c>
      <c r="D625" s="18">
        <v>1.0</v>
      </c>
      <c r="E625" s="19">
        <v>1.0</v>
      </c>
      <c r="F625" s="20">
        <v>12000.0</v>
      </c>
      <c r="G625" s="21" t="s">
        <v>2711</v>
      </c>
      <c r="H625" s="19">
        <v>5.0</v>
      </c>
      <c r="I625" s="21" t="s">
        <v>2060</v>
      </c>
      <c r="J625" s="22" t="s">
        <v>2682</v>
      </c>
    </row>
    <row r="626" ht="14.25" customHeight="1">
      <c r="A626" s="15" t="s">
        <v>3336</v>
      </c>
      <c r="B626" s="16">
        <v>45096.0</v>
      </c>
      <c r="C626" s="17">
        <v>45100.0</v>
      </c>
      <c r="D626" s="18">
        <v>4.0</v>
      </c>
      <c r="E626" s="19">
        <v>1.0</v>
      </c>
      <c r="F626" s="20">
        <v>12000.0</v>
      </c>
      <c r="G626" s="21" t="s">
        <v>2711</v>
      </c>
      <c r="H626" s="19">
        <v>4.0</v>
      </c>
      <c r="I626" s="21" t="s">
        <v>2346</v>
      </c>
      <c r="J626" s="22" t="s">
        <v>2547</v>
      </c>
    </row>
    <row r="627" ht="14.25" customHeight="1">
      <c r="A627" s="15" t="s">
        <v>3337</v>
      </c>
      <c r="B627" s="16">
        <v>45096.0</v>
      </c>
      <c r="C627" s="17">
        <v>45097.0</v>
      </c>
      <c r="D627" s="18">
        <v>5.0</v>
      </c>
      <c r="E627" s="19">
        <v>3.0</v>
      </c>
      <c r="F627" s="20">
        <v>16000.0</v>
      </c>
      <c r="G627" s="21" t="s">
        <v>2711</v>
      </c>
      <c r="H627" s="19">
        <v>5.0</v>
      </c>
      <c r="I627" s="21" t="s">
        <v>2437</v>
      </c>
      <c r="J627" s="22" t="s">
        <v>2602</v>
      </c>
    </row>
    <row r="628" ht="14.25" customHeight="1">
      <c r="A628" s="15" t="s">
        <v>3338</v>
      </c>
      <c r="B628" s="17">
        <v>45097.0</v>
      </c>
      <c r="C628" s="17">
        <f t="shared" ref="C628:C629" si="6">B628 + RANDBETWEEN(1,5)</f>
        <v>45100</v>
      </c>
      <c r="D628" s="18">
        <v>6.0</v>
      </c>
      <c r="E628" s="19">
        <v>2.0</v>
      </c>
      <c r="F628" s="20">
        <v>14000.0</v>
      </c>
      <c r="G628" s="21" t="s">
        <v>2711</v>
      </c>
      <c r="H628" s="19">
        <v>4.0</v>
      </c>
      <c r="I628" s="21" t="s">
        <v>977</v>
      </c>
      <c r="J628" s="22" t="s">
        <v>2511</v>
      </c>
    </row>
    <row r="629" ht="14.25" customHeight="1">
      <c r="A629" s="15" t="s">
        <v>3339</v>
      </c>
      <c r="B629" s="17">
        <v>45097.0</v>
      </c>
      <c r="C629" s="17">
        <f t="shared" si="6"/>
        <v>45100</v>
      </c>
      <c r="D629" s="18">
        <v>1.0</v>
      </c>
      <c r="E629" s="19">
        <v>3.0</v>
      </c>
      <c r="F629" s="20">
        <v>16000.0</v>
      </c>
      <c r="G629" s="21" t="s">
        <v>2711</v>
      </c>
      <c r="H629" s="19">
        <v>5.0</v>
      </c>
      <c r="I629" s="21" t="s">
        <v>969</v>
      </c>
      <c r="J629" s="22" t="s">
        <v>2612</v>
      </c>
    </row>
    <row r="630" ht="14.25" customHeight="1">
      <c r="A630" s="15" t="s">
        <v>3340</v>
      </c>
      <c r="B630" s="16">
        <v>45097.0</v>
      </c>
      <c r="C630" s="17">
        <v>45102.0</v>
      </c>
      <c r="D630" s="18">
        <v>3.0</v>
      </c>
      <c r="E630" s="19">
        <v>1.0</v>
      </c>
      <c r="F630" s="20">
        <v>12000.0</v>
      </c>
      <c r="G630" s="21" t="s">
        <v>2711</v>
      </c>
      <c r="H630" s="19">
        <v>5.0</v>
      </c>
      <c r="I630" s="21" t="s">
        <v>914</v>
      </c>
      <c r="J630" s="22" t="s">
        <v>2682</v>
      </c>
    </row>
    <row r="631" ht="14.25" customHeight="1">
      <c r="A631" s="15" t="s">
        <v>3341</v>
      </c>
      <c r="B631" s="16">
        <v>45097.0</v>
      </c>
      <c r="C631" s="17">
        <v>45102.0</v>
      </c>
      <c r="D631" s="18">
        <v>3.0</v>
      </c>
      <c r="E631" s="19">
        <v>3.0</v>
      </c>
      <c r="F631" s="20">
        <v>16000.0</v>
      </c>
      <c r="G631" s="21" t="s">
        <v>2711</v>
      </c>
      <c r="H631" s="19">
        <v>5.0</v>
      </c>
      <c r="I631" s="21" t="s">
        <v>2346</v>
      </c>
      <c r="J631" s="22" t="s">
        <v>2506</v>
      </c>
    </row>
    <row r="632" ht="14.25" customHeight="1">
      <c r="A632" s="15" t="s">
        <v>3342</v>
      </c>
      <c r="B632" s="16">
        <v>45097.0</v>
      </c>
      <c r="C632" s="17">
        <v>45098.0</v>
      </c>
      <c r="D632" s="18">
        <v>1.0</v>
      </c>
      <c r="E632" s="19">
        <v>2.0</v>
      </c>
      <c r="F632" s="20">
        <v>14000.0</v>
      </c>
      <c r="G632" s="21" t="s">
        <v>2711</v>
      </c>
      <c r="H632" s="19">
        <v>4.0</v>
      </c>
      <c r="I632" s="21" t="s">
        <v>198</v>
      </c>
      <c r="J632" s="22" t="s">
        <v>2496</v>
      </c>
    </row>
    <row r="633" ht="14.25" customHeight="1">
      <c r="A633" s="15" t="s">
        <v>3343</v>
      </c>
      <c r="B633" s="16">
        <v>45097.0</v>
      </c>
      <c r="C633" s="17">
        <v>45098.0</v>
      </c>
      <c r="D633" s="18">
        <v>17.0</v>
      </c>
      <c r="E633" s="19">
        <v>7.0</v>
      </c>
      <c r="F633" s="20">
        <v>29100.0</v>
      </c>
      <c r="G633" s="21" t="s">
        <v>2711</v>
      </c>
      <c r="H633" s="19">
        <v>4.0</v>
      </c>
      <c r="I633" s="21" t="s">
        <v>254</v>
      </c>
      <c r="J633" s="22" t="s">
        <v>2627</v>
      </c>
    </row>
    <row r="634" ht="14.25" customHeight="1">
      <c r="A634" s="15" t="s">
        <v>3344</v>
      </c>
      <c r="B634" s="16">
        <v>45097.0</v>
      </c>
      <c r="C634" s="17">
        <v>45101.0</v>
      </c>
      <c r="D634" s="18">
        <v>16.0</v>
      </c>
      <c r="E634" s="19">
        <v>5.0</v>
      </c>
      <c r="F634" s="20">
        <v>24800.0</v>
      </c>
      <c r="G634" s="21" t="s">
        <v>2711</v>
      </c>
      <c r="H634" s="19">
        <v>5.0</v>
      </c>
      <c r="I634" s="21" t="s">
        <v>1161</v>
      </c>
      <c r="J634" s="22" t="s">
        <v>2637</v>
      </c>
    </row>
    <row r="635" ht="14.25" customHeight="1">
      <c r="A635" s="15" t="s">
        <v>3345</v>
      </c>
      <c r="B635" s="16">
        <v>45097.0</v>
      </c>
      <c r="C635" s="17">
        <v>45101.0</v>
      </c>
      <c r="D635" s="18">
        <v>3.0</v>
      </c>
      <c r="E635" s="19">
        <v>1.0</v>
      </c>
      <c r="F635" s="20">
        <v>12000.0</v>
      </c>
      <c r="G635" s="21" t="s">
        <v>2711</v>
      </c>
      <c r="H635" s="19">
        <v>5.0</v>
      </c>
      <c r="I635" s="21" t="s">
        <v>382</v>
      </c>
      <c r="J635" s="22" t="s">
        <v>2632</v>
      </c>
    </row>
    <row r="636" ht="14.25" customHeight="1">
      <c r="A636" s="15" t="s">
        <v>3346</v>
      </c>
      <c r="B636" s="16">
        <v>45097.0</v>
      </c>
      <c r="C636" s="17">
        <v>45100.0</v>
      </c>
      <c r="D636" s="18">
        <v>4.0</v>
      </c>
      <c r="E636" s="19">
        <v>1.0</v>
      </c>
      <c r="F636" s="20">
        <v>12000.0</v>
      </c>
      <c r="G636" s="21" t="s">
        <v>2711</v>
      </c>
      <c r="H636" s="19">
        <v>5.0</v>
      </c>
      <c r="I636" s="21" t="s">
        <v>2184</v>
      </c>
      <c r="J636" s="22" t="s">
        <v>2527</v>
      </c>
    </row>
    <row r="637" ht="14.25" customHeight="1">
      <c r="A637" s="15" t="s">
        <v>3347</v>
      </c>
      <c r="B637" s="16">
        <v>45097.0</v>
      </c>
      <c r="C637" s="17">
        <v>45098.0</v>
      </c>
      <c r="D637" s="18">
        <v>1.0</v>
      </c>
      <c r="E637" s="19">
        <v>1.0</v>
      </c>
      <c r="F637" s="20">
        <v>12000.0</v>
      </c>
      <c r="G637" s="21" t="s">
        <v>2711</v>
      </c>
      <c r="H637" s="19">
        <v>4.0</v>
      </c>
      <c r="I637" s="21" t="s">
        <v>2338</v>
      </c>
      <c r="J637" s="22" t="s">
        <v>2532</v>
      </c>
    </row>
    <row r="638" ht="14.25" customHeight="1">
      <c r="A638" s="15" t="s">
        <v>3348</v>
      </c>
      <c r="B638" s="16">
        <v>45097.0</v>
      </c>
      <c r="C638" s="17">
        <v>45101.0</v>
      </c>
      <c r="D638" s="18">
        <v>2.0</v>
      </c>
      <c r="E638" s="19">
        <v>2.0</v>
      </c>
      <c r="F638" s="20">
        <v>14000.0</v>
      </c>
      <c r="G638" s="21" t="s">
        <v>2711</v>
      </c>
      <c r="H638" s="19">
        <v>5.0</v>
      </c>
      <c r="I638" s="21" t="s">
        <v>993</v>
      </c>
      <c r="J638" s="22" t="s">
        <v>2677</v>
      </c>
    </row>
    <row r="639" ht="14.25" customHeight="1">
      <c r="A639" s="15" t="s">
        <v>3349</v>
      </c>
      <c r="B639" s="16">
        <v>45097.0</v>
      </c>
      <c r="C639" s="17">
        <v>45102.0</v>
      </c>
      <c r="D639" s="18">
        <v>16.0</v>
      </c>
      <c r="E639" s="19">
        <v>9.0</v>
      </c>
      <c r="F639" s="20">
        <v>32800.0</v>
      </c>
      <c r="G639" s="21" t="s">
        <v>2711</v>
      </c>
      <c r="H639" s="19">
        <v>4.0</v>
      </c>
      <c r="I639" s="21" t="s">
        <v>246</v>
      </c>
      <c r="J639" s="22" t="s">
        <v>2662</v>
      </c>
    </row>
    <row r="640" ht="14.25" customHeight="1">
      <c r="A640" s="15" t="s">
        <v>3350</v>
      </c>
      <c r="B640" s="16">
        <v>45097.0</v>
      </c>
      <c r="C640" s="17">
        <v>45100.0</v>
      </c>
      <c r="D640" s="18">
        <v>4.0</v>
      </c>
      <c r="E640" s="19">
        <v>3.0</v>
      </c>
      <c r="F640" s="20">
        <v>16000.0</v>
      </c>
      <c r="G640" s="21" t="s">
        <v>2711</v>
      </c>
      <c r="H640" s="19">
        <v>4.0</v>
      </c>
      <c r="I640" s="21" t="s">
        <v>2255</v>
      </c>
      <c r="J640" s="22" t="s">
        <v>2562</v>
      </c>
    </row>
    <row r="641" ht="14.25" customHeight="1">
      <c r="A641" s="15" t="s">
        <v>3351</v>
      </c>
      <c r="B641" s="16">
        <v>45097.0</v>
      </c>
      <c r="C641" s="17">
        <v>45098.0</v>
      </c>
      <c r="D641" s="18">
        <v>2.0</v>
      </c>
      <c r="E641" s="19">
        <v>3.0</v>
      </c>
      <c r="F641" s="20">
        <v>16000.0</v>
      </c>
      <c r="G641" s="21" t="s">
        <v>2711</v>
      </c>
      <c r="H641" s="19">
        <v>4.0</v>
      </c>
      <c r="I641" s="21" t="s">
        <v>1121</v>
      </c>
      <c r="J641" s="22" t="s">
        <v>2682</v>
      </c>
    </row>
    <row r="642" ht="14.25" customHeight="1">
      <c r="A642" s="15" t="s">
        <v>3352</v>
      </c>
      <c r="B642" s="16">
        <v>45097.0</v>
      </c>
      <c r="C642" s="17">
        <v>45100.0</v>
      </c>
      <c r="D642" s="18">
        <v>13.0</v>
      </c>
      <c r="E642" s="19">
        <v>10.0</v>
      </c>
      <c r="F642" s="20">
        <v>30000.0</v>
      </c>
      <c r="G642" s="21" t="s">
        <v>2711</v>
      </c>
      <c r="H642" s="19">
        <v>4.0</v>
      </c>
      <c r="I642" s="21" t="s">
        <v>382</v>
      </c>
      <c r="J642" s="22" t="s">
        <v>2637</v>
      </c>
    </row>
    <row r="643" ht="14.25" customHeight="1">
      <c r="A643" s="15" t="s">
        <v>3353</v>
      </c>
      <c r="B643" s="16">
        <v>45097.0</v>
      </c>
      <c r="C643" s="17">
        <v>45102.0</v>
      </c>
      <c r="D643" s="18">
        <v>7.0</v>
      </c>
      <c r="E643" s="19">
        <v>8.0</v>
      </c>
      <c r="F643" s="20">
        <v>26000.0</v>
      </c>
      <c r="G643" s="21" t="s">
        <v>2711</v>
      </c>
      <c r="H643" s="19">
        <v>5.0</v>
      </c>
      <c r="I643" s="21" t="s">
        <v>2453</v>
      </c>
      <c r="J643" s="22" t="s">
        <v>2662</v>
      </c>
    </row>
    <row r="644" ht="14.25" customHeight="1">
      <c r="A644" s="15" t="s">
        <v>3354</v>
      </c>
      <c r="B644" s="16">
        <v>45097.0</v>
      </c>
      <c r="C644" s="17">
        <v>45100.0</v>
      </c>
      <c r="D644" s="18">
        <v>1.0</v>
      </c>
      <c r="E644" s="19">
        <v>2.0</v>
      </c>
      <c r="F644" s="20">
        <v>14000.0</v>
      </c>
      <c r="G644" s="21" t="s">
        <v>2711</v>
      </c>
      <c r="H644" s="19">
        <v>5.0</v>
      </c>
      <c r="I644" s="21" t="s">
        <v>811</v>
      </c>
      <c r="J644" s="22" t="s">
        <v>2597</v>
      </c>
    </row>
    <row r="645" ht="14.25" customHeight="1">
      <c r="A645" s="15" t="s">
        <v>3355</v>
      </c>
      <c r="B645" s="16">
        <v>45097.0</v>
      </c>
      <c r="C645" s="17">
        <v>45102.0</v>
      </c>
      <c r="D645" s="18">
        <v>4.0</v>
      </c>
      <c r="E645" s="19">
        <v>3.0</v>
      </c>
      <c r="F645" s="20">
        <v>16000.0</v>
      </c>
      <c r="G645" s="21" t="s">
        <v>2711</v>
      </c>
      <c r="H645" s="19">
        <v>4.0</v>
      </c>
      <c r="I645" s="21" t="s">
        <v>2409</v>
      </c>
      <c r="J645" s="22" t="s">
        <v>2622</v>
      </c>
    </row>
    <row r="646" ht="14.25" customHeight="1">
      <c r="A646" s="15" t="s">
        <v>3356</v>
      </c>
      <c r="B646" s="16">
        <v>45097.0</v>
      </c>
      <c r="C646" s="17">
        <v>45101.0</v>
      </c>
      <c r="D646" s="18">
        <v>6.0</v>
      </c>
      <c r="E646" s="19">
        <v>2.0</v>
      </c>
      <c r="F646" s="20">
        <v>14000.0</v>
      </c>
      <c r="G646" s="21" t="s">
        <v>2711</v>
      </c>
      <c r="H646" s="19">
        <v>5.0</v>
      </c>
      <c r="I646" s="21" t="s">
        <v>2255</v>
      </c>
      <c r="J646" s="22" t="s">
        <v>2602</v>
      </c>
    </row>
    <row r="647" ht="14.25" customHeight="1">
      <c r="A647" s="15" t="s">
        <v>3357</v>
      </c>
      <c r="B647" s="16">
        <v>45097.0</v>
      </c>
      <c r="C647" s="17">
        <v>45099.0</v>
      </c>
      <c r="D647" s="18">
        <v>2.0</v>
      </c>
      <c r="E647" s="19">
        <v>1.0</v>
      </c>
      <c r="F647" s="20">
        <v>12000.0</v>
      </c>
      <c r="G647" s="21" t="s">
        <v>2711</v>
      </c>
      <c r="H647" s="19">
        <v>4.0</v>
      </c>
      <c r="I647" s="21" t="s">
        <v>2473</v>
      </c>
      <c r="J647" s="22" t="s">
        <v>2490</v>
      </c>
    </row>
    <row r="648" ht="14.25" customHeight="1">
      <c r="A648" s="15" t="s">
        <v>3358</v>
      </c>
      <c r="B648" s="16">
        <v>45097.0</v>
      </c>
      <c r="C648" s="17">
        <v>45101.0</v>
      </c>
      <c r="D648" s="18">
        <v>3.0</v>
      </c>
      <c r="E648" s="19">
        <v>1.0</v>
      </c>
      <c r="F648" s="20">
        <v>12000.0</v>
      </c>
      <c r="G648" s="21" t="s">
        <v>2711</v>
      </c>
      <c r="H648" s="19">
        <v>5.0</v>
      </c>
      <c r="I648" s="21" t="s">
        <v>910</v>
      </c>
      <c r="J648" s="22" t="s">
        <v>2652</v>
      </c>
    </row>
    <row r="649" ht="14.25" customHeight="1">
      <c r="A649" s="15" t="s">
        <v>3359</v>
      </c>
      <c r="B649" s="16">
        <v>45097.0</v>
      </c>
      <c r="C649" s="17">
        <v>45098.0</v>
      </c>
      <c r="D649" s="18">
        <v>3.0</v>
      </c>
      <c r="E649" s="19">
        <v>1.0</v>
      </c>
      <c r="F649" s="20">
        <v>12000.0</v>
      </c>
      <c r="G649" s="21" t="s">
        <v>2711</v>
      </c>
      <c r="H649" s="19">
        <v>4.0</v>
      </c>
      <c r="I649" s="21" t="s">
        <v>294</v>
      </c>
      <c r="J649" s="22" t="s">
        <v>2511</v>
      </c>
    </row>
    <row r="650" ht="14.25" customHeight="1">
      <c r="A650" s="15" t="s">
        <v>3360</v>
      </c>
      <c r="B650" s="16">
        <v>45097.0</v>
      </c>
      <c r="C650" s="17">
        <v>45100.0</v>
      </c>
      <c r="D650" s="18">
        <v>3.0</v>
      </c>
      <c r="E650" s="19">
        <v>3.0</v>
      </c>
      <c r="F650" s="20">
        <v>16000.0</v>
      </c>
      <c r="G650" s="21" t="s">
        <v>2711</v>
      </c>
      <c r="H650" s="19">
        <v>5.0</v>
      </c>
      <c r="I650" s="21" t="s">
        <v>660</v>
      </c>
      <c r="J650" s="22" t="s">
        <v>2511</v>
      </c>
    </row>
    <row r="651" ht="14.25" customHeight="1">
      <c r="A651" s="15" t="s">
        <v>3361</v>
      </c>
      <c r="B651" s="16">
        <v>45097.0</v>
      </c>
      <c r="C651" s="17">
        <v>45100.0</v>
      </c>
      <c r="D651" s="18">
        <v>4.0</v>
      </c>
      <c r="E651" s="19">
        <v>1.0</v>
      </c>
      <c r="F651" s="20">
        <v>12000.0</v>
      </c>
      <c r="G651" s="21" t="s">
        <v>2711</v>
      </c>
      <c r="H651" s="19">
        <v>4.0</v>
      </c>
      <c r="I651" s="21" t="s">
        <v>680</v>
      </c>
      <c r="J651" s="22" t="s">
        <v>2617</v>
      </c>
    </row>
    <row r="652" ht="14.25" customHeight="1">
      <c r="A652" s="15" t="s">
        <v>3362</v>
      </c>
      <c r="B652" s="16">
        <v>45097.0</v>
      </c>
      <c r="C652" s="17">
        <v>45099.0</v>
      </c>
      <c r="D652" s="18">
        <v>34.0</v>
      </c>
      <c r="E652" s="19">
        <v>16.0</v>
      </c>
      <c r="F652" s="20">
        <v>52200.0</v>
      </c>
      <c r="G652" s="21" t="s">
        <v>2711</v>
      </c>
      <c r="H652" s="19">
        <v>4.0</v>
      </c>
      <c r="I652" s="21" t="s">
        <v>1157</v>
      </c>
      <c r="J652" s="22" t="s">
        <v>2521</v>
      </c>
    </row>
    <row r="653" ht="14.25" customHeight="1">
      <c r="A653" s="15" t="s">
        <v>3363</v>
      </c>
      <c r="B653" s="16">
        <v>45097.0</v>
      </c>
      <c r="C653" s="17">
        <v>45102.0</v>
      </c>
      <c r="D653" s="18">
        <v>1.0</v>
      </c>
      <c r="E653" s="19">
        <v>1.0</v>
      </c>
      <c r="F653" s="20">
        <v>12000.0</v>
      </c>
      <c r="G653" s="21" t="s">
        <v>2711</v>
      </c>
      <c r="H653" s="19">
        <v>4.0</v>
      </c>
      <c r="I653" s="21" t="s">
        <v>1001</v>
      </c>
      <c r="J653" s="22" t="s">
        <v>2490</v>
      </c>
    </row>
    <row r="654" ht="14.25" customHeight="1">
      <c r="A654" s="15" t="s">
        <v>3364</v>
      </c>
      <c r="B654" s="16">
        <v>45097.0</v>
      </c>
      <c r="C654" s="17">
        <v>45099.0</v>
      </c>
      <c r="D654" s="18">
        <v>43.0</v>
      </c>
      <c r="E654" s="19">
        <v>20.0</v>
      </c>
      <c r="F654" s="20">
        <v>62900.0</v>
      </c>
      <c r="G654" s="21" t="s">
        <v>2711</v>
      </c>
      <c r="H654" s="19">
        <v>5.0</v>
      </c>
      <c r="I654" s="21" t="s">
        <v>2350</v>
      </c>
      <c r="J654" s="22" t="s">
        <v>2521</v>
      </c>
    </row>
    <row r="655" ht="14.25" customHeight="1">
      <c r="A655" s="15" t="s">
        <v>3365</v>
      </c>
      <c r="B655" s="16">
        <v>45097.0</v>
      </c>
      <c r="C655" s="17">
        <v>45100.0</v>
      </c>
      <c r="D655" s="18">
        <v>1.0</v>
      </c>
      <c r="E655" s="19">
        <v>1.0</v>
      </c>
      <c r="F655" s="20">
        <v>12000.0</v>
      </c>
      <c r="G655" s="21" t="s">
        <v>2711</v>
      </c>
      <c r="H655" s="19">
        <v>5.0</v>
      </c>
      <c r="I655" s="21" t="s">
        <v>985</v>
      </c>
      <c r="J655" s="22" t="s">
        <v>2687</v>
      </c>
    </row>
    <row r="656" ht="14.25" customHeight="1">
      <c r="A656" s="15" t="s">
        <v>3366</v>
      </c>
      <c r="B656" s="16">
        <v>45097.0</v>
      </c>
      <c r="C656" s="17">
        <v>45099.0</v>
      </c>
      <c r="D656" s="18">
        <v>19.0</v>
      </c>
      <c r="E656" s="19">
        <v>6.0</v>
      </c>
      <c r="F656" s="20">
        <v>27700.0</v>
      </c>
      <c r="G656" s="21" t="s">
        <v>2711</v>
      </c>
      <c r="H656" s="19">
        <v>4.0</v>
      </c>
      <c r="I656" s="21" t="s">
        <v>1819</v>
      </c>
      <c r="J656" s="22" t="s">
        <v>2662</v>
      </c>
    </row>
    <row r="657" ht="14.25" customHeight="1">
      <c r="A657" s="15" t="s">
        <v>3367</v>
      </c>
      <c r="B657" s="16">
        <v>45097.0</v>
      </c>
      <c r="C657" s="17">
        <v>45098.0</v>
      </c>
      <c r="D657" s="18">
        <v>12.0</v>
      </c>
      <c r="E657" s="19">
        <v>6.0</v>
      </c>
      <c r="F657" s="20">
        <v>22000.0</v>
      </c>
      <c r="G657" s="21" t="s">
        <v>2711</v>
      </c>
      <c r="H657" s="19">
        <v>4.0</v>
      </c>
      <c r="I657" s="21" t="s">
        <v>648</v>
      </c>
      <c r="J657" s="22" t="s">
        <v>2637</v>
      </c>
    </row>
    <row r="658" ht="14.25" customHeight="1">
      <c r="A658" s="15" t="s">
        <v>3368</v>
      </c>
      <c r="B658" s="16">
        <v>45097.0</v>
      </c>
      <c r="C658" s="17">
        <v>45100.0</v>
      </c>
      <c r="D658" s="18">
        <v>1.0</v>
      </c>
      <c r="E658" s="19">
        <v>2.0</v>
      </c>
      <c r="F658" s="20">
        <v>14000.0</v>
      </c>
      <c r="G658" s="21" t="s">
        <v>2711</v>
      </c>
      <c r="H658" s="19">
        <v>4.0</v>
      </c>
      <c r="I658" s="21" t="s">
        <v>366</v>
      </c>
      <c r="J658" s="22" t="s">
        <v>2692</v>
      </c>
    </row>
    <row r="659" ht="14.25" customHeight="1">
      <c r="A659" s="15" t="s">
        <v>3369</v>
      </c>
      <c r="B659" s="16">
        <v>45097.0</v>
      </c>
      <c r="C659" s="17">
        <v>45100.0</v>
      </c>
      <c r="D659" s="18">
        <v>25.0</v>
      </c>
      <c r="E659" s="19">
        <v>27.0</v>
      </c>
      <c r="F659" s="20">
        <v>71500.0</v>
      </c>
      <c r="G659" s="21" t="s">
        <v>2711</v>
      </c>
      <c r="H659" s="19">
        <v>4.0</v>
      </c>
      <c r="I659" s="21" t="s">
        <v>30</v>
      </c>
      <c r="J659" s="22" t="s">
        <v>2521</v>
      </c>
    </row>
    <row r="660" ht="14.25" customHeight="1">
      <c r="A660" s="15" t="s">
        <v>3370</v>
      </c>
      <c r="B660" s="16">
        <v>45097.0</v>
      </c>
      <c r="C660" s="17">
        <v>45102.0</v>
      </c>
      <c r="D660" s="18">
        <v>6.0</v>
      </c>
      <c r="E660" s="19">
        <v>1.0</v>
      </c>
      <c r="F660" s="20">
        <v>12000.0</v>
      </c>
      <c r="G660" s="21" t="s">
        <v>2711</v>
      </c>
      <c r="H660" s="19">
        <v>4.0</v>
      </c>
      <c r="I660" s="21" t="s">
        <v>34</v>
      </c>
      <c r="J660" s="22" t="s">
        <v>2577</v>
      </c>
    </row>
    <row r="661" ht="14.25" customHeight="1">
      <c r="A661" s="15" t="s">
        <v>3371</v>
      </c>
      <c r="B661" s="16">
        <v>45097.0</v>
      </c>
      <c r="C661" s="17">
        <v>45100.0</v>
      </c>
      <c r="D661" s="18">
        <v>12.0</v>
      </c>
      <c r="E661" s="19">
        <v>8.0</v>
      </c>
      <c r="F661" s="20">
        <v>26000.0</v>
      </c>
      <c r="G661" s="21" t="s">
        <v>2711</v>
      </c>
      <c r="H661" s="19">
        <v>5.0</v>
      </c>
      <c r="I661" s="21" t="s">
        <v>466</v>
      </c>
      <c r="J661" s="22" t="s">
        <v>2672</v>
      </c>
    </row>
    <row r="662" ht="14.25" customHeight="1">
      <c r="A662" s="15" t="s">
        <v>3372</v>
      </c>
      <c r="B662" s="16">
        <v>45097.0</v>
      </c>
      <c r="C662" s="17">
        <v>45101.0</v>
      </c>
      <c r="D662" s="18">
        <v>5.0</v>
      </c>
      <c r="E662" s="19">
        <v>1.0</v>
      </c>
      <c r="F662" s="20">
        <v>12000.0</v>
      </c>
      <c r="G662" s="21" t="s">
        <v>2711</v>
      </c>
      <c r="H662" s="19">
        <v>4.0</v>
      </c>
      <c r="I662" s="21" t="s">
        <v>636</v>
      </c>
      <c r="J662" s="22" t="s">
        <v>2592</v>
      </c>
    </row>
    <row r="663" ht="14.25" customHeight="1">
      <c r="A663" s="15" t="s">
        <v>3373</v>
      </c>
      <c r="B663" s="16">
        <v>45097.0</v>
      </c>
      <c r="C663" s="17">
        <v>45098.0</v>
      </c>
      <c r="D663" s="18">
        <v>5.0</v>
      </c>
      <c r="E663" s="19">
        <v>2.0</v>
      </c>
      <c r="F663" s="20">
        <v>14000.0</v>
      </c>
      <c r="G663" s="21" t="s">
        <v>2711</v>
      </c>
      <c r="H663" s="19">
        <v>4.0</v>
      </c>
      <c r="I663" s="21" t="s">
        <v>2251</v>
      </c>
      <c r="J663" s="22" t="s">
        <v>2592</v>
      </c>
    </row>
    <row r="664" ht="14.25" customHeight="1">
      <c r="A664" s="15" t="s">
        <v>3374</v>
      </c>
      <c r="B664" s="16">
        <v>45097.0</v>
      </c>
      <c r="C664" s="17">
        <v>45098.0</v>
      </c>
      <c r="D664" s="18">
        <v>27.0</v>
      </c>
      <c r="E664" s="19">
        <v>18.0</v>
      </c>
      <c r="F664" s="20">
        <v>54100.0</v>
      </c>
      <c r="G664" s="21" t="s">
        <v>2711</v>
      </c>
      <c r="H664" s="19">
        <v>5.0</v>
      </c>
      <c r="I664" s="21" t="s">
        <v>86</v>
      </c>
      <c r="J664" s="22" t="s">
        <v>2521</v>
      </c>
    </row>
    <row r="665" ht="14.25" customHeight="1">
      <c r="A665" s="15" t="s">
        <v>3375</v>
      </c>
      <c r="B665" s="17">
        <v>45098.0</v>
      </c>
      <c r="C665" s="17">
        <f>B665 + RANDBETWEEN(1,5)</f>
        <v>45101</v>
      </c>
      <c r="D665" s="18">
        <v>4.0</v>
      </c>
      <c r="E665" s="19">
        <v>3.0</v>
      </c>
      <c r="F665" s="20">
        <v>16000.0</v>
      </c>
      <c r="G665" s="21" t="s">
        <v>2711</v>
      </c>
      <c r="H665" s="19">
        <v>5.0</v>
      </c>
      <c r="I665" s="21" t="s">
        <v>2287</v>
      </c>
      <c r="J665" s="22" t="s">
        <v>2567</v>
      </c>
    </row>
    <row r="666" ht="14.25" customHeight="1">
      <c r="A666" s="15" t="s">
        <v>3376</v>
      </c>
      <c r="B666" s="16">
        <v>45098.0</v>
      </c>
      <c r="C666" s="17">
        <v>45099.0</v>
      </c>
      <c r="D666" s="18">
        <v>12.0</v>
      </c>
      <c r="E666" s="19">
        <v>5.0</v>
      </c>
      <c r="F666" s="20">
        <v>20000.0</v>
      </c>
      <c r="G666" s="21" t="s">
        <v>2711</v>
      </c>
      <c r="H666" s="19">
        <v>4.0</v>
      </c>
      <c r="I666" s="21" t="s">
        <v>2136</v>
      </c>
      <c r="J666" s="22" t="s">
        <v>2637</v>
      </c>
    </row>
    <row r="667" ht="14.25" customHeight="1">
      <c r="A667" s="15" t="s">
        <v>3377</v>
      </c>
      <c r="B667" s="16">
        <v>45098.0</v>
      </c>
      <c r="C667" s="17">
        <v>45101.0</v>
      </c>
      <c r="D667" s="18">
        <v>18.0</v>
      </c>
      <c r="E667" s="19">
        <v>8.0</v>
      </c>
      <c r="F667" s="20">
        <v>31400.0</v>
      </c>
      <c r="G667" s="21" t="s">
        <v>2711</v>
      </c>
      <c r="H667" s="19">
        <v>4.0</v>
      </c>
      <c r="I667" s="21" t="s">
        <v>1914</v>
      </c>
      <c r="J667" s="22" t="s">
        <v>2637</v>
      </c>
    </row>
    <row r="668" ht="14.25" customHeight="1">
      <c r="A668" s="15" t="s">
        <v>3378</v>
      </c>
      <c r="B668" s="16">
        <v>45098.0</v>
      </c>
      <c r="C668" s="17">
        <v>45099.0</v>
      </c>
      <c r="D668" s="18">
        <v>3.0</v>
      </c>
      <c r="E668" s="19">
        <v>2.0</v>
      </c>
      <c r="F668" s="20">
        <v>14000.0</v>
      </c>
      <c r="G668" s="21" t="s">
        <v>2711</v>
      </c>
      <c r="H668" s="19">
        <v>4.0</v>
      </c>
      <c r="I668" s="21" t="s">
        <v>2381</v>
      </c>
      <c r="J668" s="22" t="s">
        <v>2642</v>
      </c>
    </row>
    <row r="669" ht="14.25" customHeight="1">
      <c r="A669" s="15" t="s">
        <v>3379</v>
      </c>
      <c r="B669" s="16">
        <v>45098.0</v>
      </c>
      <c r="C669" s="17">
        <v>45101.0</v>
      </c>
      <c r="D669" s="18">
        <v>1.0</v>
      </c>
      <c r="E669" s="19">
        <v>3.0</v>
      </c>
      <c r="F669" s="20">
        <v>16000.0</v>
      </c>
      <c r="G669" s="21" t="s">
        <v>2711</v>
      </c>
      <c r="H669" s="19">
        <v>5.0</v>
      </c>
      <c r="I669" s="21" t="s">
        <v>506</v>
      </c>
      <c r="J669" s="22" t="s">
        <v>2542</v>
      </c>
    </row>
    <row r="670" ht="14.25" customHeight="1">
      <c r="A670" s="15" t="s">
        <v>3380</v>
      </c>
      <c r="B670" s="16">
        <v>45098.0</v>
      </c>
      <c r="C670" s="17">
        <v>45101.0</v>
      </c>
      <c r="D670" s="18">
        <v>1.0</v>
      </c>
      <c r="E670" s="19">
        <v>1.0</v>
      </c>
      <c r="F670" s="20">
        <v>12000.0</v>
      </c>
      <c r="G670" s="21" t="s">
        <v>2711</v>
      </c>
      <c r="H670" s="19">
        <v>4.0</v>
      </c>
      <c r="I670" s="21" t="s">
        <v>862</v>
      </c>
      <c r="J670" s="22" t="s">
        <v>2506</v>
      </c>
    </row>
    <row r="671" ht="14.25" customHeight="1">
      <c r="A671" s="15" t="s">
        <v>3381</v>
      </c>
      <c r="B671" s="16">
        <v>45098.0</v>
      </c>
      <c r="C671" s="17">
        <v>45103.0</v>
      </c>
      <c r="D671" s="18">
        <v>5.0</v>
      </c>
      <c r="E671" s="19">
        <v>3.0</v>
      </c>
      <c r="F671" s="20">
        <v>16000.0</v>
      </c>
      <c r="G671" s="21" t="s">
        <v>2711</v>
      </c>
      <c r="H671" s="19">
        <v>5.0</v>
      </c>
      <c r="I671" s="21" t="s">
        <v>1304</v>
      </c>
      <c r="J671" s="22" t="s">
        <v>2602</v>
      </c>
    </row>
    <row r="672" ht="14.25" customHeight="1">
      <c r="A672" s="15" t="s">
        <v>3382</v>
      </c>
      <c r="B672" s="16">
        <v>45098.0</v>
      </c>
      <c r="C672" s="17">
        <v>45101.0</v>
      </c>
      <c r="D672" s="18">
        <v>12.0</v>
      </c>
      <c r="E672" s="19">
        <v>4.0</v>
      </c>
      <c r="F672" s="20">
        <v>18000.0</v>
      </c>
      <c r="G672" s="21" t="s">
        <v>2711</v>
      </c>
      <c r="H672" s="19">
        <v>5.0</v>
      </c>
      <c r="I672" s="21" t="s">
        <v>886</v>
      </c>
      <c r="J672" s="22" t="s">
        <v>2662</v>
      </c>
    </row>
    <row r="673" ht="14.25" customHeight="1">
      <c r="A673" s="15" t="s">
        <v>3383</v>
      </c>
      <c r="B673" s="16">
        <v>45098.0</v>
      </c>
      <c r="C673" s="17">
        <v>45099.0</v>
      </c>
      <c r="D673" s="18">
        <v>2.0</v>
      </c>
      <c r="E673" s="19">
        <v>1.0</v>
      </c>
      <c r="F673" s="20">
        <v>12000.0</v>
      </c>
      <c r="G673" s="21" t="s">
        <v>2711</v>
      </c>
      <c r="H673" s="19">
        <v>4.0</v>
      </c>
      <c r="I673" s="21" t="s">
        <v>2180</v>
      </c>
      <c r="J673" s="22" t="s">
        <v>2496</v>
      </c>
    </row>
    <row r="674" ht="14.25" customHeight="1">
      <c r="A674" s="15" t="s">
        <v>3384</v>
      </c>
      <c r="B674" s="16">
        <v>45098.0</v>
      </c>
      <c r="C674" s="17">
        <v>45100.0</v>
      </c>
      <c r="D674" s="18">
        <v>4.0</v>
      </c>
      <c r="E674" s="19">
        <v>2.0</v>
      </c>
      <c r="F674" s="20">
        <v>14000.0</v>
      </c>
      <c r="G674" s="21" t="s">
        <v>2711</v>
      </c>
      <c r="H674" s="19">
        <v>5.0</v>
      </c>
      <c r="I674" s="21" t="s">
        <v>846</v>
      </c>
      <c r="J674" s="22" t="s">
        <v>2692</v>
      </c>
    </row>
    <row r="675" ht="14.25" customHeight="1">
      <c r="A675" s="15" t="s">
        <v>3385</v>
      </c>
      <c r="B675" s="16">
        <v>45098.0</v>
      </c>
      <c r="C675" s="17">
        <v>45100.0</v>
      </c>
      <c r="D675" s="18">
        <v>12.0</v>
      </c>
      <c r="E675" s="19">
        <v>5.0</v>
      </c>
      <c r="F675" s="20">
        <v>20000.0</v>
      </c>
      <c r="G675" s="21" t="s">
        <v>2711</v>
      </c>
      <c r="H675" s="19">
        <v>5.0</v>
      </c>
      <c r="I675" s="21" t="s">
        <v>214</v>
      </c>
      <c r="J675" s="22" t="s">
        <v>2607</v>
      </c>
    </row>
    <row r="676" ht="14.25" customHeight="1">
      <c r="A676" s="15" t="s">
        <v>3386</v>
      </c>
      <c r="B676" s="16">
        <v>45098.0</v>
      </c>
      <c r="C676" s="17">
        <v>45099.0</v>
      </c>
      <c r="D676" s="18">
        <v>2.0</v>
      </c>
      <c r="E676" s="19">
        <v>1.0</v>
      </c>
      <c r="F676" s="20">
        <v>12000.0</v>
      </c>
      <c r="G676" s="21" t="s">
        <v>2711</v>
      </c>
      <c r="H676" s="19">
        <v>5.0</v>
      </c>
      <c r="I676" s="21" t="s">
        <v>1093</v>
      </c>
      <c r="J676" s="22" t="s">
        <v>2557</v>
      </c>
    </row>
    <row r="677" ht="14.25" customHeight="1">
      <c r="A677" s="15" t="s">
        <v>3387</v>
      </c>
      <c r="B677" s="16">
        <v>45098.0</v>
      </c>
      <c r="C677" s="17">
        <v>45100.0</v>
      </c>
      <c r="D677" s="18">
        <v>20.0</v>
      </c>
      <c r="E677" s="19">
        <v>5.0</v>
      </c>
      <c r="F677" s="20">
        <v>26000.0</v>
      </c>
      <c r="G677" s="21" t="s">
        <v>2711</v>
      </c>
      <c r="H677" s="19">
        <v>5.0</v>
      </c>
      <c r="I677" s="21" t="s">
        <v>2279</v>
      </c>
      <c r="J677" s="22" t="s">
        <v>2697</v>
      </c>
    </row>
    <row r="678" ht="14.25" customHeight="1">
      <c r="A678" s="15" t="s">
        <v>3388</v>
      </c>
      <c r="B678" s="16">
        <v>45098.0</v>
      </c>
      <c r="C678" s="17">
        <v>45101.0</v>
      </c>
      <c r="D678" s="18">
        <v>3.0</v>
      </c>
      <c r="E678" s="19">
        <v>1.0</v>
      </c>
      <c r="F678" s="20">
        <v>12000.0</v>
      </c>
      <c r="G678" s="21" t="s">
        <v>2711</v>
      </c>
      <c r="H678" s="19">
        <v>5.0</v>
      </c>
      <c r="I678" s="21" t="s">
        <v>86</v>
      </c>
      <c r="J678" s="22" t="s">
        <v>2496</v>
      </c>
      <c r="K678" s="27"/>
    </row>
    <row r="679" ht="14.25" customHeight="1">
      <c r="A679" s="15" t="s">
        <v>3389</v>
      </c>
      <c r="B679" s="16">
        <v>45098.0</v>
      </c>
      <c r="C679" s="17">
        <v>45100.0</v>
      </c>
      <c r="D679" s="18">
        <v>4.0</v>
      </c>
      <c r="E679" s="19">
        <v>3.0</v>
      </c>
      <c r="F679" s="20">
        <v>16000.0</v>
      </c>
      <c r="G679" s="21" t="s">
        <v>2711</v>
      </c>
      <c r="H679" s="19">
        <v>4.0</v>
      </c>
      <c r="I679" s="21" t="s">
        <v>2176</v>
      </c>
      <c r="J679" s="22" t="s">
        <v>2622</v>
      </c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</row>
    <row r="680" ht="14.25" customHeight="1">
      <c r="A680" s="15" t="s">
        <v>3390</v>
      </c>
      <c r="B680" s="16">
        <v>45098.0</v>
      </c>
      <c r="C680" s="17">
        <v>45099.0</v>
      </c>
      <c r="D680" s="18">
        <v>8.0</v>
      </c>
      <c r="E680" s="19">
        <v>8.0</v>
      </c>
      <c r="F680" s="20">
        <v>26000.0</v>
      </c>
      <c r="G680" s="21" t="s">
        <v>2711</v>
      </c>
      <c r="H680" s="19">
        <v>4.0</v>
      </c>
      <c r="I680" s="21" t="s">
        <v>1882</v>
      </c>
      <c r="J680" s="22" t="s">
        <v>2537</v>
      </c>
    </row>
    <row r="681" ht="14.25" customHeight="1">
      <c r="A681" s="15" t="s">
        <v>3391</v>
      </c>
      <c r="B681" s="16">
        <v>45098.0</v>
      </c>
      <c r="C681" s="17">
        <v>45103.0</v>
      </c>
      <c r="D681" s="18">
        <v>4.0</v>
      </c>
      <c r="E681" s="19">
        <v>1.0</v>
      </c>
      <c r="F681" s="20">
        <v>12000.0</v>
      </c>
      <c r="G681" s="21" t="s">
        <v>2711</v>
      </c>
      <c r="H681" s="19">
        <v>5.0</v>
      </c>
      <c r="I681" s="21" t="s">
        <v>1017</v>
      </c>
      <c r="J681" s="22" t="s">
        <v>2617</v>
      </c>
    </row>
    <row r="682" ht="14.25" customHeight="1">
      <c r="A682" s="15" t="s">
        <v>3392</v>
      </c>
      <c r="B682" s="16">
        <v>45098.0</v>
      </c>
      <c r="C682" s="17">
        <v>45103.0</v>
      </c>
      <c r="D682" s="18">
        <v>19.0</v>
      </c>
      <c r="E682" s="19">
        <v>4.0</v>
      </c>
      <c r="F682" s="20">
        <v>23700.0</v>
      </c>
      <c r="G682" s="21" t="s">
        <v>2711</v>
      </c>
      <c r="H682" s="19">
        <v>4.0</v>
      </c>
      <c r="I682" s="21" t="s">
        <v>2358</v>
      </c>
      <c r="J682" s="22" t="s">
        <v>2501</v>
      </c>
    </row>
    <row r="683" ht="14.25" customHeight="1">
      <c r="A683" s="15" t="s">
        <v>3393</v>
      </c>
      <c r="B683" s="16">
        <v>45098.0</v>
      </c>
      <c r="C683" s="17">
        <v>45100.0</v>
      </c>
      <c r="D683" s="18">
        <v>4.0</v>
      </c>
      <c r="E683" s="19">
        <v>1.0</v>
      </c>
      <c r="F683" s="20">
        <v>12000.0</v>
      </c>
      <c r="G683" s="21" t="s">
        <v>2711</v>
      </c>
      <c r="H683" s="19">
        <v>4.0</v>
      </c>
      <c r="I683" s="21" t="s">
        <v>246</v>
      </c>
      <c r="J683" s="22" t="s">
        <v>2617</v>
      </c>
    </row>
    <row r="684" ht="14.25" customHeight="1">
      <c r="A684" s="15" t="s">
        <v>3394</v>
      </c>
      <c r="B684" s="16">
        <v>45098.0</v>
      </c>
      <c r="C684" s="17">
        <v>45099.0</v>
      </c>
      <c r="D684" s="18">
        <v>19.0</v>
      </c>
      <c r="E684" s="19">
        <v>8.0</v>
      </c>
      <c r="F684" s="20">
        <v>31700.0</v>
      </c>
      <c r="G684" s="21" t="s">
        <v>2711</v>
      </c>
      <c r="H684" s="19">
        <v>5.0</v>
      </c>
      <c r="I684" s="21" t="s">
        <v>1363</v>
      </c>
      <c r="J684" s="22" t="s">
        <v>2501</v>
      </c>
    </row>
    <row r="685" ht="14.25" customHeight="1">
      <c r="A685" s="15" t="s">
        <v>3395</v>
      </c>
      <c r="B685" s="16">
        <v>45098.0</v>
      </c>
      <c r="C685" s="17">
        <v>45101.0</v>
      </c>
      <c r="D685" s="18">
        <v>3.0</v>
      </c>
      <c r="E685" s="19">
        <v>3.0</v>
      </c>
      <c r="F685" s="20">
        <v>16000.0</v>
      </c>
      <c r="G685" s="21" t="s">
        <v>2711</v>
      </c>
      <c r="H685" s="19">
        <v>5.0</v>
      </c>
      <c r="I685" s="21" t="s">
        <v>1736</v>
      </c>
      <c r="J685" s="22" t="s">
        <v>2527</v>
      </c>
    </row>
    <row r="686" ht="14.25" customHeight="1">
      <c r="A686" s="15" t="s">
        <v>3396</v>
      </c>
      <c r="B686" s="16">
        <v>45098.0</v>
      </c>
      <c r="C686" s="17">
        <v>45100.0</v>
      </c>
      <c r="D686" s="18">
        <v>6.0</v>
      </c>
      <c r="E686" s="19">
        <v>3.0</v>
      </c>
      <c r="F686" s="20">
        <v>16000.0</v>
      </c>
      <c r="G686" s="21" t="s">
        <v>2711</v>
      </c>
      <c r="H686" s="19">
        <v>5.0</v>
      </c>
      <c r="I686" s="21" t="s">
        <v>946</v>
      </c>
      <c r="J686" s="22" t="s">
        <v>2567</v>
      </c>
    </row>
    <row r="687" ht="14.25" customHeight="1">
      <c r="A687" s="15" t="s">
        <v>3397</v>
      </c>
      <c r="B687" s="16">
        <v>45098.0</v>
      </c>
      <c r="C687" s="17">
        <v>45099.0</v>
      </c>
      <c r="D687" s="18">
        <v>4.0</v>
      </c>
      <c r="E687" s="19">
        <v>1.0</v>
      </c>
      <c r="F687" s="20">
        <v>12000.0</v>
      </c>
      <c r="G687" s="21" t="s">
        <v>2711</v>
      </c>
      <c r="H687" s="19">
        <v>5.0</v>
      </c>
      <c r="I687" s="21" t="s">
        <v>1815</v>
      </c>
      <c r="J687" s="22" t="s">
        <v>2677</v>
      </c>
    </row>
    <row r="688" ht="14.25" customHeight="1">
      <c r="A688" s="15" t="s">
        <v>3398</v>
      </c>
      <c r="B688" s="16">
        <v>45098.0</v>
      </c>
      <c r="C688" s="17">
        <v>45101.0</v>
      </c>
      <c r="D688" s="18">
        <v>4.0</v>
      </c>
      <c r="E688" s="19">
        <v>1.0</v>
      </c>
      <c r="F688" s="20">
        <v>12000.0</v>
      </c>
      <c r="G688" s="21" t="s">
        <v>2711</v>
      </c>
      <c r="H688" s="19">
        <v>4.0</v>
      </c>
      <c r="I688" s="21" t="s">
        <v>1937</v>
      </c>
      <c r="J688" s="22" t="s">
        <v>2652</v>
      </c>
    </row>
    <row r="689" ht="14.25" customHeight="1">
      <c r="A689" s="15" t="s">
        <v>3399</v>
      </c>
      <c r="B689" s="16">
        <v>45098.0</v>
      </c>
      <c r="C689" s="17">
        <v>45101.0</v>
      </c>
      <c r="D689" s="18">
        <v>15.0</v>
      </c>
      <c r="E689" s="19">
        <v>7.0</v>
      </c>
      <c r="F689" s="20">
        <v>28500.0</v>
      </c>
      <c r="G689" s="21" t="s">
        <v>2711</v>
      </c>
      <c r="H689" s="19">
        <v>5.0</v>
      </c>
      <c r="I689" s="21" t="s">
        <v>2192</v>
      </c>
      <c r="J689" s="22" t="s">
        <v>2627</v>
      </c>
    </row>
    <row r="690" ht="14.25" customHeight="1">
      <c r="A690" s="15" t="s">
        <v>3400</v>
      </c>
      <c r="B690" s="16">
        <v>45098.0</v>
      </c>
      <c r="C690" s="17">
        <v>45103.0</v>
      </c>
      <c r="D690" s="18">
        <v>4.0</v>
      </c>
      <c r="E690" s="19">
        <v>2.0</v>
      </c>
      <c r="F690" s="20">
        <v>14000.0</v>
      </c>
      <c r="G690" s="21" t="s">
        <v>2711</v>
      </c>
      <c r="H690" s="19">
        <v>4.0</v>
      </c>
      <c r="I690" s="21" t="s">
        <v>82</v>
      </c>
      <c r="J690" s="22" t="s">
        <v>2597</v>
      </c>
    </row>
    <row r="691" ht="14.25" customHeight="1">
      <c r="A691" s="15" t="s">
        <v>3401</v>
      </c>
      <c r="B691" s="16">
        <v>45098.0</v>
      </c>
      <c r="C691" s="17">
        <v>45102.0</v>
      </c>
      <c r="D691" s="18">
        <v>2.0</v>
      </c>
      <c r="E691" s="19">
        <v>1.0</v>
      </c>
      <c r="F691" s="20">
        <v>12000.0</v>
      </c>
      <c r="G691" s="21" t="s">
        <v>2711</v>
      </c>
      <c r="H691" s="19">
        <v>5.0</v>
      </c>
      <c r="I691" s="21" t="s">
        <v>358</v>
      </c>
      <c r="J691" s="22" t="s">
        <v>2582</v>
      </c>
    </row>
    <row r="692" ht="14.25" customHeight="1">
      <c r="A692" s="15" t="s">
        <v>3402</v>
      </c>
      <c r="B692" s="16">
        <v>45098.0</v>
      </c>
      <c r="C692" s="17">
        <v>45100.0</v>
      </c>
      <c r="D692" s="18">
        <v>16.0</v>
      </c>
      <c r="E692" s="19">
        <v>10.0</v>
      </c>
      <c r="F692" s="20">
        <v>34800.0</v>
      </c>
      <c r="G692" s="21" t="s">
        <v>2711</v>
      </c>
      <c r="H692" s="19">
        <v>5.0</v>
      </c>
      <c r="I692" s="21" t="s">
        <v>2306</v>
      </c>
      <c r="J692" s="22" t="s">
        <v>2587</v>
      </c>
    </row>
    <row r="693" ht="14.25" customHeight="1">
      <c r="A693" s="15" t="s">
        <v>3403</v>
      </c>
      <c r="B693" s="16">
        <v>45098.0</v>
      </c>
      <c r="C693" s="17">
        <v>45103.0</v>
      </c>
      <c r="D693" s="18">
        <v>4.0</v>
      </c>
      <c r="E693" s="19">
        <v>2.0</v>
      </c>
      <c r="F693" s="20">
        <v>14000.0</v>
      </c>
      <c r="G693" s="21" t="s">
        <v>2711</v>
      </c>
      <c r="H693" s="19">
        <v>5.0</v>
      </c>
      <c r="I693" s="21" t="s">
        <v>1041</v>
      </c>
      <c r="J693" s="22" t="s">
        <v>2597</v>
      </c>
    </row>
    <row r="694" ht="14.25" customHeight="1">
      <c r="A694" s="15" t="s">
        <v>3404</v>
      </c>
      <c r="B694" s="16">
        <v>45098.0</v>
      </c>
      <c r="C694" s="17">
        <v>45102.0</v>
      </c>
      <c r="D694" s="18">
        <v>5.0</v>
      </c>
      <c r="E694" s="19">
        <v>3.0</v>
      </c>
      <c r="F694" s="20">
        <v>16000.0</v>
      </c>
      <c r="G694" s="21" t="s">
        <v>2711</v>
      </c>
      <c r="H694" s="19">
        <v>4.0</v>
      </c>
      <c r="I694" s="21" t="s">
        <v>573</v>
      </c>
      <c r="J694" s="22" t="s">
        <v>2577</v>
      </c>
    </row>
    <row r="695" ht="14.25" customHeight="1">
      <c r="A695" s="15" t="s">
        <v>3405</v>
      </c>
      <c r="B695" s="16">
        <v>45098.0</v>
      </c>
      <c r="C695" s="17">
        <v>45102.0</v>
      </c>
      <c r="D695" s="18">
        <v>6.0</v>
      </c>
      <c r="E695" s="19">
        <v>2.0</v>
      </c>
      <c r="F695" s="20">
        <v>14000.0</v>
      </c>
      <c r="G695" s="21" t="s">
        <v>2711</v>
      </c>
      <c r="H695" s="19">
        <v>5.0</v>
      </c>
      <c r="I695" s="21" t="s">
        <v>2152</v>
      </c>
      <c r="J695" s="22" t="s">
        <v>2562</v>
      </c>
    </row>
    <row r="696" ht="14.25" customHeight="1">
      <c r="A696" s="15" t="s">
        <v>3406</v>
      </c>
      <c r="B696" s="16">
        <v>45098.0</v>
      </c>
      <c r="C696" s="17">
        <v>45103.0</v>
      </c>
      <c r="D696" s="18">
        <v>2.0</v>
      </c>
      <c r="E696" s="19">
        <v>2.0</v>
      </c>
      <c r="F696" s="20">
        <v>14000.0</v>
      </c>
      <c r="G696" s="21" t="s">
        <v>2711</v>
      </c>
      <c r="H696" s="19">
        <v>5.0</v>
      </c>
      <c r="I696" s="21" t="s">
        <v>2457</v>
      </c>
      <c r="J696" s="22" t="s">
        <v>2612</v>
      </c>
    </row>
    <row r="697" ht="14.25" customHeight="1">
      <c r="A697" s="15" t="s">
        <v>3407</v>
      </c>
      <c r="B697" s="16">
        <v>45098.0</v>
      </c>
      <c r="C697" s="17">
        <v>45101.0</v>
      </c>
      <c r="D697" s="18">
        <v>3.0</v>
      </c>
      <c r="E697" s="19">
        <v>1.0</v>
      </c>
      <c r="F697" s="20">
        <v>12000.0</v>
      </c>
      <c r="G697" s="21" t="s">
        <v>2711</v>
      </c>
      <c r="H697" s="19">
        <v>4.0</v>
      </c>
      <c r="I697" s="21" t="s">
        <v>585</v>
      </c>
      <c r="J697" s="22" t="s">
        <v>2582</v>
      </c>
    </row>
    <row r="698" ht="14.25" customHeight="1">
      <c r="A698" s="15" t="s">
        <v>3408</v>
      </c>
      <c r="B698" s="16">
        <v>45098.0</v>
      </c>
      <c r="C698" s="17">
        <v>45101.0</v>
      </c>
      <c r="D698" s="18">
        <v>2.0</v>
      </c>
      <c r="E698" s="19">
        <v>2.0</v>
      </c>
      <c r="F698" s="20">
        <v>14000.0</v>
      </c>
      <c r="G698" s="21" t="s">
        <v>2711</v>
      </c>
      <c r="H698" s="19">
        <v>5.0</v>
      </c>
      <c r="I698" s="21" t="s">
        <v>1176</v>
      </c>
      <c r="J698" s="22" t="s">
        <v>2557</v>
      </c>
    </row>
    <row r="699" ht="14.25" customHeight="1">
      <c r="A699" s="15" t="s">
        <v>3409</v>
      </c>
      <c r="B699" s="16">
        <v>45098.0</v>
      </c>
      <c r="C699" s="17">
        <v>45102.0</v>
      </c>
      <c r="D699" s="18">
        <v>5.0</v>
      </c>
      <c r="E699" s="19">
        <v>2.0</v>
      </c>
      <c r="F699" s="20">
        <v>14000.0</v>
      </c>
      <c r="G699" s="21" t="s">
        <v>2711</v>
      </c>
      <c r="H699" s="19">
        <v>5.0</v>
      </c>
      <c r="I699" s="21" t="s">
        <v>2164</v>
      </c>
      <c r="J699" s="22" t="s">
        <v>2612</v>
      </c>
    </row>
    <row r="700" ht="14.25" customHeight="1">
      <c r="A700" s="15" t="s">
        <v>3410</v>
      </c>
      <c r="B700" s="17">
        <v>45099.0</v>
      </c>
      <c r="C700" s="17">
        <f t="shared" ref="C700:C702" si="7">B700 + RANDBETWEEN(1,5)</f>
        <v>45103</v>
      </c>
      <c r="D700" s="18">
        <v>6.0</v>
      </c>
      <c r="E700" s="19">
        <v>1.0</v>
      </c>
      <c r="F700" s="20">
        <v>12000.0</v>
      </c>
      <c r="G700" s="21" t="s">
        <v>2711</v>
      </c>
      <c r="H700" s="19">
        <v>4.0</v>
      </c>
      <c r="I700" s="21" t="s">
        <v>1045</v>
      </c>
      <c r="J700" s="22" t="s">
        <v>2617</v>
      </c>
    </row>
    <row r="701" ht="14.25" customHeight="1">
      <c r="A701" s="15" t="s">
        <v>3411</v>
      </c>
      <c r="B701" s="17">
        <v>45099.0</v>
      </c>
      <c r="C701" s="17">
        <f t="shared" si="7"/>
        <v>45101</v>
      </c>
      <c r="D701" s="18">
        <v>4.0</v>
      </c>
      <c r="E701" s="19">
        <v>2.0</v>
      </c>
      <c r="F701" s="20">
        <v>14000.0</v>
      </c>
      <c r="G701" s="21" t="s">
        <v>2711</v>
      </c>
      <c r="H701" s="19">
        <v>4.0</v>
      </c>
      <c r="I701" s="21" t="s">
        <v>2108</v>
      </c>
      <c r="J701" s="22" t="s">
        <v>2542</v>
      </c>
    </row>
    <row r="702" ht="14.25" customHeight="1">
      <c r="A702" s="15" t="s">
        <v>3412</v>
      </c>
      <c r="B702" s="17">
        <v>45099.0</v>
      </c>
      <c r="C702" s="17">
        <f t="shared" si="7"/>
        <v>45101</v>
      </c>
      <c r="D702" s="18">
        <v>2.0</v>
      </c>
      <c r="E702" s="19">
        <v>2.0</v>
      </c>
      <c r="F702" s="20">
        <v>14000.0</v>
      </c>
      <c r="G702" s="21" t="s">
        <v>2711</v>
      </c>
      <c r="H702" s="19">
        <v>5.0</v>
      </c>
      <c r="I702" s="21" t="s">
        <v>1374</v>
      </c>
      <c r="J702" s="22" t="s">
        <v>2532</v>
      </c>
    </row>
    <row r="703" ht="14.25" customHeight="1">
      <c r="A703" s="15" t="s">
        <v>3413</v>
      </c>
      <c r="B703" s="16">
        <v>45099.0</v>
      </c>
      <c r="C703" s="17">
        <v>45104.0</v>
      </c>
      <c r="D703" s="18">
        <v>6.0</v>
      </c>
      <c r="E703" s="19">
        <v>3.0</v>
      </c>
      <c r="F703" s="20">
        <v>16000.0</v>
      </c>
      <c r="G703" s="21" t="s">
        <v>2711</v>
      </c>
      <c r="H703" s="19">
        <v>4.0</v>
      </c>
      <c r="I703" s="21" t="s">
        <v>122</v>
      </c>
      <c r="J703" s="22" t="s">
        <v>2506</v>
      </c>
    </row>
    <row r="704" ht="14.25" customHeight="1">
      <c r="A704" s="15" t="s">
        <v>3414</v>
      </c>
      <c r="B704" s="16">
        <v>45099.0</v>
      </c>
      <c r="C704" s="17">
        <v>45100.0</v>
      </c>
      <c r="D704" s="18">
        <v>3.0</v>
      </c>
      <c r="E704" s="19">
        <v>2.0</v>
      </c>
      <c r="F704" s="20">
        <v>14000.0</v>
      </c>
      <c r="G704" s="21" t="s">
        <v>2711</v>
      </c>
      <c r="H704" s="19">
        <v>4.0</v>
      </c>
      <c r="I704" s="21" t="s">
        <v>1834</v>
      </c>
      <c r="J704" s="22" t="s">
        <v>2567</v>
      </c>
    </row>
    <row r="705" ht="14.25" customHeight="1">
      <c r="A705" s="15" t="s">
        <v>3415</v>
      </c>
      <c r="B705" s="16">
        <v>45099.0</v>
      </c>
      <c r="C705" s="17">
        <v>45102.0</v>
      </c>
      <c r="D705" s="18">
        <v>6.0</v>
      </c>
      <c r="E705" s="19">
        <v>3.0</v>
      </c>
      <c r="F705" s="20">
        <v>16000.0</v>
      </c>
      <c r="G705" s="21" t="s">
        <v>2711</v>
      </c>
      <c r="H705" s="19">
        <v>4.0</v>
      </c>
      <c r="I705" s="21" t="s">
        <v>2283</v>
      </c>
      <c r="J705" s="22" t="s">
        <v>2652</v>
      </c>
    </row>
    <row r="706" ht="14.25" customHeight="1">
      <c r="A706" s="15" t="s">
        <v>3416</v>
      </c>
      <c r="B706" s="16">
        <v>45099.0</v>
      </c>
      <c r="C706" s="17">
        <v>45101.0</v>
      </c>
      <c r="D706" s="18">
        <v>4.0</v>
      </c>
      <c r="E706" s="19">
        <v>1.0</v>
      </c>
      <c r="F706" s="20">
        <v>12000.0</v>
      </c>
      <c r="G706" s="21" t="s">
        <v>2711</v>
      </c>
      <c r="H706" s="19">
        <v>5.0</v>
      </c>
      <c r="I706" s="21" t="s">
        <v>1359</v>
      </c>
      <c r="J706" s="22" t="s">
        <v>2632</v>
      </c>
    </row>
    <row r="707" ht="14.25" customHeight="1">
      <c r="A707" s="15" t="s">
        <v>3417</v>
      </c>
      <c r="B707" s="16">
        <v>45099.0</v>
      </c>
      <c r="C707" s="17">
        <v>45103.0</v>
      </c>
      <c r="D707" s="18">
        <v>4.0</v>
      </c>
      <c r="E707" s="19">
        <v>2.0</v>
      </c>
      <c r="F707" s="20">
        <v>14000.0</v>
      </c>
      <c r="G707" s="21" t="s">
        <v>2711</v>
      </c>
      <c r="H707" s="19">
        <v>5.0</v>
      </c>
      <c r="I707" s="21" t="s">
        <v>2429</v>
      </c>
      <c r="J707" s="22" t="s">
        <v>2562</v>
      </c>
    </row>
    <row r="708" ht="14.25" customHeight="1">
      <c r="A708" s="15" t="s">
        <v>3418</v>
      </c>
      <c r="B708" s="16">
        <v>45099.0</v>
      </c>
      <c r="C708" s="17">
        <v>45102.0</v>
      </c>
      <c r="D708" s="18">
        <v>17.0</v>
      </c>
      <c r="E708" s="19">
        <v>5.0</v>
      </c>
      <c r="F708" s="20">
        <v>25100.0</v>
      </c>
      <c r="G708" s="21" t="s">
        <v>2711</v>
      </c>
      <c r="H708" s="19">
        <v>5.0</v>
      </c>
      <c r="I708" s="21" t="s">
        <v>724</v>
      </c>
      <c r="J708" s="22" t="s">
        <v>2672</v>
      </c>
    </row>
    <row r="709" ht="14.25" customHeight="1">
      <c r="A709" s="15" t="s">
        <v>3419</v>
      </c>
      <c r="B709" s="16">
        <v>45099.0</v>
      </c>
      <c r="C709" s="17">
        <v>45103.0</v>
      </c>
      <c r="D709" s="18">
        <v>15.0</v>
      </c>
      <c r="E709" s="19">
        <v>7.0</v>
      </c>
      <c r="F709" s="20">
        <v>28500.0</v>
      </c>
      <c r="G709" s="21" t="s">
        <v>2711</v>
      </c>
      <c r="H709" s="19">
        <v>5.0</v>
      </c>
      <c r="I709" s="21" t="s">
        <v>1272</v>
      </c>
      <c r="J709" s="22" t="s">
        <v>2662</v>
      </c>
    </row>
    <row r="710" ht="14.25" customHeight="1">
      <c r="A710" s="15" t="s">
        <v>3420</v>
      </c>
      <c r="B710" s="16">
        <v>45099.0</v>
      </c>
      <c r="C710" s="17">
        <v>45102.0</v>
      </c>
      <c r="D710" s="18">
        <v>4.0</v>
      </c>
      <c r="E710" s="19">
        <v>3.0</v>
      </c>
      <c r="F710" s="20">
        <v>16000.0</v>
      </c>
      <c r="G710" s="21" t="s">
        <v>2711</v>
      </c>
      <c r="H710" s="19">
        <v>5.0</v>
      </c>
      <c r="I710" s="21" t="s">
        <v>66</v>
      </c>
      <c r="J710" s="22" t="s">
        <v>2597</v>
      </c>
    </row>
    <row r="711" ht="14.25" customHeight="1">
      <c r="A711" s="15" t="s">
        <v>3421</v>
      </c>
      <c r="B711" s="16">
        <v>45099.0</v>
      </c>
      <c r="C711" s="17">
        <v>45101.0</v>
      </c>
      <c r="D711" s="18">
        <v>17.0</v>
      </c>
      <c r="E711" s="19">
        <v>4.0</v>
      </c>
      <c r="F711" s="20">
        <v>23100.0</v>
      </c>
      <c r="G711" s="21" t="s">
        <v>2711</v>
      </c>
      <c r="H711" s="19">
        <v>4.0</v>
      </c>
      <c r="I711" s="21" t="s">
        <v>1910</v>
      </c>
      <c r="J711" s="22" t="s">
        <v>2607</v>
      </c>
      <c r="K711" s="27"/>
    </row>
    <row r="712" ht="14.25" customHeight="1">
      <c r="A712" s="15" t="s">
        <v>3422</v>
      </c>
      <c r="B712" s="16">
        <v>45099.0</v>
      </c>
      <c r="C712" s="17">
        <v>45101.0</v>
      </c>
      <c r="D712" s="18">
        <v>3.0</v>
      </c>
      <c r="E712" s="19">
        <v>3.0</v>
      </c>
      <c r="F712" s="20">
        <v>16000.0</v>
      </c>
      <c r="G712" s="21" t="s">
        <v>2711</v>
      </c>
      <c r="H712" s="19">
        <v>5.0</v>
      </c>
      <c r="I712" s="21" t="s">
        <v>1300</v>
      </c>
      <c r="J712" s="22" t="s">
        <v>2682</v>
      </c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</row>
    <row r="713" ht="14.25" customHeight="1">
      <c r="A713" s="15" t="s">
        <v>3423</v>
      </c>
      <c r="B713" s="16">
        <v>45099.0</v>
      </c>
      <c r="C713" s="17">
        <v>45103.0</v>
      </c>
      <c r="D713" s="18">
        <v>7.0</v>
      </c>
      <c r="E713" s="19">
        <v>6.0</v>
      </c>
      <c r="F713" s="20">
        <v>22000.0</v>
      </c>
      <c r="G713" s="21" t="s">
        <v>2711</v>
      </c>
      <c r="H713" s="19">
        <v>5.0</v>
      </c>
      <c r="I713" s="21" t="s">
        <v>422</v>
      </c>
      <c r="J713" s="22" t="s">
        <v>2587</v>
      </c>
    </row>
    <row r="714" ht="14.25" customHeight="1">
      <c r="A714" s="15" t="s">
        <v>3424</v>
      </c>
      <c r="B714" s="16">
        <v>45099.0</v>
      </c>
      <c r="C714" s="17">
        <v>45104.0</v>
      </c>
      <c r="D714" s="18">
        <v>6.0</v>
      </c>
      <c r="E714" s="19">
        <v>1.0</v>
      </c>
      <c r="F714" s="20">
        <v>12000.0</v>
      </c>
      <c r="G714" s="21" t="s">
        <v>2711</v>
      </c>
      <c r="H714" s="19">
        <v>5.0</v>
      </c>
      <c r="I714" s="21" t="s">
        <v>1113</v>
      </c>
      <c r="J714" s="22" t="s">
        <v>2542</v>
      </c>
    </row>
    <row r="715" ht="14.25" customHeight="1">
      <c r="A715" s="15" t="s">
        <v>3425</v>
      </c>
      <c r="B715" s="16">
        <v>45099.0</v>
      </c>
      <c r="C715" s="17">
        <v>45100.0</v>
      </c>
      <c r="D715" s="18">
        <v>6.0</v>
      </c>
      <c r="E715" s="19">
        <v>1.0</v>
      </c>
      <c r="F715" s="20">
        <v>12000.0</v>
      </c>
      <c r="G715" s="21" t="s">
        <v>2711</v>
      </c>
      <c r="H715" s="19">
        <v>4.0</v>
      </c>
      <c r="I715" s="21" t="s">
        <v>2441</v>
      </c>
      <c r="J715" s="22" t="s">
        <v>2511</v>
      </c>
    </row>
    <row r="716" ht="14.25" customHeight="1">
      <c r="A716" s="15" t="s">
        <v>3426</v>
      </c>
      <c r="B716" s="16">
        <v>45099.0</v>
      </c>
      <c r="C716" s="17">
        <v>45101.0</v>
      </c>
      <c r="D716" s="18">
        <v>1.0</v>
      </c>
      <c r="E716" s="19">
        <v>3.0</v>
      </c>
      <c r="F716" s="20">
        <v>16000.0</v>
      </c>
      <c r="G716" s="21" t="s">
        <v>2711</v>
      </c>
      <c r="H716" s="19">
        <v>5.0</v>
      </c>
      <c r="I716" s="21" t="s">
        <v>174</v>
      </c>
      <c r="J716" s="22" t="s">
        <v>2572</v>
      </c>
    </row>
    <row r="717" ht="14.25" customHeight="1">
      <c r="A717" s="15" t="s">
        <v>3427</v>
      </c>
      <c r="B717" s="16">
        <v>45099.0</v>
      </c>
      <c r="C717" s="17">
        <v>45102.0</v>
      </c>
      <c r="D717" s="18">
        <v>3.0</v>
      </c>
      <c r="E717" s="19">
        <v>1.0</v>
      </c>
      <c r="F717" s="20">
        <v>12000.0</v>
      </c>
      <c r="G717" s="21" t="s">
        <v>2711</v>
      </c>
      <c r="H717" s="19">
        <v>4.0</v>
      </c>
      <c r="I717" s="21" t="s">
        <v>1081</v>
      </c>
      <c r="J717" s="22" t="s">
        <v>2496</v>
      </c>
    </row>
    <row r="718" ht="14.25" customHeight="1">
      <c r="A718" s="15" t="s">
        <v>3428</v>
      </c>
      <c r="B718" s="16">
        <v>45099.0</v>
      </c>
      <c r="C718" s="17">
        <v>45100.0</v>
      </c>
      <c r="D718" s="18">
        <v>15.0</v>
      </c>
      <c r="E718" s="19">
        <v>7.0</v>
      </c>
      <c r="F718" s="20">
        <v>28500.0</v>
      </c>
      <c r="G718" s="21" t="s">
        <v>2711</v>
      </c>
      <c r="H718" s="19">
        <v>4.0</v>
      </c>
      <c r="I718" s="21" t="s">
        <v>2160</v>
      </c>
      <c r="J718" s="22" t="s">
        <v>2627</v>
      </c>
    </row>
    <row r="719" ht="14.25" customHeight="1">
      <c r="A719" s="15" t="s">
        <v>3429</v>
      </c>
      <c r="B719" s="16">
        <v>45099.0</v>
      </c>
      <c r="C719" s="17">
        <v>45103.0</v>
      </c>
      <c r="D719" s="18">
        <v>14.0</v>
      </c>
      <c r="E719" s="19">
        <v>5.0</v>
      </c>
      <c r="F719" s="20">
        <v>20000.0</v>
      </c>
      <c r="G719" s="21" t="s">
        <v>2711</v>
      </c>
      <c r="H719" s="19">
        <v>5.0</v>
      </c>
      <c r="I719" s="21" t="s">
        <v>862</v>
      </c>
      <c r="J719" s="22" t="s">
        <v>2627</v>
      </c>
    </row>
    <row r="720" ht="14.25" customHeight="1">
      <c r="A720" s="15" t="s">
        <v>3430</v>
      </c>
      <c r="B720" s="16">
        <v>45099.0</v>
      </c>
      <c r="C720" s="17">
        <v>45102.0</v>
      </c>
      <c r="D720" s="18">
        <v>6.0</v>
      </c>
      <c r="E720" s="19">
        <v>1.0</v>
      </c>
      <c r="F720" s="20">
        <v>12000.0</v>
      </c>
      <c r="G720" s="21" t="s">
        <v>2711</v>
      </c>
      <c r="H720" s="19">
        <v>5.0</v>
      </c>
      <c r="I720" s="21" t="s">
        <v>1348</v>
      </c>
      <c r="J720" s="22" t="s">
        <v>2562</v>
      </c>
    </row>
    <row r="721" ht="14.25" customHeight="1">
      <c r="A721" s="15" t="s">
        <v>3431</v>
      </c>
      <c r="B721" s="16">
        <v>45099.0</v>
      </c>
      <c r="C721" s="17">
        <v>45101.0</v>
      </c>
      <c r="D721" s="18">
        <v>2.0</v>
      </c>
      <c r="E721" s="19">
        <v>2.0</v>
      </c>
      <c r="F721" s="20">
        <v>14000.0</v>
      </c>
      <c r="G721" s="21" t="s">
        <v>2711</v>
      </c>
      <c r="H721" s="19">
        <v>5.0</v>
      </c>
      <c r="I721" s="21" t="s">
        <v>2255</v>
      </c>
      <c r="J721" s="22" t="s">
        <v>2542</v>
      </c>
    </row>
    <row r="722" ht="14.25" customHeight="1">
      <c r="A722" s="15" t="s">
        <v>3432</v>
      </c>
      <c r="B722" s="16">
        <v>45099.0</v>
      </c>
      <c r="C722" s="17">
        <v>45104.0</v>
      </c>
      <c r="D722" s="18">
        <v>1.0</v>
      </c>
      <c r="E722" s="19">
        <v>2.0</v>
      </c>
      <c r="F722" s="20">
        <v>14000.0</v>
      </c>
      <c r="G722" s="21" t="s">
        <v>2711</v>
      </c>
      <c r="H722" s="19">
        <v>5.0</v>
      </c>
      <c r="I722" s="21" t="s">
        <v>2263</v>
      </c>
      <c r="J722" s="22" t="s">
        <v>2562</v>
      </c>
    </row>
    <row r="723" ht="14.25" customHeight="1">
      <c r="A723" s="15" t="s">
        <v>3433</v>
      </c>
      <c r="B723" s="16">
        <v>45099.0</v>
      </c>
      <c r="C723" s="17">
        <v>45103.0</v>
      </c>
      <c r="D723" s="18">
        <v>4.0</v>
      </c>
      <c r="E723" s="19">
        <v>3.0</v>
      </c>
      <c r="F723" s="20">
        <v>16000.0</v>
      </c>
      <c r="G723" s="21" t="s">
        <v>2711</v>
      </c>
      <c r="H723" s="19">
        <v>4.0</v>
      </c>
      <c r="I723" s="21" t="s">
        <v>22</v>
      </c>
      <c r="J723" s="22" t="s">
        <v>2682</v>
      </c>
    </row>
    <row r="724" ht="14.25" customHeight="1">
      <c r="A724" s="15" t="s">
        <v>3434</v>
      </c>
      <c r="B724" s="16">
        <v>45099.0</v>
      </c>
      <c r="C724" s="17">
        <v>45100.0</v>
      </c>
      <c r="D724" s="18">
        <v>5.0</v>
      </c>
      <c r="E724" s="19">
        <v>2.0</v>
      </c>
      <c r="F724" s="20">
        <v>14000.0</v>
      </c>
      <c r="G724" s="21" t="s">
        <v>2711</v>
      </c>
      <c r="H724" s="19">
        <v>4.0</v>
      </c>
      <c r="I724" s="21" t="s">
        <v>819</v>
      </c>
      <c r="J724" s="22" t="s">
        <v>2496</v>
      </c>
    </row>
    <row r="725" ht="14.25" customHeight="1">
      <c r="A725" s="15" t="s">
        <v>3435</v>
      </c>
      <c r="B725" s="16">
        <v>45099.0</v>
      </c>
      <c r="C725" s="17">
        <v>45101.0</v>
      </c>
      <c r="D725" s="18">
        <v>9.0</v>
      </c>
      <c r="E725" s="19">
        <v>10.0</v>
      </c>
      <c r="F725" s="20">
        <v>30000.0</v>
      </c>
      <c r="G725" s="21" t="s">
        <v>2711</v>
      </c>
      <c r="H725" s="19">
        <v>5.0</v>
      </c>
      <c r="I725" s="21" t="s">
        <v>410</v>
      </c>
      <c r="J725" s="22" t="s">
        <v>2662</v>
      </c>
    </row>
    <row r="726" ht="14.25" customHeight="1">
      <c r="A726" s="15" t="s">
        <v>3436</v>
      </c>
      <c r="B726" s="16">
        <v>45099.0</v>
      </c>
      <c r="C726" s="17">
        <v>45104.0</v>
      </c>
      <c r="D726" s="18">
        <v>6.0</v>
      </c>
      <c r="E726" s="19">
        <v>1.0</v>
      </c>
      <c r="F726" s="20">
        <v>12000.0</v>
      </c>
      <c r="G726" s="21" t="s">
        <v>2711</v>
      </c>
      <c r="H726" s="19">
        <v>5.0</v>
      </c>
      <c r="I726" s="21" t="s">
        <v>1109</v>
      </c>
      <c r="J726" s="22" t="s">
        <v>2682</v>
      </c>
    </row>
    <row r="727" ht="14.25" customHeight="1">
      <c r="A727" s="15" t="s">
        <v>3437</v>
      </c>
      <c r="B727" s="16">
        <v>45099.0</v>
      </c>
      <c r="C727" s="17">
        <v>45101.0</v>
      </c>
      <c r="D727" s="18">
        <v>19.0</v>
      </c>
      <c r="E727" s="19">
        <v>6.0</v>
      </c>
      <c r="F727" s="20">
        <v>27700.0</v>
      </c>
      <c r="G727" s="21" t="s">
        <v>2711</v>
      </c>
      <c r="H727" s="19">
        <v>4.0</v>
      </c>
      <c r="I727" s="21" t="s">
        <v>1842</v>
      </c>
      <c r="J727" s="22" t="s">
        <v>2662</v>
      </c>
    </row>
    <row r="728" ht="14.25" customHeight="1">
      <c r="A728" s="15" t="s">
        <v>3438</v>
      </c>
      <c r="B728" s="16">
        <v>45099.0</v>
      </c>
      <c r="C728" s="17">
        <v>45104.0</v>
      </c>
      <c r="D728" s="18">
        <v>4.0</v>
      </c>
      <c r="E728" s="19">
        <v>1.0</v>
      </c>
      <c r="F728" s="20">
        <v>12000.0</v>
      </c>
      <c r="G728" s="21" t="s">
        <v>2711</v>
      </c>
      <c r="H728" s="19">
        <v>4.0</v>
      </c>
      <c r="I728" s="21" t="s">
        <v>66</v>
      </c>
      <c r="J728" s="22" t="s">
        <v>2642</v>
      </c>
    </row>
    <row r="729" ht="14.25" customHeight="1">
      <c r="A729" s="15" t="s">
        <v>3439</v>
      </c>
      <c r="B729" s="16">
        <v>45099.0</v>
      </c>
      <c r="C729" s="17">
        <v>45100.0</v>
      </c>
      <c r="D729" s="18">
        <v>1.0</v>
      </c>
      <c r="E729" s="19">
        <v>3.0</v>
      </c>
      <c r="F729" s="20">
        <v>16000.0</v>
      </c>
      <c r="G729" s="21" t="s">
        <v>2711</v>
      </c>
      <c r="H729" s="19">
        <v>5.0</v>
      </c>
      <c r="I729" s="21" t="s">
        <v>2232</v>
      </c>
      <c r="J729" s="22" t="s">
        <v>2592</v>
      </c>
    </row>
    <row r="730" ht="14.25" customHeight="1">
      <c r="A730" s="15" t="s">
        <v>3440</v>
      </c>
      <c r="B730" s="17">
        <v>45100.0</v>
      </c>
      <c r="C730" s="17">
        <f>B730 + RANDBETWEEN(1,5)</f>
        <v>45102</v>
      </c>
      <c r="D730" s="18">
        <v>5.0</v>
      </c>
      <c r="E730" s="19">
        <v>3.0</v>
      </c>
      <c r="F730" s="20">
        <v>16000.0</v>
      </c>
      <c r="G730" s="21" t="s">
        <v>2711</v>
      </c>
      <c r="H730" s="19">
        <v>4.0</v>
      </c>
      <c r="I730" s="21" t="s">
        <v>2025</v>
      </c>
      <c r="J730" s="22" t="s">
        <v>2692</v>
      </c>
    </row>
    <row r="731" ht="14.25" customHeight="1">
      <c r="A731" s="15" t="s">
        <v>3441</v>
      </c>
      <c r="B731" s="16">
        <v>45100.0</v>
      </c>
      <c r="C731" s="17">
        <v>45102.0</v>
      </c>
      <c r="D731" s="18">
        <v>6.0</v>
      </c>
      <c r="E731" s="19">
        <v>3.0</v>
      </c>
      <c r="F731" s="20">
        <v>16000.0</v>
      </c>
      <c r="G731" s="21" t="s">
        <v>2711</v>
      </c>
      <c r="H731" s="19">
        <v>4.0</v>
      </c>
      <c r="I731" s="21" t="s">
        <v>1049</v>
      </c>
      <c r="J731" s="22" t="s">
        <v>2687</v>
      </c>
    </row>
    <row r="732" ht="14.25" customHeight="1">
      <c r="A732" s="15" t="s">
        <v>3442</v>
      </c>
      <c r="B732" s="16">
        <v>45100.0</v>
      </c>
      <c r="C732" s="17">
        <v>45103.0</v>
      </c>
      <c r="D732" s="18">
        <v>3.0</v>
      </c>
      <c r="E732" s="19">
        <v>1.0</v>
      </c>
      <c r="F732" s="20">
        <v>12000.0</v>
      </c>
      <c r="G732" s="21" t="s">
        <v>2711</v>
      </c>
      <c r="H732" s="19">
        <v>5.0</v>
      </c>
      <c r="I732" s="21" t="s">
        <v>2160</v>
      </c>
      <c r="J732" s="22" t="s">
        <v>2547</v>
      </c>
    </row>
    <row r="733" ht="14.25" customHeight="1">
      <c r="A733" s="15" t="s">
        <v>3443</v>
      </c>
      <c r="B733" s="16">
        <v>45100.0</v>
      </c>
      <c r="C733" s="17">
        <v>45103.0</v>
      </c>
      <c r="D733" s="18">
        <v>6.0</v>
      </c>
      <c r="E733" s="19">
        <v>2.0</v>
      </c>
      <c r="F733" s="20">
        <v>14000.0</v>
      </c>
      <c r="G733" s="21" t="s">
        <v>2711</v>
      </c>
      <c r="H733" s="19">
        <v>5.0</v>
      </c>
      <c r="I733" s="21" t="s">
        <v>882</v>
      </c>
      <c r="J733" s="22" t="s">
        <v>2516</v>
      </c>
    </row>
    <row r="734" ht="14.25" customHeight="1">
      <c r="A734" s="15" t="s">
        <v>3444</v>
      </c>
      <c r="B734" s="16">
        <v>45100.0</v>
      </c>
      <c r="C734" s="17">
        <v>45102.0</v>
      </c>
      <c r="D734" s="18">
        <v>1.0</v>
      </c>
      <c r="E734" s="19">
        <v>3.0</v>
      </c>
      <c r="F734" s="20">
        <v>16000.0</v>
      </c>
      <c r="G734" s="21" t="s">
        <v>2711</v>
      </c>
      <c r="H734" s="19">
        <v>4.0</v>
      </c>
      <c r="I734" s="21" t="s">
        <v>2421</v>
      </c>
      <c r="J734" s="22" t="s">
        <v>2592</v>
      </c>
    </row>
    <row r="735" ht="14.25" customHeight="1">
      <c r="A735" s="15" t="s">
        <v>3445</v>
      </c>
      <c r="B735" s="16">
        <v>45100.0</v>
      </c>
      <c r="C735" s="17">
        <v>45102.0</v>
      </c>
      <c r="D735" s="18">
        <v>10.0</v>
      </c>
      <c r="E735" s="19">
        <v>10.0</v>
      </c>
      <c r="F735" s="20">
        <v>30000.0</v>
      </c>
      <c r="G735" s="21" t="s">
        <v>2711</v>
      </c>
      <c r="H735" s="19">
        <v>5.0</v>
      </c>
      <c r="I735" s="21" t="s">
        <v>2033</v>
      </c>
      <c r="J735" s="22" t="s">
        <v>2667</v>
      </c>
    </row>
    <row r="736" ht="14.25" customHeight="1">
      <c r="A736" s="15" t="s">
        <v>3446</v>
      </c>
      <c r="B736" s="16">
        <v>45100.0</v>
      </c>
      <c r="C736" s="17">
        <v>45105.0</v>
      </c>
      <c r="D736" s="18">
        <v>15.0</v>
      </c>
      <c r="E736" s="19">
        <v>5.0</v>
      </c>
      <c r="F736" s="20">
        <v>24500.0</v>
      </c>
      <c r="G736" s="21" t="s">
        <v>2711</v>
      </c>
      <c r="H736" s="19">
        <v>5.0</v>
      </c>
      <c r="I736" s="21" t="s">
        <v>38</v>
      </c>
      <c r="J736" s="22" t="s">
        <v>2627</v>
      </c>
    </row>
    <row r="737" ht="14.25" customHeight="1">
      <c r="A737" s="15" t="s">
        <v>3447</v>
      </c>
      <c r="B737" s="16">
        <v>45100.0</v>
      </c>
      <c r="C737" s="17">
        <v>45105.0</v>
      </c>
      <c r="D737" s="18">
        <v>3.0</v>
      </c>
      <c r="E737" s="19">
        <v>2.0</v>
      </c>
      <c r="F737" s="20">
        <v>14000.0</v>
      </c>
      <c r="G737" s="21" t="s">
        <v>2711</v>
      </c>
      <c r="H737" s="19">
        <v>4.0</v>
      </c>
      <c r="I737" s="21" t="s">
        <v>1320</v>
      </c>
      <c r="J737" s="22" t="s">
        <v>2612</v>
      </c>
    </row>
    <row r="738" ht="14.25" customHeight="1">
      <c r="A738" s="15" t="s">
        <v>3448</v>
      </c>
      <c r="B738" s="16">
        <v>45100.0</v>
      </c>
      <c r="C738" s="17">
        <v>45102.0</v>
      </c>
      <c r="D738" s="18">
        <v>2.0</v>
      </c>
      <c r="E738" s="19">
        <v>2.0</v>
      </c>
      <c r="F738" s="20">
        <v>14000.0</v>
      </c>
      <c r="G738" s="21" t="s">
        <v>2711</v>
      </c>
      <c r="H738" s="19">
        <v>4.0</v>
      </c>
      <c r="I738" s="21" t="s">
        <v>322</v>
      </c>
      <c r="J738" s="22" t="s">
        <v>2687</v>
      </c>
    </row>
    <row r="739" ht="14.25" customHeight="1">
      <c r="A739" s="15" t="s">
        <v>3449</v>
      </c>
      <c r="B739" s="16">
        <v>45100.0</v>
      </c>
      <c r="C739" s="17">
        <v>45103.0</v>
      </c>
      <c r="D739" s="18">
        <v>20.0</v>
      </c>
      <c r="E739" s="19">
        <v>6.0</v>
      </c>
      <c r="F739" s="20">
        <v>28000.0</v>
      </c>
      <c r="G739" s="21" t="s">
        <v>2711</v>
      </c>
      <c r="H739" s="19">
        <v>5.0</v>
      </c>
      <c r="I739" s="21" t="s">
        <v>2381</v>
      </c>
      <c r="J739" s="22" t="s">
        <v>2672</v>
      </c>
      <c r="O739" s="32"/>
    </row>
    <row r="740" ht="14.25" customHeight="1">
      <c r="A740" s="15" t="s">
        <v>3450</v>
      </c>
      <c r="B740" s="16">
        <v>45100.0</v>
      </c>
      <c r="C740" s="17">
        <v>45102.0</v>
      </c>
      <c r="D740" s="18">
        <v>4.0</v>
      </c>
      <c r="E740" s="19">
        <v>2.0</v>
      </c>
      <c r="F740" s="20">
        <v>14000.0</v>
      </c>
      <c r="G740" s="21" t="s">
        <v>2711</v>
      </c>
      <c r="H740" s="19">
        <v>4.0</v>
      </c>
      <c r="I740" s="21" t="s">
        <v>1065</v>
      </c>
      <c r="J740" s="22" t="s">
        <v>2602</v>
      </c>
      <c r="K740" s="27"/>
    </row>
    <row r="741" ht="14.25" customHeight="1">
      <c r="A741" s="15" t="s">
        <v>3451</v>
      </c>
      <c r="B741" s="16">
        <v>45100.0</v>
      </c>
      <c r="C741" s="17">
        <v>45104.0</v>
      </c>
      <c r="D741" s="18">
        <v>2.0</v>
      </c>
      <c r="E741" s="19">
        <v>1.0</v>
      </c>
      <c r="F741" s="20">
        <v>12000.0</v>
      </c>
      <c r="G741" s="21" t="s">
        <v>2711</v>
      </c>
      <c r="H741" s="19">
        <v>4.0</v>
      </c>
      <c r="I741" s="21" t="s">
        <v>1037</v>
      </c>
      <c r="J741" s="22" t="s">
        <v>2506</v>
      </c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</row>
    <row r="742" ht="14.25" customHeight="1">
      <c r="A742" s="15" t="s">
        <v>3452</v>
      </c>
      <c r="B742" s="16">
        <v>45100.0</v>
      </c>
      <c r="C742" s="17">
        <v>45102.0</v>
      </c>
      <c r="D742" s="18">
        <v>6.0</v>
      </c>
      <c r="E742" s="19">
        <v>1.0</v>
      </c>
      <c r="F742" s="20">
        <v>12000.0</v>
      </c>
      <c r="G742" s="21" t="s">
        <v>2711</v>
      </c>
      <c r="H742" s="19">
        <v>4.0</v>
      </c>
      <c r="I742" s="21" t="s">
        <v>262</v>
      </c>
      <c r="J742" s="22" t="s">
        <v>2682</v>
      </c>
    </row>
    <row r="743" ht="14.25" customHeight="1">
      <c r="A743" s="15" t="s">
        <v>3453</v>
      </c>
      <c r="B743" s="16">
        <v>45100.0</v>
      </c>
      <c r="C743" s="17">
        <v>45101.0</v>
      </c>
      <c r="D743" s="18">
        <v>10.0</v>
      </c>
      <c r="E743" s="19">
        <v>6.0</v>
      </c>
      <c r="F743" s="20">
        <v>22000.0</v>
      </c>
      <c r="G743" s="21" t="s">
        <v>2711</v>
      </c>
      <c r="H743" s="19">
        <v>5.0</v>
      </c>
      <c r="I743" s="21" t="s">
        <v>198</v>
      </c>
      <c r="J743" s="22" t="s">
        <v>2662</v>
      </c>
    </row>
    <row r="744" ht="14.25" customHeight="1">
      <c r="A744" s="15" t="s">
        <v>3454</v>
      </c>
      <c r="B744" s="16">
        <v>45100.0</v>
      </c>
      <c r="C744" s="17">
        <v>45105.0</v>
      </c>
      <c r="D744" s="18">
        <v>19.0</v>
      </c>
      <c r="E744" s="19">
        <v>8.0</v>
      </c>
      <c r="F744" s="20">
        <v>31700.0</v>
      </c>
      <c r="G744" s="21" t="s">
        <v>2711</v>
      </c>
      <c r="H744" s="19">
        <v>4.0</v>
      </c>
      <c r="I744" s="21" t="s">
        <v>422</v>
      </c>
      <c r="J744" s="22" t="s">
        <v>2697</v>
      </c>
    </row>
    <row r="745" ht="14.25" customHeight="1">
      <c r="A745" s="15" t="s">
        <v>3455</v>
      </c>
      <c r="B745" s="16">
        <v>45100.0</v>
      </c>
      <c r="C745" s="17">
        <v>45103.0</v>
      </c>
      <c r="D745" s="18">
        <v>6.0</v>
      </c>
      <c r="E745" s="19">
        <v>2.0</v>
      </c>
      <c r="F745" s="20">
        <v>14000.0</v>
      </c>
      <c r="G745" s="21" t="s">
        <v>2711</v>
      </c>
      <c r="H745" s="19">
        <v>4.0</v>
      </c>
      <c r="I745" s="21" t="s">
        <v>2029</v>
      </c>
      <c r="J745" s="22" t="s">
        <v>2567</v>
      </c>
    </row>
    <row r="746" ht="14.25" customHeight="1">
      <c r="A746" s="15" t="s">
        <v>3456</v>
      </c>
      <c r="B746" s="16">
        <v>45100.0</v>
      </c>
      <c r="C746" s="17">
        <v>45101.0</v>
      </c>
      <c r="D746" s="18">
        <v>20.0</v>
      </c>
      <c r="E746" s="19">
        <v>4.0</v>
      </c>
      <c r="F746" s="20">
        <v>24000.0</v>
      </c>
      <c r="G746" s="21" t="s">
        <v>2711</v>
      </c>
      <c r="H746" s="19">
        <v>5.0</v>
      </c>
      <c r="I746" s="21" t="s">
        <v>438</v>
      </c>
      <c r="J746" s="22" t="s">
        <v>2484</v>
      </c>
    </row>
    <row r="747" ht="14.25" customHeight="1">
      <c r="A747" s="15" t="s">
        <v>3457</v>
      </c>
      <c r="B747" s="16">
        <v>45100.0</v>
      </c>
      <c r="C747" s="17">
        <v>45102.0</v>
      </c>
      <c r="D747" s="18">
        <v>2.0</v>
      </c>
      <c r="E747" s="19">
        <v>3.0</v>
      </c>
      <c r="F747" s="20">
        <v>16000.0</v>
      </c>
      <c r="G747" s="21" t="s">
        <v>2711</v>
      </c>
      <c r="H747" s="19">
        <v>4.0</v>
      </c>
      <c r="I747" s="21" t="s">
        <v>378</v>
      </c>
      <c r="J747" s="22" t="s">
        <v>2582</v>
      </c>
    </row>
    <row r="748" ht="14.25" customHeight="1">
      <c r="A748" s="15" t="s">
        <v>3458</v>
      </c>
      <c r="B748" s="16">
        <v>45100.0</v>
      </c>
      <c r="C748" s="17">
        <v>45101.0</v>
      </c>
      <c r="D748" s="18">
        <v>16.0</v>
      </c>
      <c r="E748" s="19">
        <v>10.0</v>
      </c>
      <c r="F748" s="20">
        <v>34800.0</v>
      </c>
      <c r="G748" s="21" t="s">
        <v>2711</v>
      </c>
      <c r="H748" s="19">
        <v>4.0</v>
      </c>
      <c r="I748" s="21" t="s">
        <v>230</v>
      </c>
      <c r="J748" s="22" t="s">
        <v>2697</v>
      </c>
    </row>
    <row r="749" ht="14.25" customHeight="1">
      <c r="A749" s="15" t="s">
        <v>3459</v>
      </c>
      <c r="B749" s="16">
        <v>45100.0</v>
      </c>
      <c r="C749" s="17">
        <v>45102.0</v>
      </c>
      <c r="D749" s="18">
        <v>3.0</v>
      </c>
      <c r="E749" s="19">
        <v>3.0</v>
      </c>
      <c r="F749" s="20">
        <v>16000.0</v>
      </c>
      <c r="G749" s="21" t="s">
        <v>2711</v>
      </c>
      <c r="H749" s="19">
        <v>4.0</v>
      </c>
      <c r="I749" s="21" t="s">
        <v>985</v>
      </c>
      <c r="J749" s="22" t="s">
        <v>2682</v>
      </c>
    </row>
    <row r="750" ht="14.25" customHeight="1">
      <c r="A750" s="15" t="s">
        <v>3460</v>
      </c>
      <c r="B750" s="16">
        <v>45100.0</v>
      </c>
      <c r="C750" s="17">
        <v>45101.0</v>
      </c>
      <c r="D750" s="18">
        <v>1.0</v>
      </c>
      <c r="E750" s="19">
        <v>3.0</v>
      </c>
      <c r="F750" s="20">
        <v>16000.0</v>
      </c>
      <c r="G750" s="21" t="s">
        <v>2711</v>
      </c>
      <c r="H750" s="19">
        <v>5.0</v>
      </c>
      <c r="I750" s="21" t="s">
        <v>656</v>
      </c>
      <c r="J750" s="22" t="s">
        <v>2511</v>
      </c>
    </row>
    <row r="751" ht="14.25" customHeight="1">
      <c r="A751" s="15" t="s">
        <v>3461</v>
      </c>
      <c r="B751" s="16">
        <v>45100.0</v>
      </c>
      <c r="C751" s="17">
        <v>45103.0</v>
      </c>
      <c r="D751" s="18">
        <v>4.0</v>
      </c>
      <c r="E751" s="19">
        <v>2.0</v>
      </c>
      <c r="F751" s="20">
        <v>14000.0</v>
      </c>
      <c r="G751" s="21" t="s">
        <v>2711</v>
      </c>
      <c r="H751" s="19">
        <v>4.0</v>
      </c>
      <c r="I751" s="21" t="s">
        <v>854</v>
      </c>
      <c r="J751" s="22" t="s">
        <v>2612</v>
      </c>
    </row>
    <row r="752" ht="14.25" customHeight="1">
      <c r="A752" s="15" t="s">
        <v>3462</v>
      </c>
      <c r="B752" s="16">
        <v>45100.0</v>
      </c>
      <c r="C752" s="17">
        <v>45101.0</v>
      </c>
      <c r="D752" s="18">
        <v>3.0</v>
      </c>
      <c r="E752" s="19">
        <v>2.0</v>
      </c>
      <c r="F752" s="20">
        <v>14000.0</v>
      </c>
      <c r="G752" s="21" t="s">
        <v>2711</v>
      </c>
      <c r="H752" s="19">
        <v>4.0</v>
      </c>
      <c r="I752" s="21" t="s">
        <v>1105</v>
      </c>
      <c r="J752" s="22" t="s">
        <v>2622</v>
      </c>
    </row>
    <row r="753" ht="14.25" customHeight="1">
      <c r="A753" s="15" t="s">
        <v>3463</v>
      </c>
      <c r="B753" s="16">
        <v>45100.0</v>
      </c>
      <c r="C753" s="17">
        <v>45101.0</v>
      </c>
      <c r="D753" s="18">
        <v>2.0</v>
      </c>
      <c r="E753" s="19">
        <v>1.0</v>
      </c>
      <c r="F753" s="20">
        <v>12000.0</v>
      </c>
      <c r="G753" s="21" t="s">
        <v>2711</v>
      </c>
      <c r="H753" s="19">
        <v>4.0</v>
      </c>
      <c r="I753" s="21" t="s">
        <v>541</v>
      </c>
      <c r="J753" s="22" t="s">
        <v>2557</v>
      </c>
    </row>
    <row r="754" ht="14.25" customHeight="1">
      <c r="A754" s="15" t="s">
        <v>3464</v>
      </c>
      <c r="B754" s="16">
        <v>45100.0</v>
      </c>
      <c r="C754" s="17">
        <v>45105.0</v>
      </c>
      <c r="D754" s="18">
        <v>5.0</v>
      </c>
      <c r="E754" s="19">
        <v>2.0</v>
      </c>
      <c r="F754" s="20">
        <v>14000.0</v>
      </c>
      <c r="G754" s="21" t="s">
        <v>2711</v>
      </c>
      <c r="H754" s="19">
        <v>5.0</v>
      </c>
      <c r="I754" s="21" t="s">
        <v>1910</v>
      </c>
      <c r="J754" s="22" t="s">
        <v>2602</v>
      </c>
    </row>
    <row r="755" ht="14.25" customHeight="1">
      <c r="A755" s="15" t="s">
        <v>3465</v>
      </c>
      <c r="B755" s="16">
        <v>45100.0</v>
      </c>
      <c r="C755" s="17">
        <v>45101.0</v>
      </c>
      <c r="D755" s="18">
        <v>1.0</v>
      </c>
      <c r="E755" s="19">
        <v>1.0</v>
      </c>
      <c r="F755" s="20">
        <v>12000.0</v>
      </c>
      <c r="G755" s="21" t="s">
        <v>2711</v>
      </c>
      <c r="H755" s="19">
        <v>5.0</v>
      </c>
      <c r="I755" s="21" t="s">
        <v>720</v>
      </c>
      <c r="J755" s="22" t="s">
        <v>2652</v>
      </c>
    </row>
    <row r="756" ht="14.25" customHeight="1">
      <c r="A756" s="15" t="s">
        <v>3466</v>
      </c>
      <c r="B756" s="16">
        <v>45100.0</v>
      </c>
      <c r="C756" s="17">
        <v>45103.0</v>
      </c>
      <c r="D756" s="18">
        <v>1.0</v>
      </c>
      <c r="E756" s="19">
        <v>1.0</v>
      </c>
      <c r="F756" s="20">
        <v>12000.0</v>
      </c>
      <c r="G756" s="21" t="s">
        <v>2711</v>
      </c>
      <c r="H756" s="19">
        <v>4.0</v>
      </c>
      <c r="I756" s="21" t="s">
        <v>1764</v>
      </c>
      <c r="J756" s="22" t="s">
        <v>2506</v>
      </c>
    </row>
    <row r="757" ht="14.25" customHeight="1">
      <c r="A757" s="15" t="s">
        <v>3467</v>
      </c>
      <c r="B757" s="16">
        <v>45100.0</v>
      </c>
      <c r="C757" s="17">
        <v>45101.0</v>
      </c>
      <c r="D757" s="18">
        <v>6.0</v>
      </c>
      <c r="E757" s="19">
        <v>1.0</v>
      </c>
      <c r="F757" s="20">
        <v>12000.0</v>
      </c>
      <c r="G757" s="21" t="s">
        <v>2711</v>
      </c>
      <c r="H757" s="19">
        <v>5.0</v>
      </c>
      <c r="I757" s="21" t="s">
        <v>593</v>
      </c>
      <c r="J757" s="22" t="s">
        <v>2682</v>
      </c>
    </row>
    <row r="758" ht="14.25" customHeight="1">
      <c r="A758" s="15" t="s">
        <v>3468</v>
      </c>
      <c r="B758" s="16">
        <v>45100.0</v>
      </c>
      <c r="C758" s="17">
        <v>45105.0</v>
      </c>
      <c r="D758" s="18">
        <v>4.0</v>
      </c>
      <c r="E758" s="19">
        <v>1.0</v>
      </c>
      <c r="F758" s="20">
        <v>12000.0</v>
      </c>
      <c r="G758" s="21" t="s">
        <v>2711</v>
      </c>
      <c r="H758" s="19">
        <v>4.0</v>
      </c>
      <c r="I758" s="21" t="s">
        <v>1394</v>
      </c>
      <c r="J758" s="22" t="s">
        <v>2506</v>
      </c>
    </row>
    <row r="759" ht="14.25" customHeight="1">
      <c r="A759" s="15" t="s">
        <v>3469</v>
      </c>
      <c r="B759" s="16">
        <v>45100.0</v>
      </c>
      <c r="C759" s="17">
        <v>45105.0</v>
      </c>
      <c r="D759" s="18">
        <v>2.0</v>
      </c>
      <c r="E759" s="19">
        <v>3.0</v>
      </c>
      <c r="F759" s="20">
        <v>16000.0</v>
      </c>
      <c r="G759" s="21" t="s">
        <v>2711</v>
      </c>
      <c r="H759" s="19">
        <v>4.0</v>
      </c>
      <c r="I759" s="21" t="s">
        <v>1117</v>
      </c>
      <c r="J759" s="22" t="s">
        <v>2577</v>
      </c>
    </row>
    <row r="760" ht="14.25" customHeight="1">
      <c r="A760" s="15" t="s">
        <v>3470</v>
      </c>
      <c r="B760" s="16">
        <v>45100.0</v>
      </c>
      <c r="C760" s="17">
        <v>45105.0</v>
      </c>
      <c r="D760" s="18">
        <v>5.0</v>
      </c>
      <c r="E760" s="19">
        <v>2.0</v>
      </c>
      <c r="F760" s="20">
        <v>14000.0</v>
      </c>
      <c r="G760" s="21" t="s">
        <v>2711</v>
      </c>
      <c r="H760" s="19">
        <v>4.0</v>
      </c>
      <c r="I760" s="21" t="s">
        <v>2132</v>
      </c>
      <c r="J760" s="22" t="s">
        <v>2562</v>
      </c>
    </row>
    <row r="761" ht="14.25" customHeight="1">
      <c r="A761" s="15" t="s">
        <v>3471</v>
      </c>
      <c r="B761" s="16">
        <v>45100.0</v>
      </c>
      <c r="C761" s="17">
        <v>45103.0</v>
      </c>
      <c r="D761" s="18">
        <v>15.0</v>
      </c>
      <c r="E761" s="19">
        <v>10.0</v>
      </c>
      <c r="F761" s="20">
        <v>34500.0</v>
      </c>
      <c r="G761" s="21" t="s">
        <v>2711</v>
      </c>
      <c r="H761" s="19">
        <v>5.0</v>
      </c>
      <c r="I761" s="21" t="s">
        <v>1926</v>
      </c>
      <c r="J761" s="22" t="s">
        <v>2537</v>
      </c>
    </row>
    <row r="762" ht="14.25" customHeight="1">
      <c r="A762" s="15" t="s">
        <v>3472</v>
      </c>
      <c r="B762" s="16">
        <v>45100.0</v>
      </c>
      <c r="C762" s="17">
        <v>45103.0</v>
      </c>
      <c r="D762" s="18">
        <v>12.0</v>
      </c>
      <c r="E762" s="19">
        <v>8.0</v>
      </c>
      <c r="F762" s="20">
        <v>26000.0</v>
      </c>
      <c r="G762" s="21" t="s">
        <v>2711</v>
      </c>
      <c r="H762" s="19">
        <v>5.0</v>
      </c>
      <c r="I762" s="21" t="s">
        <v>2330</v>
      </c>
      <c r="J762" s="22" t="s">
        <v>2627</v>
      </c>
    </row>
    <row r="763" ht="14.25" customHeight="1">
      <c r="A763" s="15" t="s">
        <v>3473</v>
      </c>
      <c r="B763" s="17">
        <v>45101.0</v>
      </c>
      <c r="C763" s="17">
        <f>B763 + RANDBETWEEN(1,5)</f>
        <v>45105</v>
      </c>
      <c r="D763" s="18">
        <v>2.0</v>
      </c>
      <c r="E763" s="19">
        <v>3.0</v>
      </c>
      <c r="F763" s="20">
        <v>16000.0</v>
      </c>
      <c r="G763" s="21" t="s">
        <v>2711</v>
      </c>
      <c r="H763" s="19">
        <v>5.0</v>
      </c>
      <c r="I763" s="21" t="s">
        <v>1985</v>
      </c>
      <c r="J763" s="22" t="s">
        <v>2592</v>
      </c>
    </row>
    <row r="764" ht="14.25" customHeight="1">
      <c r="A764" s="15" t="s">
        <v>3474</v>
      </c>
      <c r="B764" s="16">
        <v>45101.0</v>
      </c>
      <c r="C764" s="17">
        <v>45102.0</v>
      </c>
      <c r="D764" s="18">
        <v>15.0</v>
      </c>
      <c r="E764" s="19">
        <v>6.0</v>
      </c>
      <c r="F764" s="20">
        <v>26500.0</v>
      </c>
      <c r="G764" s="21" t="s">
        <v>2711</v>
      </c>
      <c r="H764" s="19">
        <v>4.0</v>
      </c>
      <c r="I764" s="21" t="s">
        <v>1945</v>
      </c>
      <c r="J764" s="22" t="s">
        <v>2667</v>
      </c>
    </row>
    <row r="765" ht="14.25" customHeight="1">
      <c r="A765" s="15" t="s">
        <v>3475</v>
      </c>
      <c r="B765" s="16">
        <v>45101.0</v>
      </c>
      <c r="C765" s="17">
        <v>45106.0</v>
      </c>
      <c r="D765" s="18">
        <v>5.0</v>
      </c>
      <c r="E765" s="19">
        <v>3.0</v>
      </c>
      <c r="F765" s="20">
        <v>16000.0</v>
      </c>
      <c r="G765" s="21" t="s">
        <v>2711</v>
      </c>
      <c r="H765" s="19">
        <v>4.0</v>
      </c>
      <c r="I765" s="21" t="s">
        <v>2457</v>
      </c>
      <c r="J765" s="22" t="s">
        <v>2557</v>
      </c>
    </row>
    <row r="766" ht="14.25" customHeight="1">
      <c r="A766" s="15" t="s">
        <v>3476</v>
      </c>
      <c r="B766" s="16">
        <v>45101.0</v>
      </c>
      <c r="C766" s="17">
        <v>45106.0</v>
      </c>
      <c r="D766" s="18">
        <v>5.0</v>
      </c>
      <c r="E766" s="19">
        <v>1.0</v>
      </c>
      <c r="F766" s="20">
        <v>12000.0</v>
      </c>
      <c r="G766" s="21" t="s">
        <v>2711</v>
      </c>
      <c r="H766" s="19">
        <v>4.0</v>
      </c>
      <c r="I766" s="21" t="s">
        <v>2216</v>
      </c>
      <c r="J766" s="22" t="s">
        <v>2557</v>
      </c>
    </row>
    <row r="767" ht="14.25" customHeight="1">
      <c r="A767" s="15" t="s">
        <v>3477</v>
      </c>
      <c r="B767" s="16">
        <v>45101.0</v>
      </c>
      <c r="C767" s="17">
        <v>45105.0</v>
      </c>
      <c r="D767" s="18">
        <v>12.0</v>
      </c>
      <c r="E767" s="19">
        <v>7.0</v>
      </c>
      <c r="F767" s="20">
        <v>24000.0</v>
      </c>
      <c r="G767" s="21" t="s">
        <v>2711</v>
      </c>
      <c r="H767" s="19">
        <v>5.0</v>
      </c>
      <c r="I767" s="21" t="s">
        <v>2100</v>
      </c>
      <c r="J767" s="22" t="s">
        <v>2662</v>
      </c>
    </row>
    <row r="768" ht="14.25" customHeight="1">
      <c r="A768" s="15" t="s">
        <v>3478</v>
      </c>
      <c r="B768" s="16">
        <v>45101.0</v>
      </c>
      <c r="C768" s="17">
        <v>45103.0</v>
      </c>
      <c r="D768" s="18">
        <v>14.0</v>
      </c>
      <c r="E768" s="19">
        <v>10.0</v>
      </c>
      <c r="F768" s="20">
        <v>30000.0</v>
      </c>
      <c r="G768" s="21" t="s">
        <v>2711</v>
      </c>
      <c r="H768" s="19">
        <v>4.0</v>
      </c>
      <c r="I768" s="21" t="s">
        <v>989</v>
      </c>
      <c r="J768" s="22" t="s">
        <v>2667</v>
      </c>
    </row>
    <row r="769" ht="14.25" customHeight="1">
      <c r="A769" s="15" t="s">
        <v>3479</v>
      </c>
      <c r="B769" s="16">
        <v>45101.0</v>
      </c>
      <c r="C769" s="17">
        <v>45103.0</v>
      </c>
      <c r="D769" s="18">
        <v>1.0</v>
      </c>
      <c r="E769" s="19">
        <v>1.0</v>
      </c>
      <c r="F769" s="20">
        <v>12000.0</v>
      </c>
      <c r="G769" s="21" t="s">
        <v>2711</v>
      </c>
      <c r="H769" s="19">
        <v>5.0</v>
      </c>
      <c r="I769" s="21" t="s">
        <v>6</v>
      </c>
      <c r="J769" s="22" t="s">
        <v>2511</v>
      </c>
    </row>
    <row r="770" ht="14.25" customHeight="1">
      <c r="A770" s="15" t="s">
        <v>3480</v>
      </c>
      <c r="B770" s="16">
        <v>45101.0</v>
      </c>
      <c r="C770" s="17">
        <v>45104.0</v>
      </c>
      <c r="D770" s="18">
        <v>4.0</v>
      </c>
      <c r="E770" s="19">
        <v>1.0</v>
      </c>
      <c r="F770" s="20">
        <v>12000.0</v>
      </c>
      <c r="G770" s="21" t="s">
        <v>2711</v>
      </c>
      <c r="H770" s="19">
        <v>4.0</v>
      </c>
      <c r="I770" s="21" t="s">
        <v>1344</v>
      </c>
      <c r="J770" s="22" t="s">
        <v>2592</v>
      </c>
    </row>
    <row r="771" ht="14.25" customHeight="1">
      <c r="A771" s="15" t="s">
        <v>3481</v>
      </c>
      <c r="B771" s="16">
        <v>45101.0</v>
      </c>
      <c r="C771" s="17">
        <v>45106.0</v>
      </c>
      <c r="D771" s="18">
        <v>3.0</v>
      </c>
      <c r="E771" s="19">
        <v>1.0</v>
      </c>
      <c r="F771" s="20">
        <v>12000.0</v>
      </c>
      <c r="G771" s="21" t="s">
        <v>2711</v>
      </c>
      <c r="H771" s="19">
        <v>5.0</v>
      </c>
      <c r="I771" s="21" t="s">
        <v>1721</v>
      </c>
      <c r="J771" s="22" t="s">
        <v>2572</v>
      </c>
    </row>
    <row r="772" ht="14.25" customHeight="1">
      <c r="A772" s="15" t="s">
        <v>3482</v>
      </c>
      <c r="B772" s="16">
        <v>45101.0</v>
      </c>
      <c r="C772" s="17">
        <v>45103.0</v>
      </c>
      <c r="D772" s="18">
        <v>3.0</v>
      </c>
      <c r="E772" s="19">
        <v>2.0</v>
      </c>
      <c r="F772" s="20">
        <v>14000.0</v>
      </c>
      <c r="G772" s="21" t="s">
        <v>2711</v>
      </c>
      <c r="H772" s="19">
        <v>4.0</v>
      </c>
      <c r="I772" s="21" t="s">
        <v>222</v>
      </c>
      <c r="J772" s="22" t="s">
        <v>2572</v>
      </c>
    </row>
    <row r="773" ht="14.25" customHeight="1">
      <c r="A773" s="15" t="s">
        <v>3483</v>
      </c>
      <c r="B773" s="16">
        <v>45101.0</v>
      </c>
      <c r="C773" s="17">
        <v>45102.0</v>
      </c>
      <c r="D773" s="18">
        <v>16.0</v>
      </c>
      <c r="E773" s="19">
        <v>10.0</v>
      </c>
      <c r="F773" s="20">
        <v>34800.0</v>
      </c>
      <c r="G773" s="21" t="s">
        <v>2711</v>
      </c>
      <c r="H773" s="19">
        <v>4.0</v>
      </c>
      <c r="I773" s="21" t="s">
        <v>1902</v>
      </c>
      <c r="J773" s="22" t="s">
        <v>2667</v>
      </c>
    </row>
    <row r="774" ht="14.25" customHeight="1">
      <c r="A774" s="15" t="s">
        <v>3484</v>
      </c>
      <c r="B774" s="16">
        <v>45101.0</v>
      </c>
      <c r="C774" s="17">
        <v>45106.0</v>
      </c>
      <c r="D774" s="18">
        <v>4.0</v>
      </c>
      <c r="E774" s="19">
        <v>1.0</v>
      </c>
      <c r="F774" s="20">
        <v>12000.0</v>
      </c>
      <c r="G774" s="21" t="s">
        <v>2711</v>
      </c>
      <c r="H774" s="19">
        <v>4.0</v>
      </c>
      <c r="I774" s="21" t="s">
        <v>640</v>
      </c>
      <c r="J774" s="22" t="s">
        <v>2577</v>
      </c>
    </row>
    <row r="775" ht="14.25" customHeight="1">
      <c r="A775" s="15" t="s">
        <v>3485</v>
      </c>
      <c r="B775" s="16">
        <v>45101.0</v>
      </c>
      <c r="C775" s="17">
        <v>45102.0</v>
      </c>
      <c r="D775" s="18">
        <v>3.0</v>
      </c>
      <c r="E775" s="19">
        <v>2.0</v>
      </c>
      <c r="F775" s="20">
        <v>14000.0</v>
      </c>
      <c r="G775" s="21" t="s">
        <v>2711</v>
      </c>
      <c r="H775" s="19">
        <v>4.0</v>
      </c>
      <c r="I775" s="21" t="s">
        <v>1941</v>
      </c>
      <c r="J775" s="22" t="s">
        <v>2652</v>
      </c>
    </row>
    <row r="776" ht="14.25" customHeight="1">
      <c r="A776" s="15" t="s">
        <v>3486</v>
      </c>
      <c r="B776" s="16">
        <v>45101.0</v>
      </c>
      <c r="C776" s="17">
        <v>45103.0</v>
      </c>
      <c r="D776" s="18">
        <v>1.0</v>
      </c>
      <c r="E776" s="19">
        <v>2.0</v>
      </c>
      <c r="F776" s="20">
        <v>14000.0</v>
      </c>
      <c r="G776" s="21" t="s">
        <v>2711</v>
      </c>
      <c r="H776" s="19">
        <v>5.0</v>
      </c>
      <c r="I776" s="21" t="s">
        <v>1149</v>
      </c>
      <c r="J776" s="22" t="s">
        <v>2567</v>
      </c>
    </row>
    <row r="777" ht="14.25" customHeight="1">
      <c r="A777" s="15" t="s">
        <v>3487</v>
      </c>
      <c r="B777" s="16">
        <v>45101.0</v>
      </c>
      <c r="C777" s="17">
        <v>45103.0</v>
      </c>
      <c r="D777" s="18">
        <v>3.0</v>
      </c>
      <c r="E777" s="19">
        <v>1.0</v>
      </c>
      <c r="F777" s="20">
        <v>12000.0</v>
      </c>
      <c r="G777" s="21" t="s">
        <v>2711</v>
      </c>
      <c r="H777" s="19">
        <v>4.0</v>
      </c>
      <c r="I777" s="21" t="s">
        <v>965</v>
      </c>
      <c r="J777" s="22" t="s">
        <v>2577</v>
      </c>
    </row>
    <row r="778" ht="14.25" customHeight="1">
      <c r="A778" s="15" t="s">
        <v>3488</v>
      </c>
      <c r="B778" s="16">
        <v>45101.0</v>
      </c>
      <c r="C778" s="17">
        <v>45102.0</v>
      </c>
      <c r="D778" s="18">
        <v>6.0</v>
      </c>
      <c r="E778" s="19">
        <v>1.0</v>
      </c>
      <c r="F778" s="20">
        <v>12000.0</v>
      </c>
      <c r="G778" s="21" t="s">
        <v>2711</v>
      </c>
      <c r="H778" s="19">
        <v>4.0</v>
      </c>
      <c r="I778" s="21" t="s">
        <v>2465</v>
      </c>
      <c r="J778" s="22" t="s">
        <v>2692</v>
      </c>
    </row>
    <row r="779" ht="14.25" customHeight="1">
      <c r="A779" s="15" t="s">
        <v>3489</v>
      </c>
      <c r="B779" s="16">
        <v>45101.0</v>
      </c>
      <c r="C779" s="17">
        <v>45102.0</v>
      </c>
      <c r="D779" s="18">
        <v>18.0</v>
      </c>
      <c r="E779" s="19">
        <v>9.0</v>
      </c>
      <c r="F779" s="20">
        <v>33400.0</v>
      </c>
      <c r="G779" s="21" t="s">
        <v>2711</v>
      </c>
      <c r="H779" s="19">
        <v>4.0</v>
      </c>
      <c r="I779" s="21" t="s">
        <v>2362</v>
      </c>
      <c r="J779" s="22" t="s">
        <v>2672</v>
      </c>
    </row>
    <row r="780" ht="14.25" customHeight="1">
      <c r="A780" s="15" t="s">
        <v>3490</v>
      </c>
      <c r="B780" s="16">
        <v>45101.0</v>
      </c>
      <c r="C780" s="17">
        <v>45105.0</v>
      </c>
      <c r="D780" s="18">
        <v>3.0</v>
      </c>
      <c r="E780" s="19">
        <v>2.0</v>
      </c>
      <c r="F780" s="20">
        <v>14000.0</v>
      </c>
      <c r="G780" s="21" t="s">
        <v>2711</v>
      </c>
      <c r="H780" s="19">
        <v>4.0</v>
      </c>
      <c r="I780" s="21" t="s">
        <v>811</v>
      </c>
      <c r="J780" s="22" t="s">
        <v>2567</v>
      </c>
    </row>
    <row r="781" ht="14.25" customHeight="1">
      <c r="A781" s="15" t="s">
        <v>3491</v>
      </c>
      <c r="B781" s="16">
        <v>45101.0</v>
      </c>
      <c r="C781" s="17">
        <v>45106.0</v>
      </c>
      <c r="D781" s="18">
        <v>13.0</v>
      </c>
      <c r="E781" s="19">
        <v>10.0</v>
      </c>
      <c r="F781" s="20">
        <v>30000.0</v>
      </c>
      <c r="G781" s="21" t="s">
        <v>2711</v>
      </c>
      <c r="H781" s="19">
        <v>4.0</v>
      </c>
      <c r="I781" s="21" t="s">
        <v>1862</v>
      </c>
      <c r="J781" s="22" t="s">
        <v>2667</v>
      </c>
    </row>
    <row r="782" ht="14.25" customHeight="1">
      <c r="A782" s="15" t="s">
        <v>3492</v>
      </c>
      <c r="B782" s="16">
        <v>45101.0</v>
      </c>
      <c r="C782" s="17">
        <v>45102.0</v>
      </c>
      <c r="D782" s="18">
        <v>3.0</v>
      </c>
      <c r="E782" s="19">
        <v>1.0</v>
      </c>
      <c r="F782" s="20">
        <v>12000.0</v>
      </c>
      <c r="G782" s="21" t="s">
        <v>2711</v>
      </c>
      <c r="H782" s="19">
        <v>4.0</v>
      </c>
      <c r="I782" s="21" t="s">
        <v>2057</v>
      </c>
      <c r="J782" s="22" t="s">
        <v>2516</v>
      </c>
    </row>
    <row r="783" ht="14.25" customHeight="1">
      <c r="A783" s="15" t="s">
        <v>3493</v>
      </c>
      <c r="B783" s="16">
        <v>45101.0</v>
      </c>
      <c r="C783" s="17">
        <v>45102.0</v>
      </c>
      <c r="D783" s="18">
        <v>3.0</v>
      </c>
      <c r="E783" s="19">
        <v>1.0</v>
      </c>
      <c r="F783" s="20">
        <v>12000.0</v>
      </c>
      <c r="G783" s="21" t="s">
        <v>2711</v>
      </c>
      <c r="H783" s="19">
        <v>4.0</v>
      </c>
      <c r="I783" s="21" t="s">
        <v>1914</v>
      </c>
      <c r="J783" s="22" t="s">
        <v>2617</v>
      </c>
    </row>
    <row r="784" ht="14.25" customHeight="1">
      <c r="A784" s="15" t="s">
        <v>3494</v>
      </c>
      <c r="B784" s="16">
        <v>45101.0</v>
      </c>
      <c r="C784" s="17">
        <v>45104.0</v>
      </c>
      <c r="D784" s="18">
        <v>2.0</v>
      </c>
      <c r="E784" s="19">
        <v>3.0</v>
      </c>
      <c r="F784" s="30"/>
      <c r="G784" s="21" t="s">
        <v>2711</v>
      </c>
      <c r="H784" s="19">
        <v>4.0</v>
      </c>
      <c r="I784" s="21" t="s">
        <v>1870</v>
      </c>
      <c r="J784" s="22" t="s">
        <v>2527</v>
      </c>
    </row>
    <row r="785" ht="14.25" customHeight="1">
      <c r="A785" s="15" t="s">
        <v>3495</v>
      </c>
      <c r="B785" s="16">
        <v>45101.0</v>
      </c>
      <c r="C785" s="17">
        <v>45103.0</v>
      </c>
      <c r="D785" s="18">
        <v>6.0</v>
      </c>
      <c r="E785" s="19">
        <v>3.0</v>
      </c>
      <c r="F785" s="20">
        <v>16000.0</v>
      </c>
      <c r="G785" s="21" t="s">
        <v>2711</v>
      </c>
      <c r="H785" s="19">
        <v>5.0</v>
      </c>
      <c r="I785" s="21" t="s">
        <v>767</v>
      </c>
      <c r="J785" s="22" t="s">
        <v>2602</v>
      </c>
    </row>
    <row r="786" ht="14.25" customHeight="1">
      <c r="A786" s="15" t="s">
        <v>3496</v>
      </c>
      <c r="B786" s="16">
        <v>45101.0</v>
      </c>
      <c r="C786" s="17">
        <v>45105.0</v>
      </c>
      <c r="D786" s="18">
        <v>18.0</v>
      </c>
      <c r="E786" s="19">
        <v>4.0</v>
      </c>
      <c r="F786" s="20">
        <v>23400.0</v>
      </c>
      <c r="G786" s="21" t="s">
        <v>2711</v>
      </c>
      <c r="H786" s="19">
        <v>5.0</v>
      </c>
      <c r="I786" s="21" t="s">
        <v>382</v>
      </c>
      <c r="J786" s="22" t="s">
        <v>2667</v>
      </c>
    </row>
    <row r="787" ht="14.25" customHeight="1">
      <c r="A787" s="15" t="s">
        <v>3497</v>
      </c>
      <c r="B787" s="16">
        <v>45101.0</v>
      </c>
      <c r="C787" s="17">
        <v>45103.0</v>
      </c>
      <c r="D787" s="18">
        <v>5.0</v>
      </c>
      <c r="E787" s="19">
        <v>1.0</v>
      </c>
      <c r="F787" s="20">
        <v>12000.0</v>
      </c>
      <c r="G787" s="21" t="s">
        <v>2711</v>
      </c>
      <c r="H787" s="19">
        <v>4.0</v>
      </c>
      <c r="I787" s="21" t="s">
        <v>2465</v>
      </c>
      <c r="J787" s="22" t="s">
        <v>2490</v>
      </c>
    </row>
    <row r="788" ht="14.25" customHeight="1">
      <c r="A788" s="15" t="s">
        <v>3498</v>
      </c>
      <c r="B788" s="16">
        <v>45101.0</v>
      </c>
      <c r="C788" s="17">
        <v>45104.0</v>
      </c>
      <c r="D788" s="18">
        <v>20.0</v>
      </c>
      <c r="E788" s="19">
        <v>4.0</v>
      </c>
      <c r="F788" s="20">
        <v>24000.0</v>
      </c>
      <c r="G788" s="21" t="s">
        <v>2711</v>
      </c>
      <c r="H788" s="19">
        <v>4.0</v>
      </c>
      <c r="I788" s="21" t="s">
        <v>2271</v>
      </c>
      <c r="J788" s="22" t="s">
        <v>2627</v>
      </c>
    </row>
    <row r="789" ht="14.25" customHeight="1">
      <c r="A789" s="15" t="s">
        <v>3499</v>
      </c>
      <c r="B789" s="16">
        <v>45101.0</v>
      </c>
      <c r="C789" s="17">
        <v>45102.0</v>
      </c>
      <c r="D789" s="18">
        <v>1.0</v>
      </c>
      <c r="E789" s="19">
        <v>2.0</v>
      </c>
      <c r="F789" s="20">
        <v>14000.0</v>
      </c>
      <c r="G789" s="21" t="s">
        <v>2711</v>
      </c>
      <c r="H789" s="19">
        <v>5.0</v>
      </c>
      <c r="I789" s="21" t="s">
        <v>82</v>
      </c>
      <c r="J789" s="22" t="s">
        <v>2652</v>
      </c>
    </row>
    <row r="790" ht="14.25" customHeight="1">
      <c r="A790" s="15" t="s">
        <v>3500</v>
      </c>
      <c r="B790" s="16">
        <v>45101.0</v>
      </c>
      <c r="C790" s="17">
        <v>45102.0</v>
      </c>
      <c r="D790" s="18">
        <v>10.0</v>
      </c>
      <c r="E790" s="19">
        <v>9.0</v>
      </c>
      <c r="F790" s="20">
        <v>28000.0</v>
      </c>
      <c r="G790" s="21" t="s">
        <v>2711</v>
      </c>
      <c r="H790" s="19">
        <v>5.0</v>
      </c>
      <c r="I790" s="21" t="s">
        <v>2294</v>
      </c>
      <c r="J790" s="22" t="s">
        <v>2637</v>
      </c>
    </row>
    <row r="791" ht="14.25" customHeight="1">
      <c r="A791" s="15" t="s">
        <v>3501</v>
      </c>
      <c r="B791" s="16">
        <v>45101.0</v>
      </c>
      <c r="C791" s="17">
        <v>45106.0</v>
      </c>
      <c r="D791" s="18">
        <v>3.0</v>
      </c>
      <c r="E791" s="19">
        <v>3.0</v>
      </c>
      <c r="F791" s="20">
        <v>16000.0</v>
      </c>
      <c r="G791" s="21" t="s">
        <v>2711</v>
      </c>
      <c r="H791" s="19">
        <v>5.0</v>
      </c>
      <c r="I791" s="21" t="s">
        <v>2358</v>
      </c>
      <c r="J791" s="22" t="s">
        <v>2532</v>
      </c>
    </row>
    <row r="792" ht="14.25" customHeight="1">
      <c r="A792" s="15" t="s">
        <v>3502</v>
      </c>
      <c r="B792" s="16">
        <v>45101.0</v>
      </c>
      <c r="C792" s="17">
        <v>45105.0</v>
      </c>
      <c r="D792" s="18">
        <v>2.0</v>
      </c>
      <c r="E792" s="19">
        <v>2.0</v>
      </c>
      <c r="F792" s="20">
        <v>14000.0</v>
      </c>
      <c r="G792" s="21" t="s">
        <v>2711</v>
      </c>
      <c r="H792" s="19">
        <v>4.0</v>
      </c>
      <c r="I792" s="21" t="s">
        <v>1985</v>
      </c>
      <c r="J792" s="22" t="s">
        <v>2542</v>
      </c>
    </row>
    <row r="793" ht="14.25" customHeight="1">
      <c r="A793" s="15" t="s">
        <v>3503</v>
      </c>
      <c r="B793" s="16">
        <v>45101.0</v>
      </c>
      <c r="C793" s="17">
        <v>45105.0</v>
      </c>
      <c r="D793" s="18">
        <v>1.0</v>
      </c>
      <c r="E793" s="19">
        <v>2.0</v>
      </c>
      <c r="F793" s="20">
        <v>14000.0</v>
      </c>
      <c r="G793" s="21" t="s">
        <v>2711</v>
      </c>
      <c r="H793" s="19">
        <v>4.0</v>
      </c>
      <c r="I793" s="21" t="s">
        <v>545</v>
      </c>
      <c r="J793" s="22" t="s">
        <v>2617</v>
      </c>
    </row>
    <row r="794" ht="14.25" customHeight="1">
      <c r="A794" s="15" t="s">
        <v>3504</v>
      </c>
      <c r="B794" s="16">
        <v>45101.0</v>
      </c>
      <c r="C794" s="17">
        <v>45102.0</v>
      </c>
      <c r="D794" s="18">
        <v>4.0</v>
      </c>
      <c r="E794" s="19">
        <v>3.0</v>
      </c>
      <c r="F794" s="20">
        <v>16000.0</v>
      </c>
      <c r="G794" s="21" t="s">
        <v>2711</v>
      </c>
      <c r="H794" s="19">
        <v>5.0</v>
      </c>
      <c r="I794" s="21" t="s">
        <v>2184</v>
      </c>
      <c r="J794" s="22" t="s">
        <v>2557</v>
      </c>
    </row>
    <row r="795" ht="14.25" customHeight="1">
      <c r="A795" s="15" t="s">
        <v>3505</v>
      </c>
      <c r="B795" s="16">
        <v>45101.0</v>
      </c>
      <c r="C795" s="17">
        <v>45104.0</v>
      </c>
      <c r="D795" s="18">
        <v>10.0</v>
      </c>
      <c r="E795" s="19">
        <v>10.0</v>
      </c>
      <c r="F795" s="20">
        <v>30000.0</v>
      </c>
      <c r="G795" s="21" t="s">
        <v>2711</v>
      </c>
      <c r="H795" s="19">
        <v>5.0</v>
      </c>
      <c r="I795" s="21" t="s">
        <v>942</v>
      </c>
      <c r="J795" s="22" t="s">
        <v>2607</v>
      </c>
    </row>
    <row r="796" ht="14.25" customHeight="1">
      <c r="A796" s="15" t="s">
        <v>3506</v>
      </c>
      <c r="B796" s="16">
        <v>45101.0</v>
      </c>
      <c r="C796" s="17">
        <v>45103.0</v>
      </c>
      <c r="D796" s="18">
        <v>1.0</v>
      </c>
      <c r="E796" s="19">
        <v>3.0</v>
      </c>
      <c r="F796" s="20">
        <v>16000.0</v>
      </c>
      <c r="G796" s="21" t="s">
        <v>2711</v>
      </c>
      <c r="H796" s="19">
        <v>4.0</v>
      </c>
      <c r="I796" s="21" t="s">
        <v>1882</v>
      </c>
      <c r="J796" s="22" t="s">
        <v>2652</v>
      </c>
    </row>
    <row r="797" ht="14.25" customHeight="1">
      <c r="A797" s="15" t="s">
        <v>3507</v>
      </c>
      <c r="B797" s="16">
        <v>45101.0</v>
      </c>
      <c r="C797" s="17">
        <v>45106.0</v>
      </c>
      <c r="D797" s="18">
        <v>8.0</v>
      </c>
      <c r="E797" s="19">
        <v>10.0</v>
      </c>
      <c r="F797" s="20">
        <v>30000.0</v>
      </c>
      <c r="G797" s="21" t="s">
        <v>2711</v>
      </c>
      <c r="H797" s="19">
        <v>5.0</v>
      </c>
      <c r="I797" s="21" t="s">
        <v>422</v>
      </c>
      <c r="J797" s="22" t="s">
        <v>2484</v>
      </c>
    </row>
    <row r="798" ht="14.25" customHeight="1">
      <c r="A798" s="15" t="s">
        <v>3508</v>
      </c>
      <c r="B798" s="17">
        <v>45102.0</v>
      </c>
      <c r="C798" s="17">
        <f t="shared" ref="C798:C799" si="8">B798 + RANDBETWEEN(1,5)</f>
        <v>45103</v>
      </c>
      <c r="D798" s="18">
        <v>5.0</v>
      </c>
      <c r="E798" s="19">
        <v>2.0</v>
      </c>
      <c r="F798" s="20">
        <v>14000.0</v>
      </c>
      <c r="G798" s="21" t="s">
        <v>2711</v>
      </c>
      <c r="H798" s="19">
        <v>4.0</v>
      </c>
      <c r="I798" s="21" t="s">
        <v>922</v>
      </c>
      <c r="J798" s="22" t="s">
        <v>2612</v>
      </c>
    </row>
    <row r="799" ht="14.25" customHeight="1">
      <c r="A799" s="15" t="s">
        <v>3509</v>
      </c>
      <c r="B799" s="17">
        <v>45102.0</v>
      </c>
      <c r="C799" s="17">
        <f t="shared" si="8"/>
        <v>45106</v>
      </c>
      <c r="D799" s="18">
        <v>9.0</v>
      </c>
      <c r="E799" s="19">
        <v>6.0</v>
      </c>
      <c r="F799" s="20">
        <v>22000.0</v>
      </c>
      <c r="G799" s="21" t="s">
        <v>2711</v>
      </c>
      <c r="H799" s="19">
        <v>4.0</v>
      </c>
      <c r="I799" s="21" t="s">
        <v>274</v>
      </c>
      <c r="J799" s="22" t="s">
        <v>2637</v>
      </c>
    </row>
    <row r="800" ht="14.25" customHeight="1">
      <c r="A800" s="15" t="s">
        <v>3510</v>
      </c>
      <c r="B800" s="16">
        <v>45102.0</v>
      </c>
      <c r="C800" s="17">
        <v>45103.0</v>
      </c>
      <c r="D800" s="18">
        <v>2.0</v>
      </c>
      <c r="E800" s="19">
        <v>2.0</v>
      </c>
      <c r="F800" s="20">
        <v>14000.0</v>
      </c>
      <c r="G800" s="21" t="s">
        <v>2711</v>
      </c>
      <c r="H800" s="19">
        <v>5.0</v>
      </c>
      <c r="I800" s="21" t="s">
        <v>266</v>
      </c>
      <c r="J800" s="22" t="s">
        <v>2612</v>
      </c>
    </row>
    <row r="801" ht="14.25" customHeight="1">
      <c r="A801" s="15" t="s">
        <v>3511</v>
      </c>
      <c r="B801" s="16">
        <v>45102.0</v>
      </c>
      <c r="C801" s="17">
        <v>45105.0</v>
      </c>
      <c r="D801" s="18">
        <v>4.0</v>
      </c>
      <c r="E801" s="19">
        <v>1.0</v>
      </c>
      <c r="F801" s="20">
        <v>12000.0</v>
      </c>
      <c r="G801" s="21" t="s">
        <v>2711</v>
      </c>
      <c r="H801" s="19">
        <v>4.0</v>
      </c>
      <c r="I801" s="21" t="s">
        <v>2160</v>
      </c>
      <c r="J801" s="22" t="s">
        <v>2562</v>
      </c>
    </row>
    <row r="802" ht="14.25" customHeight="1">
      <c r="A802" s="15" t="s">
        <v>3512</v>
      </c>
      <c r="B802" s="16">
        <v>45102.0</v>
      </c>
      <c r="C802" s="17">
        <v>45105.0</v>
      </c>
      <c r="D802" s="18">
        <v>13.0</v>
      </c>
      <c r="E802" s="19">
        <v>4.0</v>
      </c>
      <c r="F802" s="20">
        <v>18000.0</v>
      </c>
      <c r="G802" s="21" t="s">
        <v>2711</v>
      </c>
      <c r="H802" s="19">
        <v>4.0</v>
      </c>
      <c r="I802" s="21" t="s">
        <v>2294</v>
      </c>
      <c r="J802" s="22" t="s">
        <v>2484</v>
      </c>
    </row>
    <row r="803" ht="14.25" customHeight="1">
      <c r="A803" s="15" t="s">
        <v>3513</v>
      </c>
      <c r="B803" s="16">
        <v>45102.0</v>
      </c>
      <c r="C803" s="17">
        <v>45106.0</v>
      </c>
      <c r="D803" s="18">
        <v>3.0</v>
      </c>
      <c r="E803" s="19">
        <v>2.0</v>
      </c>
      <c r="F803" s="20">
        <v>14000.0</v>
      </c>
      <c r="G803" s="21" t="s">
        <v>2711</v>
      </c>
      <c r="H803" s="19">
        <v>5.0</v>
      </c>
      <c r="I803" s="21" t="s">
        <v>704</v>
      </c>
      <c r="J803" s="22" t="s">
        <v>2632</v>
      </c>
    </row>
    <row r="804" ht="14.25" customHeight="1">
      <c r="A804" s="15" t="s">
        <v>3514</v>
      </c>
      <c r="B804" s="16">
        <v>45102.0</v>
      </c>
      <c r="C804" s="17">
        <v>45105.0</v>
      </c>
      <c r="D804" s="18">
        <v>6.0</v>
      </c>
      <c r="E804" s="19">
        <v>2.0</v>
      </c>
      <c r="F804" s="20">
        <v>14000.0</v>
      </c>
      <c r="G804" s="21" t="s">
        <v>2711</v>
      </c>
      <c r="H804" s="19">
        <v>5.0</v>
      </c>
      <c r="I804" s="21" t="s">
        <v>386</v>
      </c>
      <c r="J804" s="22" t="s">
        <v>2567</v>
      </c>
    </row>
    <row r="805" ht="14.25" customHeight="1">
      <c r="A805" s="15" t="s">
        <v>3515</v>
      </c>
      <c r="B805" s="16">
        <v>45102.0</v>
      </c>
      <c r="C805" s="17">
        <v>45104.0</v>
      </c>
      <c r="D805" s="18">
        <v>20.0</v>
      </c>
      <c r="E805" s="19">
        <v>10.0</v>
      </c>
      <c r="F805" s="20">
        <v>36000.0</v>
      </c>
      <c r="G805" s="21" t="s">
        <v>2711</v>
      </c>
      <c r="H805" s="19">
        <v>4.0</v>
      </c>
      <c r="I805" s="21" t="s">
        <v>1926</v>
      </c>
      <c r="J805" s="22" t="s">
        <v>2537</v>
      </c>
    </row>
    <row r="806" ht="14.25" customHeight="1">
      <c r="A806" s="15" t="s">
        <v>3516</v>
      </c>
      <c r="B806" s="16">
        <v>45102.0</v>
      </c>
      <c r="C806" s="17">
        <v>45104.0</v>
      </c>
      <c r="D806" s="18">
        <v>6.0</v>
      </c>
      <c r="E806" s="19">
        <v>2.0</v>
      </c>
      <c r="F806" s="20">
        <v>14000.0</v>
      </c>
      <c r="G806" s="21" t="s">
        <v>2711</v>
      </c>
      <c r="H806" s="19">
        <v>5.0</v>
      </c>
      <c r="I806" s="21" t="s">
        <v>1748</v>
      </c>
      <c r="J806" s="22" t="s">
        <v>2516</v>
      </c>
    </row>
    <row r="807" ht="14.25" customHeight="1">
      <c r="A807" s="15" t="s">
        <v>3517</v>
      </c>
      <c r="B807" s="16">
        <v>45102.0</v>
      </c>
      <c r="C807" s="17">
        <v>45104.0</v>
      </c>
      <c r="D807" s="18">
        <v>1.0</v>
      </c>
      <c r="E807" s="19">
        <v>2.0</v>
      </c>
      <c r="F807" s="20">
        <v>14000.0</v>
      </c>
      <c r="G807" s="21" t="s">
        <v>2711</v>
      </c>
      <c r="H807" s="19">
        <v>4.0</v>
      </c>
      <c r="I807" s="21" t="s">
        <v>1085</v>
      </c>
      <c r="J807" s="22" t="s">
        <v>2622</v>
      </c>
      <c r="K807" s="27"/>
    </row>
    <row r="808" ht="14.25" customHeight="1">
      <c r="A808" s="15" t="s">
        <v>3518</v>
      </c>
      <c r="B808" s="16">
        <v>45102.0</v>
      </c>
      <c r="C808" s="17">
        <v>45105.0</v>
      </c>
      <c r="D808" s="18">
        <v>5.0</v>
      </c>
      <c r="E808" s="19">
        <v>3.0</v>
      </c>
      <c r="F808" s="20">
        <v>16000.0</v>
      </c>
      <c r="G808" s="21" t="s">
        <v>2711</v>
      </c>
      <c r="H808" s="19">
        <v>4.0</v>
      </c>
      <c r="I808" s="21" t="s">
        <v>605</v>
      </c>
      <c r="J808" s="22" t="s">
        <v>2612</v>
      </c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</row>
    <row r="809" ht="14.25" customHeight="1">
      <c r="A809" s="15" t="s">
        <v>3519</v>
      </c>
      <c r="B809" s="16">
        <v>45102.0</v>
      </c>
      <c r="C809" s="17">
        <v>45104.0</v>
      </c>
      <c r="D809" s="18">
        <v>5.0</v>
      </c>
      <c r="E809" s="19">
        <v>3.0</v>
      </c>
      <c r="F809" s="20">
        <v>16000.0</v>
      </c>
      <c r="G809" s="21" t="s">
        <v>2711</v>
      </c>
      <c r="H809" s="19">
        <v>5.0</v>
      </c>
      <c r="I809" s="21" t="s">
        <v>2025</v>
      </c>
      <c r="J809" s="22" t="s">
        <v>2647</v>
      </c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</row>
    <row r="810" ht="14.25" customHeight="1">
      <c r="A810" s="15" t="s">
        <v>3520</v>
      </c>
      <c r="B810" s="16">
        <v>45102.0</v>
      </c>
      <c r="C810" s="17">
        <v>45105.0</v>
      </c>
      <c r="D810" s="18">
        <v>12.0</v>
      </c>
      <c r="E810" s="19">
        <v>6.0</v>
      </c>
      <c r="F810" s="20">
        <v>22000.0</v>
      </c>
      <c r="G810" s="21" t="s">
        <v>2711</v>
      </c>
      <c r="H810" s="19">
        <v>5.0</v>
      </c>
      <c r="I810" s="21" t="s">
        <v>2244</v>
      </c>
      <c r="J810" s="22" t="s">
        <v>2484</v>
      </c>
    </row>
    <row r="811" ht="14.25" customHeight="1">
      <c r="A811" s="15" t="s">
        <v>3521</v>
      </c>
      <c r="B811" s="16">
        <v>45102.0</v>
      </c>
      <c r="C811" s="17">
        <v>45103.0</v>
      </c>
      <c r="D811" s="18">
        <v>6.0</v>
      </c>
      <c r="E811" s="19">
        <v>2.0</v>
      </c>
      <c r="F811" s="20">
        <v>14000.0</v>
      </c>
      <c r="G811" s="21" t="s">
        <v>2711</v>
      </c>
      <c r="H811" s="19">
        <v>5.0</v>
      </c>
      <c r="I811" s="21" t="s">
        <v>1834</v>
      </c>
      <c r="J811" s="22" t="s">
        <v>2532</v>
      </c>
    </row>
    <row r="812" ht="14.25" customHeight="1">
      <c r="A812" s="15" t="s">
        <v>3522</v>
      </c>
      <c r="B812" s="16">
        <v>45102.0</v>
      </c>
      <c r="C812" s="17">
        <v>45106.0</v>
      </c>
      <c r="D812" s="18">
        <v>19.0</v>
      </c>
      <c r="E812" s="19">
        <v>5.0</v>
      </c>
      <c r="F812" s="20">
        <v>25700.0</v>
      </c>
      <c r="G812" s="21" t="s">
        <v>2711</v>
      </c>
      <c r="H812" s="19">
        <v>5.0</v>
      </c>
      <c r="I812" s="21" t="s">
        <v>1830</v>
      </c>
      <c r="J812" s="22" t="s">
        <v>2667</v>
      </c>
    </row>
    <row r="813" ht="14.25" customHeight="1">
      <c r="A813" s="15" t="s">
        <v>3523</v>
      </c>
      <c r="B813" s="16">
        <v>45102.0</v>
      </c>
      <c r="C813" s="17">
        <v>45104.0</v>
      </c>
      <c r="D813" s="18">
        <v>11.0</v>
      </c>
      <c r="E813" s="19">
        <v>7.0</v>
      </c>
      <c r="F813" s="20">
        <v>24000.0</v>
      </c>
      <c r="G813" s="21" t="s">
        <v>2711</v>
      </c>
      <c r="H813" s="19">
        <v>5.0</v>
      </c>
      <c r="I813" s="21" t="s">
        <v>1316</v>
      </c>
      <c r="J813" s="22" t="s">
        <v>2484</v>
      </c>
    </row>
    <row r="814" ht="14.25" customHeight="1">
      <c r="A814" s="15" t="s">
        <v>3524</v>
      </c>
      <c r="B814" s="16">
        <v>45102.0</v>
      </c>
      <c r="C814" s="17">
        <v>45104.0</v>
      </c>
      <c r="D814" s="18">
        <v>4.0</v>
      </c>
      <c r="E814" s="19">
        <v>3.0</v>
      </c>
      <c r="F814" s="20">
        <v>16000.0</v>
      </c>
      <c r="G814" s="21" t="s">
        <v>2711</v>
      </c>
      <c r="H814" s="19">
        <v>4.0</v>
      </c>
      <c r="I814" s="21" t="s">
        <v>30</v>
      </c>
      <c r="J814" s="22" t="s">
        <v>2506</v>
      </c>
    </row>
    <row r="815" ht="14.25" customHeight="1">
      <c r="A815" s="15" t="s">
        <v>3525</v>
      </c>
      <c r="B815" s="16">
        <v>45102.0</v>
      </c>
      <c r="C815" s="17">
        <v>45104.0</v>
      </c>
      <c r="D815" s="18">
        <v>2.0</v>
      </c>
      <c r="E815" s="19">
        <v>3.0</v>
      </c>
      <c r="F815" s="20">
        <v>16000.0</v>
      </c>
      <c r="G815" s="21" t="s">
        <v>2711</v>
      </c>
      <c r="H815" s="19">
        <v>4.0</v>
      </c>
      <c r="I815" s="21" t="s">
        <v>1717</v>
      </c>
      <c r="J815" s="22" t="s">
        <v>2602</v>
      </c>
    </row>
    <row r="816" ht="14.25" customHeight="1">
      <c r="A816" s="15" t="s">
        <v>3526</v>
      </c>
      <c r="B816" s="16">
        <v>45102.0</v>
      </c>
      <c r="C816" s="17">
        <v>45103.0</v>
      </c>
      <c r="D816" s="18">
        <v>2.0</v>
      </c>
      <c r="E816" s="19">
        <v>1.0</v>
      </c>
      <c r="F816" s="20">
        <v>12000.0</v>
      </c>
      <c r="G816" s="21" t="s">
        <v>2711</v>
      </c>
      <c r="H816" s="19">
        <v>5.0</v>
      </c>
      <c r="I816" s="21" t="s">
        <v>2152</v>
      </c>
      <c r="J816" s="22" t="s">
        <v>2496</v>
      </c>
    </row>
    <row r="817" ht="14.25" customHeight="1">
      <c r="A817" s="15" t="s">
        <v>3527</v>
      </c>
      <c r="B817" s="16">
        <v>45102.0</v>
      </c>
      <c r="C817" s="17">
        <v>45106.0</v>
      </c>
      <c r="D817" s="18">
        <v>6.0</v>
      </c>
      <c r="E817" s="19">
        <v>3.0</v>
      </c>
      <c r="F817" s="20">
        <v>16000.0</v>
      </c>
      <c r="G817" s="21" t="s">
        <v>2711</v>
      </c>
      <c r="H817" s="19">
        <v>4.0</v>
      </c>
      <c r="I817" s="21" t="s">
        <v>1312</v>
      </c>
      <c r="J817" s="22" t="s">
        <v>2490</v>
      </c>
    </row>
    <row r="818" ht="14.25" customHeight="1">
      <c r="A818" s="15" t="s">
        <v>3528</v>
      </c>
      <c r="B818" s="16">
        <v>45102.0</v>
      </c>
      <c r="C818" s="17">
        <v>45104.0</v>
      </c>
      <c r="D818" s="18">
        <v>3.0</v>
      </c>
      <c r="E818" s="19">
        <v>2.0</v>
      </c>
      <c r="F818" s="20">
        <v>14000.0</v>
      </c>
      <c r="G818" s="21" t="s">
        <v>2711</v>
      </c>
      <c r="H818" s="19">
        <v>5.0</v>
      </c>
      <c r="I818" s="21" t="s">
        <v>1748</v>
      </c>
      <c r="J818" s="22" t="s">
        <v>2612</v>
      </c>
    </row>
    <row r="819" ht="14.25" customHeight="1">
      <c r="A819" s="15" t="s">
        <v>3529</v>
      </c>
      <c r="B819" s="16">
        <v>45102.0</v>
      </c>
      <c r="C819" s="17">
        <v>45106.0</v>
      </c>
      <c r="D819" s="18">
        <v>18.0</v>
      </c>
      <c r="E819" s="19">
        <v>4.0</v>
      </c>
      <c r="F819" s="20">
        <v>23400.0</v>
      </c>
      <c r="G819" s="21" t="s">
        <v>2711</v>
      </c>
      <c r="H819" s="19">
        <v>5.0</v>
      </c>
      <c r="I819" s="21" t="s">
        <v>30</v>
      </c>
      <c r="J819" s="22" t="s">
        <v>2637</v>
      </c>
    </row>
    <row r="820" ht="14.25" customHeight="1">
      <c r="A820" s="15" t="s">
        <v>3530</v>
      </c>
      <c r="B820" s="16">
        <v>45102.0</v>
      </c>
      <c r="C820" s="17">
        <v>45104.0</v>
      </c>
      <c r="D820" s="18">
        <v>6.0</v>
      </c>
      <c r="E820" s="19">
        <v>3.0</v>
      </c>
      <c r="F820" s="20">
        <v>16000.0</v>
      </c>
      <c r="G820" s="21" t="s">
        <v>2711</v>
      </c>
      <c r="H820" s="19">
        <v>4.0</v>
      </c>
      <c r="I820" s="21" t="s">
        <v>767</v>
      </c>
      <c r="J820" s="22" t="s">
        <v>2516</v>
      </c>
    </row>
    <row r="821" ht="14.25" customHeight="1">
      <c r="A821" s="15" t="s">
        <v>3531</v>
      </c>
      <c r="B821" s="16">
        <v>45102.0</v>
      </c>
      <c r="C821" s="17">
        <v>45106.0</v>
      </c>
      <c r="D821" s="18">
        <v>3.0</v>
      </c>
      <c r="E821" s="19">
        <v>2.0</v>
      </c>
      <c r="F821" s="20">
        <v>14000.0</v>
      </c>
      <c r="G821" s="21" t="s">
        <v>2711</v>
      </c>
      <c r="H821" s="19">
        <v>5.0</v>
      </c>
      <c r="I821" s="21" t="s">
        <v>2060</v>
      </c>
      <c r="J821" s="22" t="s">
        <v>2532</v>
      </c>
    </row>
    <row r="822" ht="14.25" customHeight="1">
      <c r="A822" s="15" t="s">
        <v>3532</v>
      </c>
      <c r="B822" s="16">
        <v>45102.0</v>
      </c>
      <c r="C822" s="17">
        <v>45106.0</v>
      </c>
      <c r="D822" s="18">
        <v>18.0</v>
      </c>
      <c r="E822" s="19">
        <v>7.0</v>
      </c>
      <c r="F822" s="20">
        <v>29400.0</v>
      </c>
      <c r="G822" s="21" t="s">
        <v>2711</v>
      </c>
      <c r="H822" s="19">
        <v>5.0</v>
      </c>
      <c r="I822" s="21" t="s">
        <v>1025</v>
      </c>
      <c r="J822" s="22" t="s">
        <v>2501</v>
      </c>
    </row>
    <row r="823" ht="14.25" customHeight="1">
      <c r="A823" s="15" t="s">
        <v>3533</v>
      </c>
      <c r="B823" s="16">
        <v>45102.0</v>
      </c>
      <c r="C823" s="17">
        <v>45103.0</v>
      </c>
      <c r="D823" s="18">
        <v>15.0</v>
      </c>
      <c r="E823" s="19">
        <v>8.0</v>
      </c>
      <c r="F823" s="20">
        <v>30500.0</v>
      </c>
      <c r="G823" s="21" t="s">
        <v>2711</v>
      </c>
      <c r="H823" s="19">
        <v>4.0</v>
      </c>
      <c r="I823" s="21" t="s">
        <v>1244</v>
      </c>
      <c r="J823" s="22" t="s">
        <v>2662</v>
      </c>
    </row>
    <row r="824" ht="14.25" customHeight="1">
      <c r="A824" s="15" t="s">
        <v>3534</v>
      </c>
      <c r="B824" s="16">
        <v>45102.0</v>
      </c>
      <c r="C824" s="17">
        <v>45104.0</v>
      </c>
      <c r="D824" s="18">
        <v>2.0</v>
      </c>
      <c r="E824" s="19">
        <v>1.0</v>
      </c>
      <c r="F824" s="20">
        <v>12000.0</v>
      </c>
      <c r="G824" s="21" t="s">
        <v>2711</v>
      </c>
      <c r="H824" s="19">
        <v>4.0</v>
      </c>
      <c r="I824" s="21" t="s">
        <v>2358</v>
      </c>
      <c r="J824" s="22" t="s">
        <v>2490</v>
      </c>
    </row>
    <row r="825" ht="14.25" customHeight="1">
      <c r="A825" s="15" t="s">
        <v>3535</v>
      </c>
      <c r="B825" s="16">
        <v>45102.0</v>
      </c>
      <c r="C825" s="17">
        <v>45103.0</v>
      </c>
      <c r="D825" s="18">
        <v>19.0</v>
      </c>
      <c r="E825" s="19">
        <v>7.0</v>
      </c>
      <c r="F825" s="20">
        <v>29700.0</v>
      </c>
      <c r="G825" s="21" t="s">
        <v>2711</v>
      </c>
      <c r="H825" s="19">
        <v>4.0</v>
      </c>
      <c r="I825" s="21" t="s">
        <v>2255</v>
      </c>
      <c r="J825" s="22" t="s">
        <v>2627</v>
      </c>
    </row>
    <row r="826" ht="14.25" customHeight="1">
      <c r="A826" s="15" t="s">
        <v>3536</v>
      </c>
      <c r="B826" s="16">
        <v>45102.0</v>
      </c>
      <c r="C826" s="17">
        <v>45103.0</v>
      </c>
      <c r="D826" s="18">
        <v>12.0</v>
      </c>
      <c r="E826" s="19">
        <v>5.0</v>
      </c>
      <c r="F826" s="20">
        <v>20000.0</v>
      </c>
      <c r="G826" s="21" t="s">
        <v>2711</v>
      </c>
      <c r="H826" s="19">
        <v>4.0</v>
      </c>
      <c r="I826" s="21" t="s">
        <v>1021</v>
      </c>
      <c r="J826" s="22" t="s">
        <v>2672</v>
      </c>
    </row>
    <row r="827" ht="14.25" customHeight="1">
      <c r="A827" s="15" t="s">
        <v>3537</v>
      </c>
      <c r="B827" s="17">
        <v>45103.0</v>
      </c>
      <c r="C827" s="17">
        <f>B827 + RANDBETWEEN(1,5)</f>
        <v>45107</v>
      </c>
      <c r="D827" s="18">
        <v>11.0</v>
      </c>
      <c r="E827" s="19">
        <v>4.0</v>
      </c>
      <c r="F827" s="20">
        <v>18000.0</v>
      </c>
      <c r="G827" s="21" t="s">
        <v>2711</v>
      </c>
      <c r="H827" s="19">
        <v>5.0</v>
      </c>
      <c r="I827" s="21" t="s">
        <v>194</v>
      </c>
      <c r="J827" s="22" t="s">
        <v>2667</v>
      </c>
    </row>
    <row r="828" ht="14.25" customHeight="1">
      <c r="A828" s="15" t="s">
        <v>3538</v>
      </c>
      <c r="B828" s="16">
        <v>45103.0</v>
      </c>
      <c r="C828" s="17">
        <v>45104.0</v>
      </c>
      <c r="D828" s="18">
        <v>6.0</v>
      </c>
      <c r="E828" s="19">
        <v>1.0</v>
      </c>
      <c r="F828" s="20">
        <v>12000.0</v>
      </c>
      <c r="G828" s="21" t="s">
        <v>2711</v>
      </c>
      <c r="H828" s="19">
        <v>5.0</v>
      </c>
      <c r="I828" s="21" t="s">
        <v>170</v>
      </c>
      <c r="J828" s="22" t="s">
        <v>2592</v>
      </c>
    </row>
    <row r="829" ht="14.25" customHeight="1">
      <c r="A829" s="15" t="s">
        <v>3539</v>
      </c>
      <c r="B829" s="16">
        <v>45103.0</v>
      </c>
      <c r="C829" s="17">
        <v>45106.0</v>
      </c>
      <c r="D829" s="18">
        <v>13.0</v>
      </c>
      <c r="E829" s="19">
        <v>5.0</v>
      </c>
      <c r="F829" s="30"/>
      <c r="G829" s="21" t="s">
        <v>2711</v>
      </c>
      <c r="H829" s="19">
        <v>4.0</v>
      </c>
      <c r="I829" s="21" t="s">
        <v>1351</v>
      </c>
      <c r="J829" s="22" t="s">
        <v>2587</v>
      </c>
    </row>
    <row r="830" ht="14.25" customHeight="1">
      <c r="A830" s="15" t="s">
        <v>3540</v>
      </c>
      <c r="B830" s="16">
        <v>45103.0</v>
      </c>
      <c r="C830" s="17">
        <v>45106.0</v>
      </c>
      <c r="D830" s="18">
        <v>13.0</v>
      </c>
      <c r="E830" s="19">
        <v>7.0</v>
      </c>
      <c r="F830" s="20">
        <v>24000.0</v>
      </c>
      <c r="G830" s="21" t="s">
        <v>2711</v>
      </c>
      <c r="H830" s="19">
        <v>5.0</v>
      </c>
      <c r="I830" s="21" t="s">
        <v>2377</v>
      </c>
      <c r="J830" s="22" t="s">
        <v>2627</v>
      </c>
    </row>
    <row r="831" ht="14.25" customHeight="1">
      <c r="A831" s="15" t="s">
        <v>3541</v>
      </c>
      <c r="B831" s="16">
        <v>45103.0</v>
      </c>
      <c r="C831" s="17">
        <v>45108.0</v>
      </c>
      <c r="D831" s="18">
        <v>10.0</v>
      </c>
      <c r="E831" s="19">
        <v>10.0</v>
      </c>
      <c r="F831" s="20">
        <v>30000.0</v>
      </c>
      <c r="G831" s="21" t="s">
        <v>2711</v>
      </c>
      <c r="H831" s="19">
        <v>5.0</v>
      </c>
      <c r="I831" s="21" t="s">
        <v>410</v>
      </c>
      <c r="J831" s="22" t="s">
        <v>2672</v>
      </c>
    </row>
    <row r="832" ht="14.25" customHeight="1">
      <c r="A832" s="15" t="s">
        <v>3542</v>
      </c>
      <c r="B832" s="16">
        <v>45103.0</v>
      </c>
      <c r="C832" s="17">
        <v>45108.0</v>
      </c>
      <c r="D832" s="18">
        <v>1.0</v>
      </c>
      <c r="E832" s="19">
        <v>3.0</v>
      </c>
      <c r="F832" s="20">
        <v>16000.0</v>
      </c>
      <c r="G832" s="21" t="s">
        <v>2711</v>
      </c>
      <c r="H832" s="19">
        <v>4.0</v>
      </c>
      <c r="I832" s="21" t="s">
        <v>1157</v>
      </c>
      <c r="J832" s="22" t="s">
        <v>2532</v>
      </c>
    </row>
    <row r="833" ht="14.25" customHeight="1">
      <c r="A833" s="15" t="s">
        <v>3543</v>
      </c>
      <c r="B833" s="16">
        <v>45103.0</v>
      </c>
      <c r="C833" s="17">
        <v>45106.0</v>
      </c>
      <c r="D833" s="18">
        <v>3.0</v>
      </c>
      <c r="E833" s="19">
        <v>1.0</v>
      </c>
      <c r="F833" s="20">
        <v>12000.0</v>
      </c>
      <c r="G833" s="21" t="s">
        <v>2711</v>
      </c>
      <c r="H833" s="19">
        <v>5.0</v>
      </c>
      <c r="I833" s="21" t="s">
        <v>1224</v>
      </c>
      <c r="J833" s="22" t="s">
        <v>2652</v>
      </c>
    </row>
    <row r="834" ht="14.25" customHeight="1">
      <c r="A834" s="15" t="s">
        <v>3544</v>
      </c>
      <c r="B834" s="16">
        <v>45103.0</v>
      </c>
      <c r="C834" s="17">
        <v>45105.0</v>
      </c>
      <c r="D834" s="18">
        <v>20.0</v>
      </c>
      <c r="E834" s="19">
        <v>9.0</v>
      </c>
      <c r="F834" s="20">
        <v>34000.0</v>
      </c>
      <c r="G834" s="21" t="s">
        <v>2711</v>
      </c>
      <c r="H834" s="19">
        <v>5.0</v>
      </c>
      <c r="I834" s="21" t="s">
        <v>1133</v>
      </c>
      <c r="J834" s="22" t="s">
        <v>2484</v>
      </c>
    </row>
    <row r="835" ht="14.25" customHeight="1">
      <c r="A835" s="15" t="s">
        <v>3545</v>
      </c>
      <c r="B835" s="16">
        <v>45103.0</v>
      </c>
      <c r="C835" s="17">
        <v>45106.0</v>
      </c>
      <c r="D835" s="18">
        <v>2.0</v>
      </c>
      <c r="E835" s="19">
        <v>2.0</v>
      </c>
      <c r="F835" s="20">
        <v>14000.0</v>
      </c>
      <c r="G835" s="21" t="s">
        <v>2711</v>
      </c>
      <c r="H835" s="19">
        <v>5.0</v>
      </c>
      <c r="I835" s="21" t="s">
        <v>406</v>
      </c>
      <c r="J835" s="22" t="s">
        <v>2602</v>
      </c>
    </row>
    <row r="836" ht="14.25" customHeight="1">
      <c r="A836" s="15" t="s">
        <v>3546</v>
      </c>
      <c r="B836" s="16">
        <v>45103.0</v>
      </c>
      <c r="C836" s="17">
        <v>45105.0</v>
      </c>
      <c r="D836" s="18">
        <v>9.0</v>
      </c>
      <c r="E836" s="19">
        <v>5.0</v>
      </c>
      <c r="F836" s="20">
        <v>20000.0</v>
      </c>
      <c r="G836" s="21" t="s">
        <v>2711</v>
      </c>
      <c r="H836" s="19">
        <v>4.0</v>
      </c>
      <c r="I836" s="21" t="s">
        <v>2164</v>
      </c>
      <c r="J836" s="22" t="s">
        <v>2537</v>
      </c>
    </row>
    <row r="837" ht="14.25" customHeight="1">
      <c r="A837" s="15" t="s">
        <v>3547</v>
      </c>
      <c r="B837" s="16">
        <v>45103.0</v>
      </c>
      <c r="C837" s="17">
        <v>45108.0</v>
      </c>
      <c r="D837" s="18">
        <v>6.0</v>
      </c>
      <c r="E837" s="19">
        <v>2.0</v>
      </c>
      <c r="F837" s="20">
        <v>14000.0</v>
      </c>
      <c r="G837" s="21" t="s">
        <v>2711</v>
      </c>
      <c r="H837" s="19">
        <v>4.0</v>
      </c>
      <c r="I837" s="21" t="s">
        <v>672</v>
      </c>
      <c r="J837" s="22" t="s">
        <v>2577</v>
      </c>
    </row>
    <row r="838" ht="14.25" customHeight="1">
      <c r="A838" s="15" t="s">
        <v>3548</v>
      </c>
      <c r="B838" s="16">
        <v>45103.0</v>
      </c>
      <c r="C838" s="17">
        <v>45105.0</v>
      </c>
      <c r="D838" s="18">
        <v>6.0</v>
      </c>
      <c r="E838" s="19">
        <v>2.0</v>
      </c>
      <c r="F838" s="20">
        <v>14000.0</v>
      </c>
      <c r="G838" s="21" t="s">
        <v>2711</v>
      </c>
      <c r="H838" s="19">
        <v>4.0</v>
      </c>
      <c r="I838" s="21" t="s">
        <v>819</v>
      </c>
      <c r="J838" s="22" t="s">
        <v>2652</v>
      </c>
    </row>
    <row r="839" ht="14.25" customHeight="1">
      <c r="A839" s="15" t="s">
        <v>3549</v>
      </c>
      <c r="B839" s="16">
        <v>45103.0</v>
      </c>
      <c r="C839" s="17">
        <v>45105.0</v>
      </c>
      <c r="D839" s="18">
        <v>5.0</v>
      </c>
      <c r="E839" s="19">
        <v>1.0</v>
      </c>
      <c r="F839" s="20">
        <v>12000.0</v>
      </c>
      <c r="G839" s="21" t="s">
        <v>2711</v>
      </c>
      <c r="H839" s="19">
        <v>5.0</v>
      </c>
      <c r="I839" s="21" t="s">
        <v>70</v>
      </c>
      <c r="J839" s="22" t="s">
        <v>2557</v>
      </c>
    </row>
    <row r="840" ht="14.25" customHeight="1">
      <c r="A840" s="15" t="s">
        <v>3550</v>
      </c>
      <c r="B840" s="16">
        <v>45103.0</v>
      </c>
      <c r="C840" s="17">
        <v>45105.0</v>
      </c>
      <c r="D840" s="18">
        <v>14.0</v>
      </c>
      <c r="E840" s="19">
        <v>6.0</v>
      </c>
      <c r="F840" s="20">
        <v>22000.0</v>
      </c>
      <c r="G840" s="21" t="s">
        <v>2711</v>
      </c>
      <c r="H840" s="19">
        <v>5.0</v>
      </c>
      <c r="I840" s="21" t="s">
        <v>2358</v>
      </c>
      <c r="J840" s="22" t="s">
        <v>2672</v>
      </c>
    </row>
    <row r="841" ht="14.25" customHeight="1">
      <c r="A841" s="15" t="s">
        <v>3551</v>
      </c>
      <c r="B841" s="16">
        <v>45103.0</v>
      </c>
      <c r="C841" s="17">
        <v>45104.0</v>
      </c>
      <c r="D841" s="18">
        <v>7.0</v>
      </c>
      <c r="E841" s="19">
        <v>8.0</v>
      </c>
      <c r="F841" s="20">
        <v>26000.0</v>
      </c>
      <c r="G841" s="21" t="s">
        <v>2711</v>
      </c>
      <c r="H841" s="19">
        <v>4.0</v>
      </c>
      <c r="I841" s="21" t="s">
        <v>2457</v>
      </c>
      <c r="J841" s="22" t="s">
        <v>2484</v>
      </c>
    </row>
    <row r="842" ht="14.25" customHeight="1">
      <c r="A842" s="15" t="s">
        <v>3552</v>
      </c>
      <c r="B842" s="16">
        <v>45103.0</v>
      </c>
      <c r="C842" s="17">
        <v>45104.0</v>
      </c>
      <c r="D842" s="18">
        <v>6.0</v>
      </c>
      <c r="E842" s="19">
        <v>3.0</v>
      </c>
      <c r="F842" s="20">
        <v>16000.0</v>
      </c>
      <c r="G842" s="21" t="s">
        <v>2711</v>
      </c>
      <c r="H842" s="19">
        <v>4.0</v>
      </c>
      <c r="I842" s="21" t="s">
        <v>74</v>
      </c>
      <c r="J842" s="22" t="s">
        <v>2647</v>
      </c>
    </row>
    <row r="843" ht="14.25" customHeight="1">
      <c r="A843" s="15" t="s">
        <v>3553</v>
      </c>
      <c r="B843" s="16">
        <v>45103.0</v>
      </c>
      <c r="C843" s="17">
        <v>45105.0</v>
      </c>
      <c r="D843" s="18">
        <v>3.0</v>
      </c>
      <c r="E843" s="19">
        <v>1.0</v>
      </c>
      <c r="F843" s="20">
        <v>12000.0</v>
      </c>
      <c r="G843" s="21" t="s">
        <v>2711</v>
      </c>
      <c r="H843" s="19">
        <v>4.0</v>
      </c>
      <c r="I843" s="21" t="s">
        <v>130</v>
      </c>
      <c r="J843" s="22" t="s">
        <v>2506</v>
      </c>
    </row>
    <row r="844" ht="14.25" customHeight="1">
      <c r="A844" s="15" t="s">
        <v>3554</v>
      </c>
      <c r="B844" s="16">
        <v>45103.0</v>
      </c>
      <c r="C844" s="17">
        <v>45105.0</v>
      </c>
      <c r="D844" s="18">
        <v>13.0</v>
      </c>
      <c r="E844" s="19">
        <v>4.0</v>
      </c>
      <c r="F844" s="20">
        <v>18000.0</v>
      </c>
      <c r="G844" s="21" t="s">
        <v>2711</v>
      </c>
      <c r="H844" s="19">
        <v>4.0</v>
      </c>
      <c r="I844" s="21" t="s">
        <v>2108</v>
      </c>
      <c r="J844" s="22" t="s">
        <v>2637</v>
      </c>
    </row>
    <row r="845" ht="14.25" customHeight="1">
      <c r="A845" s="15" t="s">
        <v>3555</v>
      </c>
      <c r="B845" s="16">
        <v>45103.0</v>
      </c>
      <c r="C845" s="17">
        <v>45104.0</v>
      </c>
      <c r="D845" s="18">
        <v>6.0</v>
      </c>
      <c r="E845" s="19">
        <v>1.0</v>
      </c>
      <c r="F845" s="20">
        <v>12000.0</v>
      </c>
      <c r="G845" s="21" t="s">
        <v>2711</v>
      </c>
      <c r="H845" s="19">
        <v>5.0</v>
      </c>
      <c r="I845" s="21" t="s">
        <v>118</v>
      </c>
      <c r="J845" s="22" t="s">
        <v>2647</v>
      </c>
    </row>
    <row r="846" ht="14.25" customHeight="1">
      <c r="A846" s="15" t="s">
        <v>3556</v>
      </c>
      <c r="B846" s="16">
        <v>45103.0</v>
      </c>
      <c r="C846" s="17">
        <v>45105.0</v>
      </c>
      <c r="D846" s="18">
        <v>2.0</v>
      </c>
      <c r="E846" s="19">
        <v>2.0</v>
      </c>
      <c r="F846" s="20">
        <v>14000.0</v>
      </c>
      <c r="G846" s="21" t="s">
        <v>2711</v>
      </c>
      <c r="H846" s="19">
        <v>4.0</v>
      </c>
      <c r="I846" s="21" t="s">
        <v>2037</v>
      </c>
      <c r="J846" s="22" t="s">
        <v>2602</v>
      </c>
    </row>
    <row r="847" ht="14.25" customHeight="1">
      <c r="A847" s="15" t="s">
        <v>3557</v>
      </c>
      <c r="B847" s="16">
        <v>45103.0</v>
      </c>
      <c r="C847" s="17">
        <v>45107.0</v>
      </c>
      <c r="D847" s="18">
        <v>1.0</v>
      </c>
      <c r="E847" s="19">
        <v>3.0</v>
      </c>
      <c r="F847" s="20">
        <v>16000.0</v>
      </c>
      <c r="G847" s="21" t="s">
        <v>2711</v>
      </c>
      <c r="H847" s="19">
        <v>5.0</v>
      </c>
      <c r="I847" s="21" t="s">
        <v>2068</v>
      </c>
      <c r="J847" s="22" t="s">
        <v>2642</v>
      </c>
    </row>
    <row r="848" ht="14.25" customHeight="1">
      <c r="A848" s="15" t="s">
        <v>3558</v>
      </c>
      <c r="B848" s="16">
        <v>45103.0</v>
      </c>
      <c r="C848" s="17">
        <v>45104.0</v>
      </c>
      <c r="D848" s="18">
        <v>1.0</v>
      </c>
      <c r="E848" s="19">
        <v>2.0</v>
      </c>
      <c r="F848" s="20">
        <v>14000.0</v>
      </c>
      <c r="G848" s="21" t="s">
        <v>2711</v>
      </c>
      <c r="H848" s="19">
        <v>5.0</v>
      </c>
      <c r="I848" s="21" t="s">
        <v>94</v>
      </c>
      <c r="J848" s="22" t="s">
        <v>2567</v>
      </c>
    </row>
    <row r="849" ht="14.25" customHeight="1">
      <c r="A849" s="15" t="s">
        <v>3559</v>
      </c>
      <c r="B849" s="16">
        <v>45103.0</v>
      </c>
      <c r="C849" s="17">
        <v>45107.0</v>
      </c>
      <c r="D849" s="18">
        <v>19.0</v>
      </c>
      <c r="E849" s="19">
        <v>5.0</v>
      </c>
      <c r="F849" s="20">
        <v>25700.0</v>
      </c>
      <c r="G849" s="21" t="s">
        <v>2711</v>
      </c>
      <c r="H849" s="19">
        <v>4.0</v>
      </c>
      <c r="I849" s="21" t="s">
        <v>593</v>
      </c>
      <c r="J849" s="22" t="s">
        <v>2637</v>
      </c>
    </row>
    <row r="850" ht="14.25" customHeight="1">
      <c r="A850" s="15" t="s">
        <v>3560</v>
      </c>
      <c r="B850" s="16">
        <v>45103.0</v>
      </c>
      <c r="C850" s="17">
        <v>45107.0</v>
      </c>
      <c r="D850" s="18">
        <v>1.0</v>
      </c>
      <c r="E850" s="19">
        <v>1.0</v>
      </c>
      <c r="F850" s="20">
        <v>12000.0</v>
      </c>
      <c r="G850" s="21" t="s">
        <v>2711</v>
      </c>
      <c r="H850" s="19">
        <v>4.0</v>
      </c>
      <c r="I850" s="21" t="s">
        <v>557</v>
      </c>
      <c r="J850" s="22" t="s">
        <v>2652</v>
      </c>
    </row>
    <row r="851" ht="14.25" customHeight="1">
      <c r="A851" s="15" t="s">
        <v>3561</v>
      </c>
      <c r="B851" s="16">
        <v>45103.0</v>
      </c>
      <c r="C851" s="17">
        <v>45104.0</v>
      </c>
      <c r="D851" s="18">
        <v>4.0</v>
      </c>
      <c r="E851" s="19">
        <v>2.0</v>
      </c>
      <c r="F851" s="20">
        <v>14000.0</v>
      </c>
      <c r="G851" s="21" t="s">
        <v>2711</v>
      </c>
      <c r="H851" s="19">
        <v>5.0</v>
      </c>
      <c r="I851" s="21" t="s">
        <v>1316</v>
      </c>
      <c r="J851" s="22" t="s">
        <v>2647</v>
      </c>
    </row>
    <row r="852" ht="14.25" customHeight="1">
      <c r="A852" s="15" t="s">
        <v>3562</v>
      </c>
      <c r="B852" s="16">
        <v>45103.0</v>
      </c>
      <c r="C852" s="17">
        <v>45105.0</v>
      </c>
      <c r="D852" s="18">
        <v>4.0</v>
      </c>
      <c r="E852" s="19">
        <v>3.0</v>
      </c>
      <c r="F852" s="20">
        <v>16000.0</v>
      </c>
      <c r="G852" s="21" t="s">
        <v>2711</v>
      </c>
      <c r="H852" s="19">
        <v>4.0</v>
      </c>
      <c r="I852" s="21" t="s">
        <v>326</v>
      </c>
      <c r="J852" s="22" t="s">
        <v>2687</v>
      </c>
    </row>
    <row r="853" ht="14.25" customHeight="1">
      <c r="A853" s="15" t="s">
        <v>3563</v>
      </c>
      <c r="B853" s="16">
        <v>45103.0</v>
      </c>
      <c r="C853" s="17">
        <v>45104.0</v>
      </c>
      <c r="D853" s="18">
        <v>5.0</v>
      </c>
      <c r="E853" s="19">
        <v>1.0</v>
      </c>
      <c r="F853" s="20">
        <v>12000.0</v>
      </c>
      <c r="G853" s="21" t="s">
        <v>2711</v>
      </c>
      <c r="H853" s="19">
        <v>5.0</v>
      </c>
      <c r="I853" s="21" t="s">
        <v>338</v>
      </c>
      <c r="J853" s="22" t="s">
        <v>2677</v>
      </c>
    </row>
    <row r="854" ht="14.25" customHeight="1">
      <c r="A854" s="15" t="s">
        <v>3564</v>
      </c>
      <c r="B854" s="16">
        <v>45103.0</v>
      </c>
      <c r="C854" s="17">
        <v>45108.0</v>
      </c>
      <c r="D854" s="18">
        <v>2.0</v>
      </c>
      <c r="E854" s="19">
        <v>1.0</v>
      </c>
      <c r="F854" s="20">
        <v>12000.0</v>
      </c>
      <c r="G854" s="21" t="s">
        <v>2711</v>
      </c>
      <c r="H854" s="19">
        <v>5.0</v>
      </c>
      <c r="I854" s="21" t="s">
        <v>1129</v>
      </c>
      <c r="J854" s="22" t="s">
        <v>2490</v>
      </c>
    </row>
    <row r="855" ht="14.25" customHeight="1">
      <c r="A855" s="15" t="s">
        <v>3565</v>
      </c>
      <c r="B855" s="16">
        <v>45103.0</v>
      </c>
      <c r="C855" s="17">
        <v>45104.0</v>
      </c>
      <c r="D855" s="18">
        <v>12.0</v>
      </c>
      <c r="E855" s="19">
        <v>7.0</v>
      </c>
      <c r="F855" s="20">
        <v>24000.0</v>
      </c>
      <c r="G855" s="21" t="s">
        <v>2711</v>
      </c>
      <c r="H855" s="19">
        <v>5.0</v>
      </c>
      <c r="I855" s="21" t="s">
        <v>246</v>
      </c>
      <c r="J855" s="22" t="s">
        <v>2501</v>
      </c>
    </row>
    <row r="856" ht="14.25" customHeight="1">
      <c r="A856" s="15" t="s">
        <v>3566</v>
      </c>
      <c r="B856" s="16">
        <v>45103.0</v>
      </c>
      <c r="C856" s="17">
        <v>45105.0</v>
      </c>
      <c r="D856" s="18">
        <v>5.0</v>
      </c>
      <c r="E856" s="19">
        <v>3.0</v>
      </c>
      <c r="F856" s="20">
        <v>16000.0</v>
      </c>
      <c r="G856" s="21" t="s">
        <v>2711</v>
      </c>
      <c r="H856" s="19">
        <v>5.0</v>
      </c>
      <c r="I856" s="21" t="s">
        <v>1113</v>
      </c>
      <c r="J856" s="22" t="s">
        <v>2532</v>
      </c>
    </row>
    <row r="857" ht="14.25" customHeight="1">
      <c r="A857" s="15" t="s">
        <v>3567</v>
      </c>
      <c r="B857" s="16">
        <v>45103.0</v>
      </c>
      <c r="C857" s="17">
        <v>45104.0</v>
      </c>
      <c r="D857" s="18">
        <v>1.0</v>
      </c>
      <c r="E857" s="19">
        <v>2.0</v>
      </c>
      <c r="F857" s="20">
        <v>14000.0</v>
      </c>
      <c r="G857" s="21" t="s">
        <v>2711</v>
      </c>
      <c r="H857" s="19">
        <v>4.0</v>
      </c>
      <c r="I857" s="21" t="s">
        <v>182</v>
      </c>
      <c r="J857" s="22" t="s">
        <v>2582</v>
      </c>
    </row>
    <row r="858" ht="14.25" customHeight="1">
      <c r="A858" s="15" t="s">
        <v>3568</v>
      </c>
      <c r="B858" s="16">
        <v>45103.0</v>
      </c>
      <c r="C858" s="17">
        <v>45104.0</v>
      </c>
      <c r="D858" s="18">
        <v>3.0</v>
      </c>
      <c r="E858" s="19">
        <v>1.0</v>
      </c>
      <c r="F858" s="20">
        <v>12000.0</v>
      </c>
      <c r="G858" s="21" t="s">
        <v>2711</v>
      </c>
      <c r="H858" s="19">
        <v>5.0</v>
      </c>
      <c r="I858" s="21" t="s">
        <v>86</v>
      </c>
      <c r="J858" s="22" t="s">
        <v>2511</v>
      </c>
    </row>
    <row r="859" ht="14.25" customHeight="1">
      <c r="A859" s="15" t="s">
        <v>3569</v>
      </c>
      <c r="B859" s="16">
        <v>45103.0</v>
      </c>
      <c r="C859" s="17">
        <v>45106.0</v>
      </c>
      <c r="D859" s="18">
        <v>1.0</v>
      </c>
      <c r="E859" s="19">
        <v>3.0</v>
      </c>
      <c r="F859" s="20">
        <v>16000.0</v>
      </c>
      <c r="G859" s="21" t="s">
        <v>2711</v>
      </c>
      <c r="H859" s="19">
        <v>4.0</v>
      </c>
      <c r="I859" s="21" t="s">
        <v>906</v>
      </c>
      <c r="J859" s="22" t="s">
        <v>2490</v>
      </c>
    </row>
    <row r="860" ht="14.25" customHeight="1">
      <c r="A860" s="15" t="s">
        <v>3570</v>
      </c>
      <c r="B860" s="16">
        <v>45103.0</v>
      </c>
      <c r="C860" s="17">
        <v>45105.0</v>
      </c>
      <c r="D860" s="18">
        <v>3.0</v>
      </c>
      <c r="E860" s="19">
        <v>1.0</v>
      </c>
      <c r="F860" s="20">
        <v>12000.0</v>
      </c>
      <c r="G860" s="21" t="s">
        <v>2711</v>
      </c>
      <c r="H860" s="19">
        <v>5.0</v>
      </c>
      <c r="I860" s="21" t="s">
        <v>1029</v>
      </c>
      <c r="J860" s="22" t="s">
        <v>2511</v>
      </c>
    </row>
    <row r="861" ht="14.25" customHeight="1">
      <c r="A861" s="15" t="s">
        <v>3571</v>
      </c>
      <c r="B861" s="16">
        <v>45103.0</v>
      </c>
      <c r="C861" s="17">
        <v>45104.0</v>
      </c>
      <c r="D861" s="18">
        <v>2.0</v>
      </c>
      <c r="E861" s="19">
        <v>3.0</v>
      </c>
      <c r="F861" s="20">
        <v>16000.0</v>
      </c>
      <c r="G861" s="21" t="s">
        <v>2747</v>
      </c>
      <c r="H861" s="21"/>
      <c r="I861" s="21" t="s">
        <v>1969</v>
      </c>
      <c r="J861" s="22" t="s">
        <v>2597</v>
      </c>
    </row>
    <row r="862" ht="14.25" customHeight="1">
      <c r="A862" s="15" t="s">
        <v>3572</v>
      </c>
      <c r="B862" s="16">
        <v>45103.0</v>
      </c>
      <c r="C862" s="17">
        <v>45104.0</v>
      </c>
      <c r="D862" s="18">
        <v>3.0</v>
      </c>
      <c r="E862" s="19">
        <v>3.0</v>
      </c>
      <c r="F862" s="20">
        <v>16000.0</v>
      </c>
      <c r="G862" s="21" t="s">
        <v>2711</v>
      </c>
      <c r="H862" s="19">
        <v>4.0</v>
      </c>
      <c r="I862" s="21" t="s">
        <v>1969</v>
      </c>
      <c r="J862" s="22" t="s">
        <v>2682</v>
      </c>
    </row>
    <row r="863" ht="14.25" customHeight="1">
      <c r="A863" s="15" t="s">
        <v>3573</v>
      </c>
      <c r="B863" s="16">
        <v>45103.0</v>
      </c>
      <c r="C863" s="17">
        <v>45104.0</v>
      </c>
      <c r="D863" s="18">
        <v>4.0</v>
      </c>
      <c r="E863" s="19">
        <v>2.0</v>
      </c>
      <c r="F863" s="20">
        <v>14000.0</v>
      </c>
      <c r="G863" s="21" t="s">
        <v>2711</v>
      </c>
      <c r="H863" s="19">
        <v>4.0</v>
      </c>
      <c r="I863" s="21" t="s">
        <v>1748</v>
      </c>
      <c r="J863" s="22" t="s">
        <v>2692</v>
      </c>
    </row>
    <row r="864" ht="14.25" customHeight="1">
      <c r="A864" s="15" t="s">
        <v>3574</v>
      </c>
      <c r="B864" s="16">
        <v>45103.0</v>
      </c>
      <c r="C864" s="17">
        <v>45105.0</v>
      </c>
      <c r="D864" s="18">
        <v>15.0</v>
      </c>
      <c r="E864" s="19">
        <v>9.0</v>
      </c>
      <c r="F864" s="20">
        <v>32500.0</v>
      </c>
      <c r="G864" s="21" t="s">
        <v>2711</v>
      </c>
      <c r="H864" s="19">
        <v>5.0</v>
      </c>
      <c r="I864" s="21" t="s">
        <v>910</v>
      </c>
      <c r="J864" s="22" t="s">
        <v>2627</v>
      </c>
    </row>
    <row r="865" ht="14.25" customHeight="1">
      <c r="A865" s="15" t="s">
        <v>3575</v>
      </c>
      <c r="B865" s="16">
        <v>45103.0</v>
      </c>
      <c r="C865" s="17">
        <v>45105.0</v>
      </c>
      <c r="D865" s="18">
        <v>18.0</v>
      </c>
      <c r="E865" s="19">
        <v>9.0</v>
      </c>
      <c r="F865" s="20">
        <v>33400.0</v>
      </c>
      <c r="G865" s="21" t="s">
        <v>2711</v>
      </c>
      <c r="H865" s="19">
        <v>4.0</v>
      </c>
      <c r="I865" s="21" t="s">
        <v>1866</v>
      </c>
      <c r="J865" s="22" t="s">
        <v>2587</v>
      </c>
    </row>
    <row r="866" ht="14.25" customHeight="1">
      <c r="A866" s="15" t="s">
        <v>3576</v>
      </c>
      <c r="B866" s="16">
        <v>45104.0</v>
      </c>
      <c r="C866" s="17">
        <v>45109.0</v>
      </c>
      <c r="D866" s="18">
        <v>14.0</v>
      </c>
      <c r="E866" s="19">
        <v>10.0</v>
      </c>
      <c r="F866" s="20">
        <v>30000.0</v>
      </c>
      <c r="G866" s="21" t="s">
        <v>2711</v>
      </c>
      <c r="H866" s="19">
        <v>4.0</v>
      </c>
      <c r="I866" s="21" t="s">
        <v>2453</v>
      </c>
      <c r="J866" s="22" t="s">
        <v>2501</v>
      </c>
    </row>
    <row r="867" ht="14.25" customHeight="1">
      <c r="A867" s="15" t="s">
        <v>3577</v>
      </c>
      <c r="B867" s="16">
        <v>45104.0</v>
      </c>
      <c r="C867" s="17">
        <v>45109.0</v>
      </c>
      <c r="D867" s="18">
        <v>1.0</v>
      </c>
      <c r="E867" s="19">
        <v>3.0</v>
      </c>
      <c r="F867" s="20">
        <v>16000.0</v>
      </c>
      <c r="G867" s="21" t="s">
        <v>2711</v>
      </c>
      <c r="H867" s="19">
        <v>4.0</v>
      </c>
      <c r="I867" s="21" t="s">
        <v>1953</v>
      </c>
      <c r="J867" s="22" t="s">
        <v>2527</v>
      </c>
    </row>
    <row r="868" ht="14.25" customHeight="1">
      <c r="A868" s="15" t="s">
        <v>3578</v>
      </c>
      <c r="B868" s="16">
        <v>45104.0</v>
      </c>
      <c r="C868" s="17">
        <v>45109.0</v>
      </c>
      <c r="D868" s="18">
        <v>4.0</v>
      </c>
      <c r="E868" s="19">
        <v>3.0</v>
      </c>
      <c r="F868" s="20">
        <v>16000.0</v>
      </c>
      <c r="G868" s="21" t="s">
        <v>2711</v>
      </c>
      <c r="H868" s="19">
        <v>4.0</v>
      </c>
      <c r="I868" s="21" t="s">
        <v>1280</v>
      </c>
      <c r="J868" s="22" t="s">
        <v>2632</v>
      </c>
    </row>
    <row r="869" ht="14.25" customHeight="1">
      <c r="A869" s="15" t="s">
        <v>3579</v>
      </c>
      <c r="B869" s="16">
        <v>45104.0</v>
      </c>
      <c r="C869" s="17">
        <v>45105.0</v>
      </c>
      <c r="D869" s="18">
        <v>15.0</v>
      </c>
      <c r="E869" s="19">
        <v>5.0</v>
      </c>
      <c r="F869" s="20">
        <v>24500.0</v>
      </c>
      <c r="G869" s="21" t="s">
        <v>2711</v>
      </c>
      <c r="H869" s="19">
        <v>5.0</v>
      </c>
      <c r="I869" s="21" t="s">
        <v>2334</v>
      </c>
      <c r="J869" s="22" t="s">
        <v>2662</v>
      </c>
    </row>
    <row r="870" ht="14.25" customHeight="1">
      <c r="A870" s="15" t="s">
        <v>3580</v>
      </c>
      <c r="B870" s="16">
        <v>45104.0</v>
      </c>
      <c r="C870" s="17">
        <v>45105.0</v>
      </c>
      <c r="D870" s="18">
        <v>10.0</v>
      </c>
      <c r="E870" s="19">
        <v>10.0</v>
      </c>
      <c r="F870" s="20">
        <v>30000.0</v>
      </c>
      <c r="G870" s="21" t="s">
        <v>2711</v>
      </c>
      <c r="H870" s="19">
        <v>5.0</v>
      </c>
      <c r="I870" s="21" t="s">
        <v>6</v>
      </c>
      <c r="J870" s="22" t="s">
        <v>2697</v>
      </c>
      <c r="K870" s="27"/>
    </row>
    <row r="871" ht="14.25" customHeight="1">
      <c r="A871" s="15" t="s">
        <v>3581</v>
      </c>
      <c r="B871" s="16">
        <v>45104.0</v>
      </c>
      <c r="C871" s="17">
        <v>45109.0</v>
      </c>
      <c r="D871" s="18">
        <v>6.0</v>
      </c>
      <c r="E871" s="19">
        <v>1.0</v>
      </c>
      <c r="F871" s="20">
        <v>12000.0</v>
      </c>
      <c r="G871" s="21" t="s">
        <v>2711</v>
      </c>
      <c r="H871" s="19">
        <v>5.0</v>
      </c>
      <c r="I871" s="21" t="s">
        <v>38</v>
      </c>
      <c r="J871" s="22" t="s">
        <v>2490</v>
      </c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</row>
    <row r="872" ht="14.25" customHeight="1">
      <c r="A872" s="15" t="s">
        <v>3582</v>
      </c>
      <c r="B872" s="16">
        <v>45104.0</v>
      </c>
      <c r="C872" s="17">
        <v>45107.0</v>
      </c>
      <c r="D872" s="18">
        <v>5.0</v>
      </c>
      <c r="E872" s="19">
        <v>3.0</v>
      </c>
      <c r="F872" s="20">
        <v>16000.0</v>
      </c>
      <c r="G872" s="21" t="s">
        <v>2711</v>
      </c>
      <c r="H872" s="19">
        <v>5.0</v>
      </c>
      <c r="I872" s="21" t="s">
        <v>2259</v>
      </c>
      <c r="J872" s="22" t="s">
        <v>2687</v>
      </c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</row>
    <row r="873" ht="14.25" customHeight="1">
      <c r="A873" s="15" t="s">
        <v>3583</v>
      </c>
      <c r="B873" s="16">
        <v>45104.0</v>
      </c>
      <c r="C873" s="17">
        <v>45107.0</v>
      </c>
      <c r="D873" s="18">
        <v>5.0</v>
      </c>
      <c r="E873" s="19">
        <v>1.0</v>
      </c>
      <c r="F873" s="20">
        <v>12000.0</v>
      </c>
      <c r="G873" s="21" t="s">
        <v>2711</v>
      </c>
      <c r="H873" s="19">
        <v>5.0</v>
      </c>
      <c r="I873" s="21" t="s">
        <v>2029</v>
      </c>
      <c r="J873" s="22" t="s">
        <v>2527</v>
      </c>
    </row>
    <row r="874" ht="14.25" customHeight="1">
      <c r="A874" s="15" t="s">
        <v>3584</v>
      </c>
      <c r="B874" s="16">
        <v>45104.0</v>
      </c>
      <c r="C874" s="17">
        <v>45105.0</v>
      </c>
      <c r="D874" s="18">
        <v>41.0</v>
      </c>
      <c r="E874" s="19">
        <v>12.0</v>
      </c>
      <c r="F874" s="20">
        <v>46300.0</v>
      </c>
      <c r="G874" s="21" t="s">
        <v>2711</v>
      </c>
      <c r="H874" s="19">
        <v>5.0</v>
      </c>
      <c r="I874" s="21" t="s">
        <v>2148</v>
      </c>
      <c r="J874" s="22" t="s">
        <v>2521</v>
      </c>
    </row>
    <row r="875" ht="14.25" customHeight="1">
      <c r="A875" s="15" t="s">
        <v>3585</v>
      </c>
      <c r="B875" s="16">
        <v>45104.0</v>
      </c>
      <c r="C875" s="17">
        <v>45106.0</v>
      </c>
      <c r="D875" s="18">
        <v>10.0</v>
      </c>
      <c r="E875" s="19">
        <v>7.0</v>
      </c>
      <c r="F875" s="20">
        <v>24000.0</v>
      </c>
      <c r="G875" s="21" t="s">
        <v>2711</v>
      </c>
      <c r="H875" s="19">
        <v>4.0</v>
      </c>
      <c r="I875" s="21" t="s">
        <v>2255</v>
      </c>
      <c r="J875" s="22" t="s">
        <v>2667</v>
      </c>
    </row>
    <row r="876" ht="14.25" customHeight="1">
      <c r="A876" s="15" t="s">
        <v>3586</v>
      </c>
      <c r="B876" s="16">
        <v>45104.0</v>
      </c>
      <c r="C876" s="17">
        <v>45107.0</v>
      </c>
      <c r="D876" s="18">
        <v>8.0</v>
      </c>
      <c r="E876" s="19">
        <v>5.0</v>
      </c>
      <c r="F876" s="20">
        <v>20000.0</v>
      </c>
      <c r="G876" s="21" t="s">
        <v>2711</v>
      </c>
      <c r="H876" s="19">
        <v>5.0</v>
      </c>
      <c r="I876" s="21" t="s">
        <v>42</v>
      </c>
      <c r="J876" s="22" t="s">
        <v>2662</v>
      </c>
    </row>
    <row r="877" ht="14.25" customHeight="1">
      <c r="A877" s="15" t="s">
        <v>3587</v>
      </c>
      <c r="B877" s="16">
        <v>45104.0</v>
      </c>
      <c r="C877" s="17">
        <v>45108.0</v>
      </c>
      <c r="D877" s="18">
        <v>78.0</v>
      </c>
      <c r="E877" s="19">
        <v>16.0</v>
      </c>
      <c r="F877" s="20">
        <v>65400.0</v>
      </c>
      <c r="G877" s="21" t="s">
        <v>2711</v>
      </c>
      <c r="H877" s="19">
        <v>4.0</v>
      </c>
      <c r="I877" s="21" t="s">
        <v>178</v>
      </c>
      <c r="J877" s="22" t="s">
        <v>2521</v>
      </c>
    </row>
    <row r="878" ht="14.25" customHeight="1">
      <c r="A878" s="15" t="s">
        <v>3588</v>
      </c>
      <c r="B878" s="16">
        <v>45104.0</v>
      </c>
      <c r="C878" s="17">
        <v>45106.0</v>
      </c>
      <c r="D878" s="18">
        <v>3.0</v>
      </c>
      <c r="E878" s="19">
        <v>3.0</v>
      </c>
      <c r="F878" s="20">
        <v>16000.0</v>
      </c>
      <c r="G878" s="21" t="s">
        <v>2711</v>
      </c>
      <c r="H878" s="19">
        <v>4.0</v>
      </c>
      <c r="I878" s="21" t="s">
        <v>2385</v>
      </c>
      <c r="J878" s="22" t="s">
        <v>2562</v>
      </c>
    </row>
    <row r="879" ht="14.25" customHeight="1">
      <c r="A879" s="15" t="s">
        <v>3589</v>
      </c>
      <c r="B879" s="16">
        <v>45104.0</v>
      </c>
      <c r="C879" s="17">
        <v>45105.0</v>
      </c>
      <c r="D879" s="18">
        <v>60.0</v>
      </c>
      <c r="E879" s="19">
        <v>11.0</v>
      </c>
      <c r="F879" s="20">
        <v>50000.0</v>
      </c>
      <c r="G879" s="21" t="s">
        <v>2711</v>
      </c>
      <c r="H879" s="19">
        <v>5.0</v>
      </c>
      <c r="I879" s="21" t="s">
        <v>2366</v>
      </c>
      <c r="J879" s="22" t="s">
        <v>2521</v>
      </c>
    </row>
    <row r="880" ht="14.25" customHeight="1">
      <c r="A880" s="15" t="s">
        <v>3590</v>
      </c>
      <c r="B880" s="16">
        <v>45104.0</v>
      </c>
      <c r="C880" s="17">
        <v>45107.0</v>
      </c>
      <c r="D880" s="18">
        <v>54.0</v>
      </c>
      <c r="E880" s="19">
        <v>20.0</v>
      </c>
      <c r="F880" s="20">
        <v>66200.0</v>
      </c>
      <c r="G880" s="21" t="s">
        <v>2711</v>
      </c>
      <c r="H880" s="19">
        <v>4.0</v>
      </c>
      <c r="I880" s="21" t="s">
        <v>1351</v>
      </c>
      <c r="J880" s="22" t="s">
        <v>2521</v>
      </c>
    </row>
    <row r="881" ht="14.25" customHeight="1">
      <c r="A881" s="15" t="s">
        <v>3591</v>
      </c>
      <c r="B881" s="16">
        <v>45104.0</v>
      </c>
      <c r="C881" s="17">
        <v>45108.0</v>
      </c>
      <c r="D881" s="18">
        <v>1.0</v>
      </c>
      <c r="E881" s="19">
        <v>3.0</v>
      </c>
      <c r="F881" s="20">
        <v>16000.0</v>
      </c>
      <c r="G881" s="21" t="s">
        <v>2711</v>
      </c>
      <c r="H881" s="19">
        <v>4.0</v>
      </c>
      <c r="I881" s="21" t="s">
        <v>1089</v>
      </c>
      <c r="J881" s="22" t="s">
        <v>2687</v>
      </c>
    </row>
    <row r="882" ht="14.25" customHeight="1">
      <c r="A882" s="15" t="s">
        <v>3592</v>
      </c>
      <c r="B882" s="16">
        <v>45104.0</v>
      </c>
      <c r="C882" s="17">
        <v>45106.0</v>
      </c>
      <c r="D882" s="18">
        <v>14.0</v>
      </c>
      <c r="E882" s="19">
        <v>7.0</v>
      </c>
      <c r="F882" s="20">
        <v>24000.0</v>
      </c>
      <c r="G882" s="21" t="s">
        <v>2711</v>
      </c>
      <c r="H882" s="19">
        <v>4.0</v>
      </c>
      <c r="I882" s="21" t="s">
        <v>1386</v>
      </c>
      <c r="J882" s="22" t="s">
        <v>2627</v>
      </c>
    </row>
    <row r="883" ht="14.25" customHeight="1">
      <c r="A883" s="15" t="s">
        <v>3593</v>
      </c>
      <c r="B883" s="16">
        <v>45104.0</v>
      </c>
      <c r="C883" s="17">
        <v>45109.0</v>
      </c>
      <c r="D883" s="18">
        <v>5.0</v>
      </c>
      <c r="E883" s="19">
        <v>3.0</v>
      </c>
      <c r="F883" s="20">
        <v>16000.0</v>
      </c>
      <c r="G883" s="21" t="s">
        <v>2711</v>
      </c>
      <c r="H883" s="19">
        <v>5.0</v>
      </c>
      <c r="I883" s="21" t="s">
        <v>1969</v>
      </c>
      <c r="J883" s="22" t="s">
        <v>2642</v>
      </c>
    </row>
    <row r="884" ht="14.25" customHeight="1">
      <c r="A884" s="15" t="s">
        <v>3594</v>
      </c>
      <c r="B884" s="16">
        <v>45104.0</v>
      </c>
      <c r="C884" s="17">
        <v>45108.0</v>
      </c>
      <c r="D884" s="18">
        <v>5.0</v>
      </c>
      <c r="E884" s="19">
        <v>3.0</v>
      </c>
      <c r="F884" s="20">
        <v>16000.0</v>
      </c>
      <c r="G884" s="21" t="s">
        <v>2711</v>
      </c>
      <c r="H884" s="19">
        <v>5.0</v>
      </c>
      <c r="I884" s="21" t="s">
        <v>402</v>
      </c>
      <c r="J884" s="22" t="s">
        <v>2602</v>
      </c>
    </row>
    <row r="885" ht="14.25" customHeight="1">
      <c r="A885" s="15" t="s">
        <v>3595</v>
      </c>
      <c r="B885" s="16">
        <v>45104.0</v>
      </c>
      <c r="C885" s="17">
        <v>45107.0</v>
      </c>
      <c r="D885" s="18">
        <v>16.0</v>
      </c>
      <c r="E885" s="19">
        <v>4.0</v>
      </c>
      <c r="F885" s="20">
        <v>22800.0</v>
      </c>
      <c r="G885" s="21" t="s">
        <v>2711</v>
      </c>
      <c r="H885" s="19">
        <v>4.0</v>
      </c>
      <c r="I885" s="21" t="s">
        <v>2124</v>
      </c>
      <c r="J885" s="22" t="s">
        <v>2484</v>
      </c>
    </row>
    <row r="886" ht="14.25" customHeight="1">
      <c r="A886" s="15" t="s">
        <v>3596</v>
      </c>
      <c r="B886" s="16">
        <v>45104.0</v>
      </c>
      <c r="C886" s="17">
        <v>45107.0</v>
      </c>
      <c r="D886" s="18">
        <v>78.0</v>
      </c>
      <c r="E886" s="19">
        <v>22.0</v>
      </c>
      <c r="F886" s="20">
        <v>77400.0</v>
      </c>
      <c r="G886" s="21" t="s">
        <v>2711</v>
      </c>
      <c r="H886" s="19">
        <v>5.0</v>
      </c>
      <c r="I886" s="21" t="s">
        <v>510</v>
      </c>
      <c r="J886" s="22" t="s">
        <v>2521</v>
      </c>
    </row>
    <row r="887" ht="14.25" customHeight="1">
      <c r="A887" s="15" t="s">
        <v>3597</v>
      </c>
      <c r="B887" s="16">
        <v>45104.0</v>
      </c>
      <c r="C887" s="17">
        <v>45108.0</v>
      </c>
      <c r="D887" s="18">
        <v>33.0</v>
      </c>
      <c r="E887" s="19">
        <v>12.0</v>
      </c>
      <c r="F887" s="20">
        <v>43900.0</v>
      </c>
      <c r="G887" s="21" t="s">
        <v>2711</v>
      </c>
      <c r="H887" s="19">
        <v>5.0</v>
      </c>
      <c r="I887" s="21" t="s">
        <v>775</v>
      </c>
      <c r="J887" s="22" t="s">
        <v>2521</v>
      </c>
    </row>
    <row r="888" ht="14.25" customHeight="1">
      <c r="A888" s="15" t="s">
        <v>3598</v>
      </c>
      <c r="B888" s="16">
        <v>45104.0</v>
      </c>
      <c r="C888" s="17">
        <v>45105.0</v>
      </c>
      <c r="D888" s="18">
        <v>6.0</v>
      </c>
      <c r="E888" s="19">
        <v>1.0</v>
      </c>
      <c r="F888" s="20">
        <v>12000.0</v>
      </c>
      <c r="G888" s="21" t="s">
        <v>2711</v>
      </c>
      <c r="H888" s="19">
        <v>4.0</v>
      </c>
      <c r="I888" s="21" t="s">
        <v>2224</v>
      </c>
      <c r="J888" s="22" t="s">
        <v>2506</v>
      </c>
    </row>
    <row r="889" ht="14.25" customHeight="1">
      <c r="A889" s="15" t="s">
        <v>3599</v>
      </c>
      <c r="B889" s="16">
        <v>45104.0</v>
      </c>
      <c r="C889" s="17">
        <v>45105.0</v>
      </c>
      <c r="D889" s="18">
        <v>4.0</v>
      </c>
      <c r="E889" s="19">
        <v>1.0</v>
      </c>
      <c r="F889" s="20">
        <v>12000.0</v>
      </c>
      <c r="G889" s="21" t="s">
        <v>2711</v>
      </c>
      <c r="H889" s="19">
        <v>5.0</v>
      </c>
      <c r="I889" s="21" t="s">
        <v>350</v>
      </c>
      <c r="J889" s="22" t="s">
        <v>2632</v>
      </c>
    </row>
    <row r="890" ht="14.25" customHeight="1">
      <c r="A890" s="15" t="s">
        <v>3600</v>
      </c>
      <c r="B890" s="16">
        <v>45104.0</v>
      </c>
      <c r="C890" s="17">
        <v>45109.0</v>
      </c>
      <c r="D890" s="18">
        <v>2.0</v>
      </c>
      <c r="E890" s="19">
        <v>2.0</v>
      </c>
      <c r="F890" s="20">
        <v>14000.0</v>
      </c>
      <c r="G890" s="21" t="s">
        <v>2711</v>
      </c>
      <c r="H890" s="19">
        <v>5.0</v>
      </c>
      <c r="I890" s="21" t="s">
        <v>1721</v>
      </c>
      <c r="J890" s="22" t="s">
        <v>2547</v>
      </c>
    </row>
    <row r="891" ht="14.25" customHeight="1">
      <c r="A891" s="15" t="s">
        <v>3601</v>
      </c>
      <c r="B891" s="16">
        <v>45104.0</v>
      </c>
      <c r="C891" s="17">
        <v>45108.0</v>
      </c>
      <c r="D891" s="18">
        <v>3.0</v>
      </c>
      <c r="E891" s="19">
        <v>3.0</v>
      </c>
      <c r="F891" s="20">
        <v>16000.0</v>
      </c>
      <c r="G891" s="21" t="s">
        <v>2711</v>
      </c>
      <c r="H891" s="19">
        <v>4.0</v>
      </c>
      <c r="I891" s="21" t="s">
        <v>2164</v>
      </c>
      <c r="J891" s="22" t="s">
        <v>2547</v>
      </c>
    </row>
    <row r="892" ht="14.25" customHeight="1">
      <c r="A892" s="15" t="s">
        <v>3602</v>
      </c>
      <c r="B892" s="16">
        <v>45104.0</v>
      </c>
      <c r="C892" s="17">
        <v>45106.0</v>
      </c>
      <c r="D892" s="18">
        <v>3.0</v>
      </c>
      <c r="E892" s="19">
        <v>2.0</v>
      </c>
      <c r="F892" s="20">
        <v>14000.0</v>
      </c>
      <c r="G892" s="21" t="s">
        <v>2711</v>
      </c>
      <c r="H892" s="19">
        <v>5.0</v>
      </c>
      <c r="I892" s="21" t="s">
        <v>334</v>
      </c>
      <c r="J892" s="22" t="s">
        <v>2652</v>
      </c>
    </row>
    <row r="893" ht="14.25" customHeight="1">
      <c r="A893" s="15" t="s">
        <v>3603</v>
      </c>
      <c r="B893" s="16">
        <v>45104.0</v>
      </c>
      <c r="C893" s="17">
        <v>45107.0</v>
      </c>
      <c r="D893" s="18">
        <v>3.0</v>
      </c>
      <c r="E893" s="19">
        <v>3.0</v>
      </c>
      <c r="F893" s="20">
        <v>16000.0</v>
      </c>
      <c r="G893" s="21" t="s">
        <v>2711</v>
      </c>
      <c r="H893" s="19">
        <v>4.0</v>
      </c>
      <c r="I893" s="21" t="s">
        <v>2232</v>
      </c>
      <c r="J893" s="22" t="s">
        <v>2496</v>
      </c>
    </row>
    <row r="894" ht="14.25" customHeight="1">
      <c r="A894" s="15" t="s">
        <v>3604</v>
      </c>
      <c r="B894" s="16">
        <v>45104.0</v>
      </c>
      <c r="C894" s="17">
        <v>45107.0</v>
      </c>
      <c r="D894" s="18">
        <v>4.0</v>
      </c>
      <c r="E894" s="19">
        <v>3.0</v>
      </c>
      <c r="F894" s="20">
        <v>16000.0</v>
      </c>
      <c r="G894" s="21" t="s">
        <v>2711</v>
      </c>
      <c r="H894" s="19">
        <v>4.0</v>
      </c>
      <c r="I894" s="21" t="s">
        <v>526</v>
      </c>
      <c r="J894" s="22" t="s">
        <v>2516</v>
      </c>
    </row>
    <row r="895" ht="14.25" customHeight="1">
      <c r="A895" s="15" t="s">
        <v>3605</v>
      </c>
      <c r="B895" s="17">
        <v>45105.0</v>
      </c>
      <c r="C895" s="17">
        <f>B895 + RANDBETWEEN(1,5)</f>
        <v>45110</v>
      </c>
      <c r="D895" s="18">
        <v>4.0</v>
      </c>
      <c r="E895" s="19">
        <v>3.0</v>
      </c>
      <c r="F895" s="20">
        <v>16000.0</v>
      </c>
      <c r="G895" s="21" t="s">
        <v>2711</v>
      </c>
      <c r="H895" s="19">
        <v>5.0</v>
      </c>
      <c r="I895" s="21" t="s">
        <v>1886</v>
      </c>
      <c r="J895" s="22" t="s">
        <v>2511</v>
      </c>
    </row>
    <row r="896" ht="14.25" customHeight="1">
      <c r="A896" s="15" t="s">
        <v>3606</v>
      </c>
      <c r="B896" s="16">
        <v>45105.0</v>
      </c>
      <c r="C896" s="17">
        <v>45107.0</v>
      </c>
      <c r="D896" s="18">
        <v>5.0</v>
      </c>
      <c r="E896" s="19">
        <v>2.0</v>
      </c>
      <c r="F896" s="20">
        <v>14000.0</v>
      </c>
      <c r="G896" s="21" t="s">
        <v>2711</v>
      </c>
      <c r="H896" s="19">
        <v>4.0</v>
      </c>
      <c r="I896" s="21" t="s">
        <v>1732</v>
      </c>
      <c r="J896" s="22" t="s">
        <v>2617</v>
      </c>
    </row>
    <row r="897" ht="14.25" customHeight="1">
      <c r="A897" s="15" t="s">
        <v>3607</v>
      </c>
      <c r="B897" s="16">
        <v>45105.0</v>
      </c>
      <c r="C897" s="17">
        <v>45109.0</v>
      </c>
      <c r="D897" s="18">
        <v>2.0</v>
      </c>
      <c r="E897" s="19">
        <v>1.0</v>
      </c>
      <c r="F897" s="20">
        <v>12000.0</v>
      </c>
      <c r="G897" s="21" t="s">
        <v>2711</v>
      </c>
      <c r="H897" s="19">
        <v>4.0</v>
      </c>
      <c r="I897" s="21" t="s">
        <v>494</v>
      </c>
      <c r="J897" s="22" t="s">
        <v>2682</v>
      </c>
    </row>
    <row r="898" ht="14.25" customHeight="1">
      <c r="A898" s="15" t="s">
        <v>3608</v>
      </c>
      <c r="B898" s="16">
        <v>45105.0</v>
      </c>
      <c r="C898" s="17">
        <v>45106.0</v>
      </c>
      <c r="D898" s="18">
        <v>64.0</v>
      </c>
      <c r="E898" s="19">
        <v>13.0</v>
      </c>
      <c r="F898" s="20">
        <v>55200.0</v>
      </c>
      <c r="G898" s="21" t="s">
        <v>2711</v>
      </c>
      <c r="H898" s="19">
        <v>5.0</v>
      </c>
      <c r="I898" s="21" t="s">
        <v>1906</v>
      </c>
      <c r="J898" s="22" t="s">
        <v>2521</v>
      </c>
    </row>
    <row r="899" ht="14.25" customHeight="1">
      <c r="A899" s="15" t="s">
        <v>3609</v>
      </c>
      <c r="B899" s="16">
        <v>45105.0</v>
      </c>
      <c r="C899" s="17">
        <v>45107.0</v>
      </c>
      <c r="D899" s="18">
        <v>5.0</v>
      </c>
      <c r="E899" s="19">
        <v>2.0</v>
      </c>
      <c r="F899" s="20">
        <v>14000.0</v>
      </c>
      <c r="G899" s="21" t="s">
        <v>2711</v>
      </c>
      <c r="H899" s="19">
        <v>4.0</v>
      </c>
      <c r="I899" s="21" t="s">
        <v>1212</v>
      </c>
      <c r="J899" s="22" t="s">
        <v>2532</v>
      </c>
      <c r="K899" s="27"/>
    </row>
    <row r="900" ht="14.25" customHeight="1">
      <c r="A900" s="15" t="s">
        <v>3610</v>
      </c>
      <c r="B900" s="16">
        <v>45105.0</v>
      </c>
      <c r="C900" s="17">
        <v>45107.0</v>
      </c>
      <c r="D900" s="18">
        <v>10.0</v>
      </c>
      <c r="E900" s="19">
        <v>4.0</v>
      </c>
      <c r="F900" s="20">
        <v>18000.0</v>
      </c>
      <c r="G900" s="21" t="s">
        <v>2711</v>
      </c>
      <c r="H900" s="19">
        <v>5.0</v>
      </c>
      <c r="I900" s="21" t="s">
        <v>2156</v>
      </c>
      <c r="J900" s="22" t="s">
        <v>2637</v>
      </c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</row>
    <row r="901" ht="14.25" customHeight="1">
      <c r="A901" s="15" t="s">
        <v>3611</v>
      </c>
      <c r="B901" s="16">
        <v>45105.0</v>
      </c>
      <c r="C901" s="17">
        <v>45108.0</v>
      </c>
      <c r="D901" s="18">
        <v>8.0</v>
      </c>
      <c r="E901" s="19">
        <v>10.0</v>
      </c>
      <c r="F901" s="20">
        <v>30000.0</v>
      </c>
      <c r="G901" s="21" t="s">
        <v>2711</v>
      </c>
      <c r="H901" s="19">
        <v>4.0</v>
      </c>
      <c r="I901" s="21" t="s">
        <v>1717</v>
      </c>
      <c r="J901" s="22" t="s">
        <v>2662</v>
      </c>
    </row>
    <row r="902" ht="14.25" customHeight="1">
      <c r="A902" s="15" t="s">
        <v>3612</v>
      </c>
      <c r="B902" s="16">
        <v>45105.0</v>
      </c>
      <c r="C902" s="17">
        <v>45106.0</v>
      </c>
      <c r="D902" s="18">
        <v>6.0</v>
      </c>
      <c r="E902" s="19">
        <v>3.0</v>
      </c>
      <c r="F902" s="20">
        <v>16000.0</v>
      </c>
      <c r="G902" s="21" t="s">
        <v>2711</v>
      </c>
      <c r="H902" s="19">
        <v>4.0</v>
      </c>
      <c r="I902" s="21" t="s">
        <v>1109</v>
      </c>
      <c r="J902" s="22" t="s">
        <v>2547</v>
      </c>
    </row>
    <row r="903" ht="14.25" customHeight="1">
      <c r="A903" s="15" t="s">
        <v>3613</v>
      </c>
      <c r="B903" s="16">
        <v>45105.0</v>
      </c>
      <c r="C903" s="17">
        <v>45109.0</v>
      </c>
      <c r="D903" s="18">
        <v>3.0</v>
      </c>
      <c r="E903" s="19">
        <v>1.0</v>
      </c>
      <c r="F903" s="20">
        <v>12000.0</v>
      </c>
      <c r="G903" s="21" t="s">
        <v>2711</v>
      </c>
      <c r="H903" s="19">
        <v>5.0</v>
      </c>
      <c r="I903" s="21" t="s">
        <v>2224</v>
      </c>
      <c r="J903" s="22" t="s">
        <v>2582</v>
      </c>
    </row>
    <row r="904" ht="14.25" customHeight="1">
      <c r="A904" s="15" t="s">
        <v>3614</v>
      </c>
      <c r="B904" s="16">
        <v>45105.0</v>
      </c>
      <c r="C904" s="17">
        <v>45108.0</v>
      </c>
      <c r="D904" s="18">
        <v>12.0</v>
      </c>
      <c r="E904" s="19">
        <v>9.0</v>
      </c>
      <c r="F904" s="20">
        <v>28000.0</v>
      </c>
      <c r="G904" s="21" t="s">
        <v>2711</v>
      </c>
      <c r="H904" s="19">
        <v>5.0</v>
      </c>
      <c r="I904" s="21" t="s">
        <v>334</v>
      </c>
      <c r="J904" s="22" t="s">
        <v>2537</v>
      </c>
    </row>
    <row r="905" ht="14.25" customHeight="1">
      <c r="A905" s="15" t="s">
        <v>3615</v>
      </c>
      <c r="B905" s="16">
        <v>45105.0</v>
      </c>
      <c r="C905" s="17">
        <v>45108.0</v>
      </c>
      <c r="D905" s="18">
        <v>13.0</v>
      </c>
      <c r="E905" s="19">
        <v>9.0</v>
      </c>
      <c r="F905" s="20">
        <v>28000.0</v>
      </c>
      <c r="G905" s="21" t="s">
        <v>2711</v>
      </c>
      <c r="H905" s="19">
        <v>5.0</v>
      </c>
      <c r="I905" s="21" t="s">
        <v>202</v>
      </c>
      <c r="J905" s="22" t="s">
        <v>2501</v>
      </c>
    </row>
    <row r="906" ht="14.25" customHeight="1">
      <c r="A906" s="15" t="s">
        <v>3616</v>
      </c>
      <c r="B906" s="16">
        <v>45105.0</v>
      </c>
      <c r="C906" s="17">
        <v>45106.0</v>
      </c>
      <c r="D906" s="18">
        <v>61.0</v>
      </c>
      <c r="E906" s="19">
        <v>17.0</v>
      </c>
      <c r="F906" s="20">
        <v>62300.0</v>
      </c>
      <c r="G906" s="21" t="s">
        <v>2711</v>
      </c>
      <c r="H906" s="19">
        <v>5.0</v>
      </c>
      <c r="I906" s="21" t="s">
        <v>118</v>
      </c>
      <c r="J906" s="22" t="s">
        <v>2521</v>
      </c>
    </row>
    <row r="907" ht="14.25" customHeight="1">
      <c r="A907" s="15" t="s">
        <v>3617</v>
      </c>
      <c r="B907" s="16">
        <v>45105.0</v>
      </c>
      <c r="C907" s="17">
        <v>45110.0</v>
      </c>
      <c r="D907" s="18">
        <v>5.0</v>
      </c>
      <c r="E907" s="19">
        <v>3.0</v>
      </c>
      <c r="F907" s="20">
        <v>16000.0</v>
      </c>
      <c r="G907" s="21" t="s">
        <v>2711</v>
      </c>
      <c r="H907" s="19">
        <v>5.0</v>
      </c>
      <c r="I907" s="21" t="s">
        <v>122</v>
      </c>
      <c r="J907" s="22" t="s">
        <v>2511</v>
      </c>
    </row>
    <row r="908" ht="14.25" customHeight="1">
      <c r="A908" s="15" t="s">
        <v>3618</v>
      </c>
      <c r="B908" s="16">
        <v>45105.0</v>
      </c>
      <c r="C908" s="17">
        <v>45109.0</v>
      </c>
      <c r="D908" s="18">
        <v>6.0</v>
      </c>
      <c r="E908" s="19">
        <v>3.0</v>
      </c>
      <c r="F908" s="20">
        <v>16000.0</v>
      </c>
      <c r="G908" s="21" t="s">
        <v>2711</v>
      </c>
      <c r="H908" s="19">
        <v>4.0</v>
      </c>
      <c r="I908" s="21" t="s">
        <v>338</v>
      </c>
      <c r="J908" s="22" t="s">
        <v>2632</v>
      </c>
    </row>
    <row r="909" ht="14.25" customHeight="1">
      <c r="A909" s="15" t="s">
        <v>3619</v>
      </c>
      <c r="B909" s="16">
        <v>45105.0</v>
      </c>
      <c r="C909" s="17">
        <v>45106.0</v>
      </c>
      <c r="D909" s="18">
        <v>6.0</v>
      </c>
      <c r="E909" s="19">
        <v>3.0</v>
      </c>
      <c r="F909" s="20">
        <v>16000.0</v>
      </c>
      <c r="G909" s="21" t="s">
        <v>2711</v>
      </c>
      <c r="H909" s="19">
        <v>5.0</v>
      </c>
      <c r="I909" s="21" t="s">
        <v>1268</v>
      </c>
      <c r="J909" s="22" t="s">
        <v>2597</v>
      </c>
    </row>
    <row r="910" ht="14.25" customHeight="1">
      <c r="A910" s="15" t="s">
        <v>3620</v>
      </c>
      <c r="B910" s="16">
        <v>45105.0</v>
      </c>
      <c r="C910" s="17">
        <v>45107.0</v>
      </c>
      <c r="D910" s="18">
        <v>4.0</v>
      </c>
      <c r="E910" s="19">
        <v>1.0</v>
      </c>
      <c r="F910" s="20">
        <v>12000.0</v>
      </c>
      <c r="G910" s="21" t="s">
        <v>2711</v>
      </c>
      <c r="H910" s="19">
        <v>5.0</v>
      </c>
      <c r="I910" s="21" t="s">
        <v>2389</v>
      </c>
      <c r="J910" s="22" t="s">
        <v>2597</v>
      </c>
    </row>
    <row r="911" ht="14.25" customHeight="1">
      <c r="A911" s="15" t="s">
        <v>3621</v>
      </c>
      <c r="B911" s="16">
        <v>45105.0</v>
      </c>
      <c r="C911" s="17">
        <v>45110.0</v>
      </c>
      <c r="D911" s="18">
        <v>1.0</v>
      </c>
      <c r="E911" s="19">
        <v>3.0</v>
      </c>
      <c r="F911" s="20">
        <v>16000.0</v>
      </c>
      <c r="G911" s="21" t="s">
        <v>2711</v>
      </c>
      <c r="H911" s="19">
        <v>5.0</v>
      </c>
      <c r="I911" s="21" t="s">
        <v>1105</v>
      </c>
      <c r="J911" s="22" t="s">
        <v>2506</v>
      </c>
    </row>
    <row r="912" ht="14.25" customHeight="1">
      <c r="A912" s="15" t="s">
        <v>3622</v>
      </c>
      <c r="B912" s="16">
        <v>45105.0</v>
      </c>
      <c r="C912" s="17">
        <v>45109.0</v>
      </c>
      <c r="D912" s="18">
        <v>1.0</v>
      </c>
      <c r="E912" s="19">
        <v>1.0</v>
      </c>
      <c r="F912" s="20">
        <v>12000.0</v>
      </c>
      <c r="G912" s="21" t="s">
        <v>2711</v>
      </c>
      <c r="H912" s="19">
        <v>5.0</v>
      </c>
      <c r="I912" s="21" t="s">
        <v>454</v>
      </c>
      <c r="J912" s="22" t="s">
        <v>2632</v>
      </c>
    </row>
    <row r="913" ht="14.25" customHeight="1">
      <c r="A913" s="15" t="s">
        <v>3623</v>
      </c>
      <c r="B913" s="16">
        <v>45105.0</v>
      </c>
      <c r="C913" s="17">
        <v>45110.0</v>
      </c>
      <c r="D913" s="18">
        <v>6.0</v>
      </c>
      <c r="E913" s="19">
        <v>1.0</v>
      </c>
      <c r="F913" s="20">
        <v>12000.0</v>
      </c>
      <c r="G913" s="21" t="s">
        <v>2711</v>
      </c>
      <c r="H913" s="19">
        <v>5.0</v>
      </c>
      <c r="I913" s="21" t="s">
        <v>1866</v>
      </c>
      <c r="J913" s="22" t="s">
        <v>2622</v>
      </c>
    </row>
    <row r="914" ht="14.25" customHeight="1">
      <c r="A914" s="15" t="s">
        <v>3624</v>
      </c>
      <c r="B914" s="16">
        <v>45105.0</v>
      </c>
      <c r="C914" s="17">
        <v>45107.0</v>
      </c>
      <c r="D914" s="18">
        <v>5.0</v>
      </c>
      <c r="E914" s="19">
        <v>3.0</v>
      </c>
      <c r="F914" s="20">
        <v>16000.0</v>
      </c>
      <c r="G914" s="21" t="s">
        <v>2711</v>
      </c>
      <c r="H914" s="19">
        <v>5.0</v>
      </c>
      <c r="I914" s="21" t="s">
        <v>2283</v>
      </c>
      <c r="J914" s="22" t="s">
        <v>2642</v>
      </c>
    </row>
    <row r="915" ht="14.25" customHeight="1">
      <c r="A915" s="15" t="s">
        <v>3625</v>
      </c>
      <c r="B915" s="16">
        <v>45105.0</v>
      </c>
      <c r="C915" s="17">
        <v>45109.0</v>
      </c>
      <c r="D915" s="18">
        <v>2.0</v>
      </c>
      <c r="E915" s="19">
        <v>3.0</v>
      </c>
      <c r="F915" s="20">
        <v>16000.0</v>
      </c>
      <c r="G915" s="21" t="s">
        <v>2711</v>
      </c>
      <c r="H915" s="19">
        <v>4.0</v>
      </c>
      <c r="I915" s="21" t="s">
        <v>2310</v>
      </c>
      <c r="J915" s="22" t="s">
        <v>2532</v>
      </c>
    </row>
    <row r="916" ht="14.25" customHeight="1">
      <c r="A916" s="15" t="s">
        <v>3626</v>
      </c>
      <c r="B916" s="16">
        <v>45105.0</v>
      </c>
      <c r="C916" s="17">
        <v>45109.0</v>
      </c>
      <c r="D916" s="18">
        <v>11.0</v>
      </c>
      <c r="E916" s="19">
        <v>7.0</v>
      </c>
      <c r="F916" s="20">
        <v>24000.0</v>
      </c>
      <c r="G916" s="21" t="s">
        <v>2711</v>
      </c>
      <c r="H916" s="19">
        <v>4.0</v>
      </c>
      <c r="I916" s="21" t="s">
        <v>2314</v>
      </c>
      <c r="J916" s="22" t="s">
        <v>2672</v>
      </c>
    </row>
    <row r="917" ht="14.25" customHeight="1">
      <c r="A917" s="15" t="s">
        <v>3627</v>
      </c>
      <c r="B917" s="16">
        <v>45105.0</v>
      </c>
      <c r="C917" s="17">
        <v>45109.0</v>
      </c>
      <c r="D917" s="18">
        <v>16.0</v>
      </c>
      <c r="E917" s="19">
        <v>7.0</v>
      </c>
      <c r="F917" s="20">
        <v>28800.0</v>
      </c>
      <c r="G917" s="21" t="s">
        <v>2711</v>
      </c>
      <c r="H917" s="19">
        <v>5.0</v>
      </c>
      <c r="I917" s="21" t="s">
        <v>1109</v>
      </c>
      <c r="J917" s="22" t="s">
        <v>2672</v>
      </c>
    </row>
    <row r="918" ht="14.25" customHeight="1">
      <c r="A918" s="15" t="s">
        <v>3628</v>
      </c>
      <c r="B918" s="16">
        <v>45105.0</v>
      </c>
      <c r="C918" s="17">
        <v>45110.0</v>
      </c>
      <c r="D918" s="18">
        <v>15.0</v>
      </c>
      <c r="E918" s="19">
        <v>6.0</v>
      </c>
      <c r="F918" s="20">
        <v>26500.0</v>
      </c>
      <c r="G918" s="21" t="s">
        <v>2711</v>
      </c>
      <c r="H918" s="19">
        <v>4.0</v>
      </c>
      <c r="I918" s="21" t="s">
        <v>70</v>
      </c>
      <c r="J918" s="22" t="s">
        <v>2672</v>
      </c>
    </row>
    <row r="919" ht="14.25" customHeight="1">
      <c r="A919" s="15" t="s">
        <v>3629</v>
      </c>
      <c r="B919" s="16">
        <v>45105.0</v>
      </c>
      <c r="C919" s="17">
        <v>45109.0</v>
      </c>
      <c r="D919" s="18">
        <v>1.0</v>
      </c>
      <c r="E919" s="19">
        <v>1.0</v>
      </c>
      <c r="F919" s="20">
        <v>12000.0</v>
      </c>
      <c r="G919" s="21" t="s">
        <v>2711</v>
      </c>
      <c r="H919" s="19">
        <v>4.0</v>
      </c>
      <c r="I919" s="21" t="s">
        <v>1109</v>
      </c>
      <c r="J919" s="22" t="s">
        <v>2511</v>
      </c>
    </row>
    <row r="920" ht="14.25" customHeight="1">
      <c r="A920" s="15" t="s">
        <v>3630</v>
      </c>
      <c r="B920" s="16">
        <v>45105.0</v>
      </c>
      <c r="C920" s="17">
        <v>45107.0</v>
      </c>
      <c r="D920" s="18">
        <v>8.0</v>
      </c>
      <c r="E920" s="19">
        <v>4.0</v>
      </c>
      <c r="F920" s="20">
        <v>18000.0</v>
      </c>
      <c r="G920" s="21" t="s">
        <v>2711</v>
      </c>
      <c r="H920" s="19">
        <v>5.0</v>
      </c>
      <c r="I920" s="21" t="s">
        <v>850</v>
      </c>
      <c r="J920" s="22" t="s">
        <v>2501</v>
      </c>
    </row>
    <row r="921" ht="14.25" customHeight="1">
      <c r="A921" s="15" t="s">
        <v>3631</v>
      </c>
      <c r="B921" s="17">
        <v>45106.0</v>
      </c>
      <c r="C921" s="17">
        <f t="shared" ref="C921:C922" si="9">B921 + RANDBETWEEN(1,5)</f>
        <v>45107</v>
      </c>
      <c r="D921" s="18">
        <v>1.0</v>
      </c>
      <c r="E921" s="19">
        <v>2.0</v>
      </c>
      <c r="F921" s="20">
        <v>14000.0</v>
      </c>
      <c r="G921" s="21" t="s">
        <v>2711</v>
      </c>
      <c r="H921" s="19">
        <v>5.0</v>
      </c>
      <c r="I921" s="21" t="s">
        <v>10</v>
      </c>
      <c r="J921" s="22" t="s">
        <v>2687</v>
      </c>
    </row>
    <row r="922" ht="14.25" customHeight="1">
      <c r="A922" s="15" t="s">
        <v>3632</v>
      </c>
      <c r="B922" s="17">
        <v>45106.0</v>
      </c>
      <c r="C922" s="17">
        <f t="shared" si="9"/>
        <v>45107</v>
      </c>
      <c r="D922" s="18">
        <v>5.0</v>
      </c>
      <c r="E922" s="19">
        <v>3.0</v>
      </c>
      <c r="F922" s="20">
        <v>16000.0</v>
      </c>
      <c r="G922" s="21" t="s">
        <v>2711</v>
      </c>
      <c r="H922" s="19">
        <v>4.0</v>
      </c>
      <c r="I922" s="21" t="s">
        <v>2330</v>
      </c>
      <c r="J922" s="22" t="s">
        <v>2642</v>
      </c>
    </row>
    <row r="923" ht="14.25" customHeight="1">
      <c r="A923" s="15" t="s">
        <v>3633</v>
      </c>
      <c r="B923" s="16">
        <v>45106.0</v>
      </c>
      <c r="C923" s="17">
        <v>45111.0</v>
      </c>
      <c r="D923" s="18">
        <v>3.0</v>
      </c>
      <c r="E923" s="19">
        <v>3.0</v>
      </c>
      <c r="F923" s="20">
        <v>16000.0</v>
      </c>
      <c r="G923" s="21" t="s">
        <v>2711</v>
      </c>
      <c r="H923" s="19">
        <v>5.0</v>
      </c>
      <c r="I923" s="21" t="s">
        <v>266</v>
      </c>
      <c r="J923" s="22" t="s">
        <v>2597</v>
      </c>
    </row>
    <row r="924" ht="14.25" customHeight="1">
      <c r="A924" s="15" t="s">
        <v>3634</v>
      </c>
      <c r="B924" s="16">
        <v>45106.0</v>
      </c>
      <c r="C924" s="17">
        <v>45108.0</v>
      </c>
      <c r="D924" s="18">
        <v>3.0</v>
      </c>
      <c r="E924" s="19">
        <v>2.0</v>
      </c>
      <c r="F924" s="20">
        <v>14000.0</v>
      </c>
      <c r="G924" s="21" t="s">
        <v>2711</v>
      </c>
      <c r="H924" s="19">
        <v>4.0</v>
      </c>
      <c r="I924" s="21" t="s">
        <v>2306</v>
      </c>
      <c r="J924" s="22" t="s">
        <v>2687</v>
      </c>
    </row>
    <row r="925" ht="14.25" customHeight="1">
      <c r="A925" s="15" t="s">
        <v>3635</v>
      </c>
      <c r="B925" s="16">
        <v>45106.0</v>
      </c>
      <c r="C925" s="17">
        <v>45109.0</v>
      </c>
      <c r="D925" s="18">
        <v>5.0</v>
      </c>
      <c r="E925" s="19">
        <v>2.0</v>
      </c>
      <c r="F925" s="20">
        <v>14000.0</v>
      </c>
      <c r="G925" s="21" t="s">
        <v>2711</v>
      </c>
      <c r="H925" s="19">
        <v>4.0</v>
      </c>
      <c r="I925" s="21" t="s">
        <v>2192</v>
      </c>
      <c r="J925" s="22" t="s">
        <v>2506</v>
      </c>
      <c r="K925" s="27"/>
    </row>
    <row r="926" ht="14.25" customHeight="1">
      <c r="A926" s="15" t="s">
        <v>3636</v>
      </c>
      <c r="B926" s="16">
        <v>45106.0</v>
      </c>
      <c r="C926" s="17">
        <v>45110.0</v>
      </c>
      <c r="D926" s="18">
        <v>16.0</v>
      </c>
      <c r="E926" s="19">
        <v>8.0</v>
      </c>
      <c r="F926" s="20">
        <v>30800.0</v>
      </c>
      <c r="G926" s="21" t="s">
        <v>2711</v>
      </c>
      <c r="H926" s="19">
        <v>4.0</v>
      </c>
      <c r="I926" s="21" t="s">
        <v>1232</v>
      </c>
      <c r="J926" s="22" t="s">
        <v>2607</v>
      </c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</row>
    <row r="927" ht="14.25" customHeight="1">
      <c r="A927" s="15" t="s">
        <v>3637</v>
      </c>
      <c r="B927" s="16">
        <v>45106.0</v>
      </c>
      <c r="C927" s="17">
        <v>45107.0</v>
      </c>
      <c r="D927" s="18">
        <v>4.0</v>
      </c>
      <c r="E927" s="19">
        <v>1.0</v>
      </c>
      <c r="F927" s="20">
        <v>12000.0</v>
      </c>
      <c r="G927" s="21" t="s">
        <v>2711</v>
      </c>
      <c r="H927" s="19">
        <v>5.0</v>
      </c>
      <c r="I927" s="21" t="s">
        <v>202</v>
      </c>
      <c r="J927" s="22" t="s">
        <v>2572</v>
      </c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</row>
    <row r="928" ht="14.25" customHeight="1">
      <c r="A928" s="15" t="s">
        <v>3638</v>
      </c>
      <c r="B928" s="16">
        <v>45106.0</v>
      </c>
      <c r="C928" s="17">
        <v>45107.0</v>
      </c>
      <c r="D928" s="18">
        <v>7.0</v>
      </c>
      <c r="E928" s="19">
        <v>8.0</v>
      </c>
      <c r="F928" s="20">
        <v>26000.0</v>
      </c>
      <c r="G928" s="21" t="s">
        <v>2711</v>
      </c>
      <c r="H928" s="19">
        <v>5.0</v>
      </c>
      <c r="I928" s="21" t="s">
        <v>1232</v>
      </c>
      <c r="J928" s="22" t="s">
        <v>2672</v>
      </c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</row>
    <row r="929" ht="14.25" customHeight="1">
      <c r="A929" s="15" t="s">
        <v>3639</v>
      </c>
      <c r="B929" s="16">
        <v>45106.0</v>
      </c>
      <c r="C929" s="17">
        <v>45107.0</v>
      </c>
      <c r="D929" s="18">
        <v>19.0</v>
      </c>
      <c r="E929" s="19">
        <v>8.0</v>
      </c>
      <c r="F929" s="20">
        <v>31700.0</v>
      </c>
      <c r="G929" s="21" t="s">
        <v>2711</v>
      </c>
      <c r="H929" s="19">
        <v>4.0</v>
      </c>
      <c r="I929" s="21" t="s">
        <v>2156</v>
      </c>
      <c r="J929" s="22" t="s">
        <v>2587</v>
      </c>
    </row>
    <row r="930" ht="14.25" customHeight="1">
      <c r="A930" s="15" t="s">
        <v>3640</v>
      </c>
      <c r="B930" s="16">
        <v>45106.0</v>
      </c>
      <c r="C930" s="17">
        <v>45109.0</v>
      </c>
      <c r="D930" s="18">
        <v>2.0</v>
      </c>
      <c r="E930" s="19">
        <v>3.0</v>
      </c>
      <c r="F930" s="20">
        <v>16000.0</v>
      </c>
      <c r="G930" s="21" t="s">
        <v>2711</v>
      </c>
      <c r="H930" s="19">
        <v>5.0</v>
      </c>
      <c r="I930" s="21" t="s">
        <v>965</v>
      </c>
      <c r="J930" s="22" t="s">
        <v>2622</v>
      </c>
    </row>
    <row r="931" ht="14.25" customHeight="1">
      <c r="A931" s="15" t="s">
        <v>3641</v>
      </c>
      <c r="B931" s="16">
        <v>45106.0</v>
      </c>
      <c r="C931" s="17">
        <v>45109.0</v>
      </c>
      <c r="D931" s="18">
        <v>5.0</v>
      </c>
      <c r="E931" s="19">
        <v>3.0</v>
      </c>
      <c r="F931" s="20">
        <v>16000.0</v>
      </c>
      <c r="G931" s="21" t="s">
        <v>2711</v>
      </c>
      <c r="H931" s="19">
        <v>5.0</v>
      </c>
      <c r="I931" s="21" t="s">
        <v>660</v>
      </c>
      <c r="J931" s="22" t="s">
        <v>2622</v>
      </c>
    </row>
    <row r="932" ht="14.25" customHeight="1">
      <c r="A932" s="15" t="s">
        <v>3642</v>
      </c>
      <c r="B932" s="16">
        <v>45106.0</v>
      </c>
      <c r="C932" s="17">
        <v>45108.0</v>
      </c>
      <c r="D932" s="18">
        <v>16.0</v>
      </c>
      <c r="E932" s="19">
        <v>6.0</v>
      </c>
      <c r="F932" s="20">
        <v>26800.0</v>
      </c>
      <c r="G932" s="21" t="s">
        <v>2711</v>
      </c>
      <c r="H932" s="19">
        <v>5.0</v>
      </c>
      <c r="I932" s="21" t="s">
        <v>1870</v>
      </c>
      <c r="J932" s="22" t="s">
        <v>2672</v>
      </c>
    </row>
    <row r="933" ht="14.25" customHeight="1">
      <c r="A933" s="15" t="s">
        <v>3643</v>
      </c>
      <c r="B933" s="16">
        <v>45106.0</v>
      </c>
      <c r="C933" s="17">
        <v>45111.0</v>
      </c>
      <c r="D933" s="18">
        <v>6.0</v>
      </c>
      <c r="E933" s="19">
        <v>2.0</v>
      </c>
      <c r="F933" s="20">
        <v>14000.0</v>
      </c>
      <c r="G933" s="21" t="s">
        <v>2711</v>
      </c>
      <c r="H933" s="19">
        <v>5.0</v>
      </c>
      <c r="I933" s="21" t="s">
        <v>370</v>
      </c>
      <c r="J933" s="22" t="s">
        <v>2577</v>
      </c>
    </row>
    <row r="934" ht="14.25" customHeight="1">
      <c r="A934" s="15" t="s">
        <v>3644</v>
      </c>
      <c r="B934" s="16">
        <v>45106.0</v>
      </c>
      <c r="C934" s="17">
        <v>45109.0</v>
      </c>
      <c r="D934" s="18">
        <v>9.0</v>
      </c>
      <c r="E934" s="19">
        <v>7.0</v>
      </c>
      <c r="F934" s="20">
        <v>24000.0</v>
      </c>
      <c r="G934" s="21" t="s">
        <v>2711</v>
      </c>
      <c r="H934" s="19">
        <v>4.0</v>
      </c>
      <c r="I934" s="21" t="s">
        <v>42</v>
      </c>
      <c r="J934" s="22" t="s">
        <v>2672</v>
      </c>
    </row>
    <row r="935" ht="14.25" customHeight="1">
      <c r="A935" s="15" t="s">
        <v>3645</v>
      </c>
      <c r="B935" s="16">
        <v>45106.0</v>
      </c>
      <c r="C935" s="17">
        <v>45110.0</v>
      </c>
      <c r="D935" s="18">
        <v>1.0</v>
      </c>
      <c r="E935" s="19">
        <v>3.0</v>
      </c>
      <c r="F935" s="20">
        <v>16000.0</v>
      </c>
      <c r="G935" s="21" t="s">
        <v>2711</v>
      </c>
      <c r="H935" s="19">
        <v>5.0</v>
      </c>
      <c r="I935" s="21" t="s">
        <v>993</v>
      </c>
      <c r="J935" s="22" t="s">
        <v>2567</v>
      </c>
    </row>
    <row r="936" ht="14.25" customHeight="1">
      <c r="A936" s="15" t="s">
        <v>3646</v>
      </c>
      <c r="B936" s="16">
        <v>45106.0</v>
      </c>
      <c r="C936" s="17">
        <v>45107.0</v>
      </c>
      <c r="D936" s="18">
        <v>2.0</v>
      </c>
      <c r="E936" s="19">
        <v>3.0</v>
      </c>
      <c r="F936" s="20">
        <v>16000.0</v>
      </c>
      <c r="G936" s="21" t="s">
        <v>2711</v>
      </c>
      <c r="H936" s="19">
        <v>4.0</v>
      </c>
      <c r="I936" s="21" t="s">
        <v>62</v>
      </c>
      <c r="J936" s="22" t="s">
        <v>2496</v>
      </c>
    </row>
    <row r="937" ht="14.25" customHeight="1">
      <c r="A937" s="15" t="s">
        <v>3647</v>
      </c>
      <c r="B937" s="16">
        <v>45106.0</v>
      </c>
      <c r="C937" s="17">
        <v>45107.0</v>
      </c>
      <c r="D937" s="18">
        <v>3.0</v>
      </c>
      <c r="E937" s="19">
        <v>3.0</v>
      </c>
      <c r="F937" s="20">
        <v>16000.0</v>
      </c>
      <c r="G937" s="21" t="s">
        <v>2711</v>
      </c>
      <c r="H937" s="19">
        <v>5.0</v>
      </c>
      <c r="I937" s="21" t="s">
        <v>577</v>
      </c>
      <c r="J937" s="22" t="s">
        <v>2527</v>
      </c>
    </row>
    <row r="938" ht="14.25" customHeight="1">
      <c r="A938" s="15" t="s">
        <v>3648</v>
      </c>
      <c r="B938" s="16">
        <v>45106.0</v>
      </c>
      <c r="C938" s="17">
        <v>45109.0</v>
      </c>
      <c r="D938" s="18">
        <v>2.0</v>
      </c>
      <c r="E938" s="19">
        <v>1.0</v>
      </c>
      <c r="F938" s="20">
        <v>12000.0</v>
      </c>
      <c r="G938" s="21" t="s">
        <v>2711</v>
      </c>
      <c r="H938" s="19">
        <v>4.0</v>
      </c>
      <c r="I938" s="21" t="s">
        <v>1021</v>
      </c>
      <c r="J938" s="22" t="s">
        <v>2511</v>
      </c>
    </row>
    <row r="939" ht="14.25" customHeight="1">
      <c r="A939" s="15" t="s">
        <v>3649</v>
      </c>
      <c r="B939" s="16">
        <v>45106.0</v>
      </c>
      <c r="C939" s="17">
        <v>45108.0</v>
      </c>
      <c r="D939" s="18">
        <v>3.0</v>
      </c>
      <c r="E939" s="19">
        <v>3.0</v>
      </c>
      <c r="F939" s="20">
        <v>16000.0</v>
      </c>
      <c r="G939" s="21" t="s">
        <v>2711</v>
      </c>
      <c r="H939" s="19">
        <v>4.0</v>
      </c>
      <c r="I939" s="21" t="s">
        <v>450</v>
      </c>
      <c r="J939" s="22" t="s">
        <v>2692</v>
      </c>
    </row>
    <row r="940" ht="14.25" customHeight="1">
      <c r="A940" s="15" t="s">
        <v>3650</v>
      </c>
      <c r="B940" s="16">
        <v>45106.0</v>
      </c>
      <c r="C940" s="17">
        <v>45108.0</v>
      </c>
      <c r="D940" s="18">
        <v>6.0</v>
      </c>
      <c r="E940" s="19">
        <v>1.0</v>
      </c>
      <c r="F940" s="20">
        <v>12000.0</v>
      </c>
      <c r="G940" s="21" t="s">
        <v>2711</v>
      </c>
      <c r="H940" s="19">
        <v>5.0</v>
      </c>
      <c r="I940" s="21" t="s">
        <v>194</v>
      </c>
      <c r="J940" s="22" t="s">
        <v>2567</v>
      </c>
    </row>
    <row r="941" ht="14.25" customHeight="1">
      <c r="A941" s="15" t="s">
        <v>3651</v>
      </c>
      <c r="B941" s="16">
        <v>45106.0</v>
      </c>
      <c r="C941" s="17">
        <v>45110.0</v>
      </c>
      <c r="D941" s="18">
        <v>6.0</v>
      </c>
      <c r="E941" s="19">
        <v>2.0</v>
      </c>
      <c r="F941" s="20">
        <v>14000.0</v>
      </c>
      <c r="G941" s="21" t="s">
        <v>2711</v>
      </c>
      <c r="H941" s="19">
        <v>5.0</v>
      </c>
      <c r="I941" s="21" t="s">
        <v>58</v>
      </c>
      <c r="J941" s="22" t="s">
        <v>2642</v>
      </c>
    </row>
    <row r="942" ht="14.25" customHeight="1">
      <c r="A942" s="15" t="s">
        <v>3652</v>
      </c>
      <c r="B942" s="16">
        <v>45106.0</v>
      </c>
      <c r="C942" s="17">
        <v>45108.0</v>
      </c>
      <c r="D942" s="18">
        <v>2.0</v>
      </c>
      <c r="E942" s="19">
        <v>3.0</v>
      </c>
      <c r="F942" s="20">
        <v>16000.0</v>
      </c>
      <c r="G942" s="21" t="s">
        <v>2711</v>
      </c>
      <c r="H942" s="19">
        <v>5.0</v>
      </c>
      <c r="I942" s="21" t="s">
        <v>561</v>
      </c>
      <c r="J942" s="22" t="s">
        <v>2622</v>
      </c>
    </row>
    <row r="943" ht="14.25" customHeight="1">
      <c r="A943" s="15" t="s">
        <v>3653</v>
      </c>
      <c r="B943" s="16">
        <v>45106.0</v>
      </c>
      <c r="C943" s="17">
        <v>45110.0</v>
      </c>
      <c r="D943" s="18">
        <v>18.0</v>
      </c>
      <c r="E943" s="19">
        <v>6.0</v>
      </c>
      <c r="F943" s="20">
        <v>27400.0</v>
      </c>
      <c r="G943" s="21" t="s">
        <v>2711</v>
      </c>
      <c r="H943" s="19">
        <v>5.0</v>
      </c>
      <c r="I943" s="21" t="s">
        <v>1985</v>
      </c>
      <c r="J943" s="22" t="s">
        <v>2672</v>
      </c>
    </row>
    <row r="944" ht="14.25" customHeight="1">
      <c r="A944" s="15" t="s">
        <v>3654</v>
      </c>
      <c r="B944" s="16">
        <v>45106.0</v>
      </c>
      <c r="C944" s="17">
        <v>45108.0</v>
      </c>
      <c r="D944" s="18">
        <v>6.0</v>
      </c>
      <c r="E944" s="19">
        <v>1.0</v>
      </c>
      <c r="F944" s="20">
        <v>12000.0</v>
      </c>
      <c r="G944" s="21" t="s">
        <v>2711</v>
      </c>
      <c r="H944" s="19">
        <v>4.0</v>
      </c>
      <c r="I944" s="21" t="s">
        <v>2216</v>
      </c>
      <c r="J944" s="22" t="s">
        <v>2632</v>
      </c>
    </row>
    <row r="945" ht="14.25" customHeight="1">
      <c r="A945" s="15" t="s">
        <v>3655</v>
      </c>
      <c r="B945" s="16">
        <v>45106.0</v>
      </c>
      <c r="C945" s="17">
        <v>45107.0</v>
      </c>
      <c r="D945" s="18">
        <v>13.0</v>
      </c>
      <c r="E945" s="19">
        <v>7.0</v>
      </c>
      <c r="F945" s="20">
        <v>24000.0</v>
      </c>
      <c r="G945" s="21" t="s">
        <v>2711</v>
      </c>
      <c r="H945" s="19">
        <v>4.0</v>
      </c>
      <c r="I945" s="21" t="s">
        <v>450</v>
      </c>
      <c r="J945" s="22" t="s">
        <v>2697</v>
      </c>
    </row>
    <row r="946" ht="14.25" customHeight="1">
      <c r="A946" s="15" t="s">
        <v>3656</v>
      </c>
      <c r="B946" s="16">
        <v>45106.0</v>
      </c>
      <c r="C946" s="17">
        <v>45109.0</v>
      </c>
      <c r="D946" s="18">
        <v>4.0</v>
      </c>
      <c r="E946" s="19">
        <v>1.0</v>
      </c>
      <c r="F946" s="20">
        <v>12000.0</v>
      </c>
      <c r="G946" s="21" t="s">
        <v>2711</v>
      </c>
      <c r="H946" s="19">
        <v>5.0</v>
      </c>
      <c r="I946" s="21" t="s">
        <v>589</v>
      </c>
      <c r="J946" s="22" t="s">
        <v>2652</v>
      </c>
    </row>
    <row r="947" ht="14.25" customHeight="1">
      <c r="A947" s="15" t="s">
        <v>3657</v>
      </c>
      <c r="B947" s="16">
        <v>45106.0</v>
      </c>
      <c r="C947" s="17">
        <v>45107.0</v>
      </c>
      <c r="D947" s="18">
        <v>11.0</v>
      </c>
      <c r="E947" s="19">
        <v>9.0</v>
      </c>
      <c r="F947" s="20">
        <v>28000.0</v>
      </c>
      <c r="G947" s="21" t="s">
        <v>2711</v>
      </c>
      <c r="H947" s="19">
        <v>5.0</v>
      </c>
      <c r="I947" s="21" t="s">
        <v>366</v>
      </c>
      <c r="J947" s="22" t="s">
        <v>2627</v>
      </c>
    </row>
    <row r="948" ht="14.25" customHeight="1">
      <c r="A948" s="15" t="s">
        <v>3658</v>
      </c>
      <c r="B948" s="16">
        <v>45106.0</v>
      </c>
      <c r="C948" s="17">
        <v>45110.0</v>
      </c>
      <c r="D948" s="18">
        <v>4.0</v>
      </c>
      <c r="E948" s="19">
        <v>1.0</v>
      </c>
      <c r="F948" s="20">
        <v>12000.0</v>
      </c>
      <c r="G948" s="21" t="s">
        <v>2711</v>
      </c>
      <c r="H948" s="19">
        <v>4.0</v>
      </c>
      <c r="I948" s="21" t="s">
        <v>1826</v>
      </c>
      <c r="J948" s="22" t="s">
        <v>2532</v>
      </c>
    </row>
    <row r="949" ht="14.25" customHeight="1">
      <c r="A949" s="15" t="s">
        <v>3659</v>
      </c>
      <c r="B949" s="16">
        <v>45106.0</v>
      </c>
      <c r="C949" s="17">
        <v>45110.0</v>
      </c>
      <c r="D949" s="18">
        <v>6.0</v>
      </c>
      <c r="E949" s="19">
        <v>1.0</v>
      </c>
      <c r="F949" s="20">
        <v>12000.0</v>
      </c>
      <c r="G949" s="21" t="s">
        <v>2711</v>
      </c>
      <c r="H949" s="19">
        <v>5.0</v>
      </c>
      <c r="I949" s="21" t="s">
        <v>898</v>
      </c>
      <c r="J949" s="22" t="s">
        <v>2642</v>
      </c>
    </row>
    <row r="950" ht="14.25" customHeight="1">
      <c r="A950" s="15" t="s">
        <v>3660</v>
      </c>
      <c r="B950" s="16">
        <v>45106.0</v>
      </c>
      <c r="C950" s="17">
        <v>45110.0</v>
      </c>
      <c r="D950" s="18">
        <v>17.0</v>
      </c>
      <c r="E950" s="19">
        <v>10.0</v>
      </c>
      <c r="F950" s="20">
        <v>35100.0</v>
      </c>
      <c r="G950" s="21" t="s">
        <v>2711</v>
      </c>
      <c r="H950" s="19">
        <v>4.0</v>
      </c>
      <c r="I950" s="21" t="s">
        <v>106</v>
      </c>
      <c r="J950" s="22" t="s">
        <v>2484</v>
      </c>
    </row>
    <row r="951" ht="14.25" customHeight="1">
      <c r="A951" s="15" t="s">
        <v>3661</v>
      </c>
      <c r="B951" s="16">
        <v>45106.0</v>
      </c>
      <c r="C951" s="17">
        <v>45108.0</v>
      </c>
      <c r="D951" s="18">
        <v>5.0</v>
      </c>
      <c r="E951" s="19">
        <v>1.0</v>
      </c>
      <c r="F951" s="20">
        <v>12000.0</v>
      </c>
      <c r="G951" s="21" t="s">
        <v>2711</v>
      </c>
      <c r="H951" s="19">
        <v>5.0</v>
      </c>
      <c r="I951" s="21" t="s">
        <v>1894</v>
      </c>
      <c r="J951" s="22" t="s">
        <v>2602</v>
      </c>
    </row>
    <row r="952" ht="14.25" customHeight="1">
      <c r="A952" s="15" t="s">
        <v>3662</v>
      </c>
      <c r="B952" s="16">
        <v>45106.0</v>
      </c>
      <c r="C952" s="17">
        <v>45108.0</v>
      </c>
      <c r="D952" s="18">
        <v>20.0</v>
      </c>
      <c r="E952" s="19">
        <v>9.0</v>
      </c>
      <c r="F952" s="20">
        <v>34000.0</v>
      </c>
      <c r="G952" s="21" t="s">
        <v>2711</v>
      </c>
      <c r="H952" s="19">
        <v>5.0</v>
      </c>
      <c r="I952" s="21" t="s">
        <v>2425</v>
      </c>
      <c r="J952" s="22" t="s">
        <v>2672</v>
      </c>
    </row>
    <row r="953" ht="14.25" customHeight="1">
      <c r="A953" s="15" t="s">
        <v>3663</v>
      </c>
      <c r="B953" s="16">
        <v>45106.0</v>
      </c>
      <c r="C953" s="17">
        <v>45109.0</v>
      </c>
      <c r="D953" s="18">
        <v>4.0</v>
      </c>
      <c r="E953" s="19">
        <v>3.0</v>
      </c>
      <c r="F953" s="20">
        <v>16000.0</v>
      </c>
      <c r="G953" s="21" t="s">
        <v>2711</v>
      </c>
      <c r="H953" s="19">
        <v>5.0</v>
      </c>
      <c r="I953" s="21" t="s">
        <v>2251</v>
      </c>
      <c r="J953" s="22" t="s">
        <v>2582</v>
      </c>
    </row>
    <row r="954" ht="14.25" customHeight="1">
      <c r="A954" s="15" t="s">
        <v>3664</v>
      </c>
      <c r="B954" s="16">
        <v>45106.0</v>
      </c>
      <c r="C954" s="17">
        <v>45107.0</v>
      </c>
      <c r="D954" s="18">
        <v>18.0</v>
      </c>
      <c r="E954" s="19">
        <v>7.0</v>
      </c>
      <c r="F954" s="20">
        <v>29400.0</v>
      </c>
      <c r="G954" s="21" t="s">
        <v>2711</v>
      </c>
      <c r="H954" s="19">
        <v>5.0</v>
      </c>
      <c r="I954" s="21" t="s">
        <v>1355</v>
      </c>
      <c r="J954" s="22" t="s">
        <v>2607</v>
      </c>
    </row>
    <row r="955" ht="14.25" customHeight="1">
      <c r="A955" s="15" t="s">
        <v>3665</v>
      </c>
      <c r="B955" s="17">
        <v>45107.0</v>
      </c>
      <c r="C955" s="17">
        <f>B955 + RANDBETWEEN(1,5)</f>
        <v>45110</v>
      </c>
      <c r="D955" s="18">
        <v>1.0</v>
      </c>
      <c r="E955" s="19">
        <v>2.0</v>
      </c>
      <c r="F955" s="20">
        <v>14000.0</v>
      </c>
      <c r="G955" s="21" t="s">
        <v>2711</v>
      </c>
      <c r="H955" s="19">
        <v>4.0</v>
      </c>
      <c r="I955" s="21" t="s">
        <v>1316</v>
      </c>
      <c r="J955" s="22" t="s">
        <v>2582</v>
      </c>
    </row>
    <row r="956" ht="14.25" customHeight="1">
      <c r="A956" s="15" t="s">
        <v>3666</v>
      </c>
      <c r="B956" s="16">
        <v>45107.0</v>
      </c>
      <c r="C956" s="17">
        <v>45112.0</v>
      </c>
      <c r="D956" s="18">
        <v>1.0</v>
      </c>
      <c r="E956" s="19">
        <v>1.0</v>
      </c>
      <c r="F956" s="20">
        <v>12000.0</v>
      </c>
      <c r="G956" s="21" t="s">
        <v>2711</v>
      </c>
      <c r="H956" s="19">
        <v>5.0</v>
      </c>
      <c r="I956" s="21" t="s">
        <v>30</v>
      </c>
      <c r="J956" s="22" t="s">
        <v>2516</v>
      </c>
    </row>
    <row r="957" ht="14.25" customHeight="1">
      <c r="A957" s="15" t="s">
        <v>3667</v>
      </c>
      <c r="B957" s="16">
        <v>45107.0</v>
      </c>
      <c r="C957" s="17">
        <v>45111.0</v>
      </c>
      <c r="D957" s="18">
        <v>15.0</v>
      </c>
      <c r="E957" s="19">
        <v>9.0</v>
      </c>
      <c r="F957" s="20">
        <v>32500.0</v>
      </c>
      <c r="G957" s="21" t="s">
        <v>2711</v>
      </c>
      <c r="H957" s="19">
        <v>5.0</v>
      </c>
      <c r="I957" s="21" t="s">
        <v>803</v>
      </c>
      <c r="J957" s="22" t="s">
        <v>2662</v>
      </c>
      <c r="K957" s="27"/>
    </row>
    <row r="958" ht="14.25" customHeight="1">
      <c r="A958" s="15" t="s">
        <v>3668</v>
      </c>
      <c r="B958" s="16">
        <v>45107.0</v>
      </c>
      <c r="C958" s="17">
        <v>45109.0</v>
      </c>
      <c r="D958" s="18">
        <v>3.0</v>
      </c>
      <c r="E958" s="19">
        <v>3.0</v>
      </c>
      <c r="F958" s="20">
        <v>16000.0</v>
      </c>
      <c r="G958" s="21" t="s">
        <v>2711</v>
      </c>
      <c r="H958" s="19">
        <v>5.0</v>
      </c>
      <c r="I958" s="21" t="s">
        <v>783</v>
      </c>
      <c r="J958" s="22" t="s">
        <v>2532</v>
      </c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</row>
    <row r="959" ht="14.25" customHeight="1">
      <c r="A959" s="15" t="s">
        <v>3669</v>
      </c>
      <c r="B959" s="16">
        <v>45107.0</v>
      </c>
      <c r="C959" s="17">
        <v>45109.0</v>
      </c>
      <c r="D959" s="18">
        <v>6.0</v>
      </c>
      <c r="E959" s="19">
        <v>1.0</v>
      </c>
      <c r="F959" s="20">
        <v>12000.0</v>
      </c>
      <c r="G959" s="21" t="s">
        <v>2711</v>
      </c>
      <c r="H959" s="19">
        <v>4.0</v>
      </c>
      <c r="I959" s="21" t="s">
        <v>2290</v>
      </c>
      <c r="J959" s="22" t="s">
        <v>2632</v>
      </c>
    </row>
    <row r="960" ht="14.25" customHeight="1">
      <c r="A960" s="15" t="s">
        <v>3670</v>
      </c>
      <c r="B960" s="16">
        <v>45107.0</v>
      </c>
      <c r="C960" s="17">
        <v>45108.0</v>
      </c>
      <c r="D960" s="18">
        <v>11.0</v>
      </c>
      <c r="E960" s="19">
        <v>9.0</v>
      </c>
      <c r="F960" s="20">
        <v>28000.0</v>
      </c>
      <c r="G960" s="21" t="s">
        <v>2711</v>
      </c>
      <c r="H960" s="19">
        <v>4.0</v>
      </c>
      <c r="I960" s="21" t="s">
        <v>2271</v>
      </c>
      <c r="J960" s="22" t="s">
        <v>2607</v>
      </c>
    </row>
    <row r="961" ht="14.25" customHeight="1">
      <c r="A961" s="15" t="s">
        <v>3671</v>
      </c>
      <c r="B961" s="16">
        <v>45107.0</v>
      </c>
      <c r="C961" s="17">
        <v>45112.0</v>
      </c>
      <c r="D961" s="18">
        <v>9.0</v>
      </c>
      <c r="E961" s="19">
        <v>8.0</v>
      </c>
      <c r="F961" s="20">
        <v>26000.0</v>
      </c>
      <c r="G961" s="21" t="s">
        <v>2711</v>
      </c>
      <c r="H961" s="19">
        <v>5.0</v>
      </c>
      <c r="I961" s="21" t="s">
        <v>537</v>
      </c>
      <c r="J961" s="22" t="s">
        <v>2627</v>
      </c>
    </row>
    <row r="962" ht="14.25" customHeight="1">
      <c r="A962" s="15" t="s">
        <v>3672</v>
      </c>
      <c r="B962" s="16">
        <v>45107.0</v>
      </c>
      <c r="C962" s="17">
        <v>45112.0</v>
      </c>
      <c r="D962" s="18">
        <v>18.0</v>
      </c>
      <c r="E962" s="19">
        <v>4.0</v>
      </c>
      <c r="F962" s="20">
        <v>23400.0</v>
      </c>
      <c r="G962" s="21" t="s">
        <v>2711</v>
      </c>
      <c r="H962" s="19">
        <v>5.0</v>
      </c>
      <c r="I962" s="21" t="s">
        <v>2469</v>
      </c>
      <c r="J962" s="22" t="s">
        <v>2537</v>
      </c>
    </row>
    <row r="963" ht="14.25" customHeight="1">
      <c r="A963" s="15" t="s">
        <v>3673</v>
      </c>
      <c r="B963" s="16">
        <v>45107.0</v>
      </c>
      <c r="C963" s="17">
        <v>45112.0</v>
      </c>
      <c r="D963" s="18">
        <v>5.0</v>
      </c>
      <c r="E963" s="19">
        <v>2.0</v>
      </c>
      <c r="F963" s="20">
        <v>14000.0</v>
      </c>
      <c r="G963" s="21" t="s">
        <v>2711</v>
      </c>
      <c r="H963" s="19">
        <v>5.0</v>
      </c>
      <c r="I963" s="21" t="s">
        <v>1834</v>
      </c>
      <c r="J963" s="22" t="s">
        <v>2496</v>
      </c>
    </row>
    <row r="964" ht="14.25" customHeight="1">
      <c r="A964" s="15" t="s">
        <v>3674</v>
      </c>
      <c r="B964" s="16">
        <v>45107.0</v>
      </c>
      <c r="C964" s="17">
        <v>45112.0</v>
      </c>
      <c r="D964" s="18">
        <v>13.0</v>
      </c>
      <c r="E964" s="19">
        <v>9.0</v>
      </c>
      <c r="F964" s="20">
        <v>28000.0</v>
      </c>
      <c r="G964" s="21" t="s">
        <v>2711</v>
      </c>
      <c r="H964" s="19">
        <v>5.0</v>
      </c>
      <c r="I964" s="21" t="s">
        <v>498</v>
      </c>
      <c r="J964" s="22" t="s">
        <v>2662</v>
      </c>
    </row>
    <row r="965" ht="14.25" customHeight="1">
      <c r="A965" s="15" t="s">
        <v>3675</v>
      </c>
      <c r="B965" s="16">
        <v>45107.0</v>
      </c>
      <c r="C965" s="17">
        <v>45112.0</v>
      </c>
      <c r="D965" s="18">
        <v>1.0</v>
      </c>
      <c r="E965" s="19">
        <v>3.0</v>
      </c>
      <c r="F965" s="20">
        <v>16000.0</v>
      </c>
      <c r="G965" s="21" t="s">
        <v>2711</v>
      </c>
      <c r="H965" s="19">
        <v>4.0</v>
      </c>
      <c r="I965" s="21" t="s">
        <v>716</v>
      </c>
      <c r="J965" s="22" t="s">
        <v>2511</v>
      </c>
    </row>
    <row r="966" ht="14.25" customHeight="1">
      <c r="A966" s="15" t="s">
        <v>3676</v>
      </c>
      <c r="B966" s="16">
        <v>45107.0</v>
      </c>
      <c r="C966" s="17">
        <v>45110.0</v>
      </c>
      <c r="D966" s="18">
        <v>6.0</v>
      </c>
      <c r="E966" s="19">
        <v>2.0</v>
      </c>
      <c r="F966" s="20">
        <v>14000.0</v>
      </c>
      <c r="G966" s="21" t="s">
        <v>2711</v>
      </c>
      <c r="H966" s="19">
        <v>4.0</v>
      </c>
      <c r="I966" s="21" t="s">
        <v>306</v>
      </c>
      <c r="J966" s="22" t="s">
        <v>2652</v>
      </c>
    </row>
    <row r="967" ht="14.25" customHeight="1">
      <c r="A967" s="15" t="s">
        <v>3677</v>
      </c>
      <c r="B967" s="16">
        <v>45107.0</v>
      </c>
      <c r="C967" s="17">
        <v>45111.0</v>
      </c>
      <c r="D967" s="18">
        <v>3.0</v>
      </c>
      <c r="E967" s="19">
        <v>3.0</v>
      </c>
      <c r="F967" s="20">
        <v>16000.0</v>
      </c>
      <c r="G967" s="21" t="s">
        <v>2711</v>
      </c>
      <c r="H967" s="19">
        <v>4.0</v>
      </c>
      <c r="I967" s="21" t="s">
        <v>981</v>
      </c>
      <c r="J967" s="22" t="s">
        <v>2597</v>
      </c>
    </row>
    <row r="968" ht="14.25" customHeight="1">
      <c r="A968" s="15" t="s">
        <v>3678</v>
      </c>
      <c r="B968" s="16">
        <v>45107.0</v>
      </c>
      <c r="C968" s="17">
        <v>45110.0</v>
      </c>
      <c r="D968" s="18">
        <v>1.0</v>
      </c>
      <c r="E968" s="19">
        <v>1.0</v>
      </c>
      <c r="F968" s="20">
        <v>12000.0</v>
      </c>
      <c r="G968" s="21" t="s">
        <v>2711</v>
      </c>
      <c r="H968" s="19">
        <v>4.0</v>
      </c>
      <c r="I968" s="21" t="s">
        <v>2381</v>
      </c>
      <c r="J968" s="22" t="s">
        <v>2506</v>
      </c>
    </row>
    <row r="969" ht="14.25" customHeight="1">
      <c r="A969" s="15" t="s">
        <v>3679</v>
      </c>
      <c r="B969" s="16">
        <v>45107.0</v>
      </c>
      <c r="C969" s="17">
        <v>45108.0</v>
      </c>
      <c r="D969" s="18">
        <v>3.0</v>
      </c>
      <c r="E969" s="19">
        <v>3.0</v>
      </c>
      <c r="F969" s="20">
        <v>16000.0</v>
      </c>
      <c r="G969" s="21" t="s">
        <v>2711</v>
      </c>
      <c r="H969" s="19">
        <v>5.0</v>
      </c>
      <c r="I969" s="21" t="s">
        <v>2168</v>
      </c>
      <c r="J969" s="22" t="s">
        <v>2557</v>
      </c>
    </row>
    <row r="970" ht="14.25" customHeight="1">
      <c r="A970" s="15" t="s">
        <v>3680</v>
      </c>
      <c r="B970" s="16">
        <v>45107.0</v>
      </c>
      <c r="C970" s="17">
        <v>45112.0</v>
      </c>
      <c r="D970" s="18">
        <v>15.0</v>
      </c>
      <c r="E970" s="19">
        <v>4.0</v>
      </c>
      <c r="F970" s="20">
        <v>22500.0</v>
      </c>
      <c r="G970" s="21" t="s">
        <v>2711</v>
      </c>
      <c r="H970" s="19">
        <v>4.0</v>
      </c>
      <c r="I970" s="21" t="s">
        <v>154</v>
      </c>
      <c r="J970" s="22" t="s">
        <v>2697</v>
      </c>
    </row>
    <row r="971" ht="14.25" customHeight="1">
      <c r="A971" s="15" t="s">
        <v>3681</v>
      </c>
      <c r="B971" s="16">
        <v>45107.0</v>
      </c>
      <c r="C971" s="17">
        <v>45111.0</v>
      </c>
      <c r="D971" s="18">
        <v>4.0</v>
      </c>
      <c r="E971" s="19">
        <v>1.0</v>
      </c>
      <c r="F971" s="20">
        <v>12000.0</v>
      </c>
      <c r="G971" s="21" t="s">
        <v>2711</v>
      </c>
      <c r="H971" s="19">
        <v>5.0</v>
      </c>
      <c r="I971" s="21" t="s">
        <v>1296</v>
      </c>
      <c r="J971" s="22" t="s">
        <v>2562</v>
      </c>
    </row>
    <row r="972" ht="14.25" customHeight="1">
      <c r="A972" s="15" t="s">
        <v>3682</v>
      </c>
      <c r="B972" s="16">
        <v>45107.0</v>
      </c>
      <c r="C972" s="17">
        <v>45112.0</v>
      </c>
      <c r="D972" s="18">
        <v>5.0</v>
      </c>
      <c r="E972" s="19">
        <v>2.0</v>
      </c>
      <c r="F972" s="20">
        <v>14000.0</v>
      </c>
      <c r="G972" s="21" t="s">
        <v>2711</v>
      </c>
      <c r="H972" s="19">
        <v>4.0</v>
      </c>
      <c r="I972" s="21" t="s">
        <v>2358</v>
      </c>
      <c r="J972" s="22" t="s">
        <v>2490</v>
      </c>
    </row>
    <row r="973" ht="14.25" customHeight="1">
      <c r="A973" s="15" t="s">
        <v>3683</v>
      </c>
      <c r="B973" s="16">
        <v>45107.0</v>
      </c>
      <c r="C973" s="17">
        <v>45110.0</v>
      </c>
      <c r="D973" s="18">
        <v>4.0</v>
      </c>
      <c r="E973" s="19">
        <v>3.0</v>
      </c>
      <c r="F973" s="20">
        <v>16000.0</v>
      </c>
      <c r="G973" s="21" t="s">
        <v>2711</v>
      </c>
      <c r="H973" s="19">
        <v>4.0</v>
      </c>
      <c r="I973" s="21" t="s">
        <v>1804</v>
      </c>
      <c r="J973" s="22" t="s">
        <v>2622</v>
      </c>
    </row>
    <row r="974" ht="14.25" customHeight="1">
      <c r="A974" s="15" t="s">
        <v>3684</v>
      </c>
      <c r="B974" s="16">
        <v>45107.0</v>
      </c>
      <c r="C974" s="17">
        <v>45112.0</v>
      </c>
      <c r="D974" s="18">
        <v>7.0</v>
      </c>
      <c r="E974" s="19">
        <v>9.0</v>
      </c>
      <c r="F974" s="20">
        <v>28000.0</v>
      </c>
      <c r="G974" s="21" t="s">
        <v>2711</v>
      </c>
      <c r="H974" s="19">
        <v>5.0</v>
      </c>
      <c r="I974" s="21" t="s">
        <v>2421</v>
      </c>
      <c r="J974" s="22" t="s">
        <v>2672</v>
      </c>
    </row>
    <row r="975" ht="14.25" customHeight="1">
      <c r="A975" s="15" t="s">
        <v>3685</v>
      </c>
      <c r="B975" s="16">
        <v>45107.0</v>
      </c>
      <c r="C975" s="17">
        <v>45110.0</v>
      </c>
      <c r="D975" s="18">
        <v>7.0</v>
      </c>
      <c r="E975" s="19">
        <v>9.0</v>
      </c>
      <c r="F975" s="20">
        <v>28000.0</v>
      </c>
      <c r="G975" s="21" t="s">
        <v>2711</v>
      </c>
      <c r="H975" s="19">
        <v>5.0</v>
      </c>
      <c r="I975" s="21" t="s">
        <v>1013</v>
      </c>
      <c r="J975" s="22" t="s">
        <v>2627</v>
      </c>
    </row>
    <row r="976" ht="14.25" customHeight="1">
      <c r="A976" s="15" t="s">
        <v>3686</v>
      </c>
      <c r="B976" s="16">
        <v>45107.0</v>
      </c>
      <c r="C976" s="17">
        <v>45109.0</v>
      </c>
      <c r="D976" s="18">
        <v>1.0</v>
      </c>
      <c r="E976" s="19">
        <v>3.0</v>
      </c>
      <c r="F976" s="20">
        <v>16000.0</v>
      </c>
      <c r="G976" s="21" t="s">
        <v>2711</v>
      </c>
      <c r="H976" s="19">
        <v>5.0</v>
      </c>
      <c r="I976" s="21" t="s">
        <v>2068</v>
      </c>
      <c r="J976" s="22" t="s">
        <v>2557</v>
      </c>
    </row>
    <row r="977" ht="14.25" customHeight="1">
      <c r="A977" s="15" t="s">
        <v>3687</v>
      </c>
      <c r="B977" s="16">
        <v>45107.0</v>
      </c>
      <c r="C977" s="17">
        <v>45112.0</v>
      </c>
      <c r="D977" s="18">
        <v>6.0</v>
      </c>
      <c r="E977" s="19">
        <v>3.0</v>
      </c>
      <c r="F977" s="20">
        <v>16000.0</v>
      </c>
      <c r="G977" s="21" t="s">
        <v>2711</v>
      </c>
      <c r="H977" s="19">
        <v>5.0</v>
      </c>
      <c r="I977" s="21" t="s">
        <v>350</v>
      </c>
      <c r="J977" s="22" t="s">
        <v>2642</v>
      </c>
    </row>
    <row r="978" ht="14.25" customHeight="1">
      <c r="A978" s="15" t="s">
        <v>3688</v>
      </c>
      <c r="B978" s="16">
        <v>45107.0</v>
      </c>
      <c r="C978" s="17">
        <v>45111.0</v>
      </c>
      <c r="D978" s="18">
        <v>5.0</v>
      </c>
      <c r="E978" s="19">
        <v>3.0</v>
      </c>
      <c r="F978" s="20">
        <v>16000.0</v>
      </c>
      <c r="G978" s="21" t="s">
        <v>2711</v>
      </c>
      <c r="H978" s="19">
        <v>4.0</v>
      </c>
      <c r="I978" s="21" t="s">
        <v>62</v>
      </c>
      <c r="J978" s="22" t="s">
        <v>2567</v>
      </c>
    </row>
    <row r="979" ht="14.25" customHeight="1">
      <c r="A979" s="15" t="s">
        <v>3689</v>
      </c>
      <c r="B979" s="16">
        <v>45107.0</v>
      </c>
      <c r="C979" s="17">
        <v>45110.0</v>
      </c>
      <c r="D979" s="18">
        <v>10.0</v>
      </c>
      <c r="E979" s="19">
        <v>9.0</v>
      </c>
      <c r="F979" s="20">
        <v>28000.0</v>
      </c>
      <c r="G979" s="21" t="s">
        <v>2711</v>
      </c>
      <c r="H979" s="19">
        <v>5.0</v>
      </c>
      <c r="I979" s="21" t="s">
        <v>2334</v>
      </c>
      <c r="J979" s="22" t="s">
        <v>2697</v>
      </c>
    </row>
    <row r="980" ht="14.25" customHeight="1">
      <c r="A980" s="15" t="s">
        <v>3690</v>
      </c>
      <c r="B980" s="16">
        <v>45107.0</v>
      </c>
      <c r="C980" s="17">
        <v>45111.0</v>
      </c>
      <c r="D980" s="18">
        <v>20.0</v>
      </c>
      <c r="E980" s="19">
        <v>7.0</v>
      </c>
      <c r="F980" s="20">
        <v>30000.0</v>
      </c>
      <c r="G980" s="21" t="s">
        <v>2711</v>
      </c>
      <c r="H980" s="19">
        <v>5.0</v>
      </c>
      <c r="I980" s="21" t="s">
        <v>374</v>
      </c>
      <c r="J980" s="22" t="s">
        <v>2667</v>
      </c>
    </row>
    <row r="981" ht="14.25" customHeight="1">
      <c r="A981" s="15" t="s">
        <v>3691</v>
      </c>
      <c r="B981" s="16">
        <v>45107.0</v>
      </c>
      <c r="C981" s="17">
        <v>45110.0</v>
      </c>
      <c r="D981" s="18">
        <v>3.0</v>
      </c>
      <c r="E981" s="19">
        <v>2.0</v>
      </c>
      <c r="F981" s="20">
        <v>14000.0</v>
      </c>
      <c r="G981" s="21" t="s">
        <v>2711</v>
      </c>
      <c r="H981" s="19">
        <v>5.0</v>
      </c>
      <c r="I981" s="21" t="s">
        <v>2180</v>
      </c>
      <c r="J981" s="22" t="s">
        <v>2506</v>
      </c>
    </row>
    <row r="982" ht="14.25" customHeight="1">
      <c r="A982" s="15" t="s">
        <v>3692</v>
      </c>
      <c r="B982" s="16">
        <v>45107.0</v>
      </c>
      <c r="C982" s="17">
        <v>45109.0</v>
      </c>
      <c r="D982" s="18">
        <v>14.0</v>
      </c>
      <c r="E982" s="19">
        <v>6.0</v>
      </c>
      <c r="F982" s="20">
        <v>22000.0</v>
      </c>
      <c r="G982" s="21" t="s">
        <v>2711</v>
      </c>
      <c r="H982" s="19">
        <v>5.0</v>
      </c>
      <c r="I982" s="21" t="s">
        <v>274</v>
      </c>
      <c r="J982" s="22" t="s">
        <v>2484</v>
      </c>
    </row>
    <row r="983" ht="14.25" customHeight="1">
      <c r="A983" s="15" t="s">
        <v>3693</v>
      </c>
      <c r="B983" s="16">
        <v>45107.0</v>
      </c>
      <c r="C983" s="17">
        <v>45111.0</v>
      </c>
      <c r="D983" s="18">
        <v>5.0</v>
      </c>
      <c r="E983" s="19">
        <v>1.0</v>
      </c>
      <c r="F983" s="20">
        <v>12000.0</v>
      </c>
      <c r="G983" s="21" t="s">
        <v>2711</v>
      </c>
      <c r="H983" s="19">
        <v>5.0</v>
      </c>
      <c r="I983" s="21" t="s">
        <v>2377</v>
      </c>
      <c r="J983" s="22" t="s">
        <v>2677</v>
      </c>
    </row>
    <row r="984" ht="14.25" customHeight="1">
      <c r="A984" s="15" t="s">
        <v>3694</v>
      </c>
      <c r="B984" s="16">
        <v>45107.0</v>
      </c>
      <c r="C984" s="17">
        <v>45112.0</v>
      </c>
      <c r="D984" s="18">
        <v>5.0</v>
      </c>
      <c r="E984" s="19">
        <v>3.0</v>
      </c>
      <c r="F984" s="20">
        <v>16000.0</v>
      </c>
      <c r="G984" s="21" t="s">
        <v>2711</v>
      </c>
      <c r="H984" s="19">
        <v>5.0</v>
      </c>
      <c r="I984" s="21" t="s">
        <v>2096</v>
      </c>
      <c r="J984" s="22" t="s">
        <v>2490</v>
      </c>
    </row>
    <row r="985" ht="14.25" customHeight="1">
      <c r="A985" s="15" t="s">
        <v>3695</v>
      </c>
      <c r="B985" s="16">
        <v>45107.0</v>
      </c>
      <c r="C985" s="17">
        <v>45108.0</v>
      </c>
      <c r="D985" s="18">
        <v>6.0</v>
      </c>
      <c r="E985" s="19">
        <v>1.0</v>
      </c>
      <c r="F985" s="20">
        <v>12000.0</v>
      </c>
      <c r="G985" s="21" t="s">
        <v>2711</v>
      </c>
      <c r="H985" s="19">
        <v>4.0</v>
      </c>
      <c r="I985" s="21" t="s">
        <v>874</v>
      </c>
      <c r="J985" s="22" t="s">
        <v>2506</v>
      </c>
    </row>
    <row r="986" ht="14.25" customHeight="1">
      <c r="A986" s="15" t="s">
        <v>3696</v>
      </c>
      <c r="B986" s="16">
        <v>45107.0</v>
      </c>
      <c r="C986" s="17">
        <v>45109.0</v>
      </c>
      <c r="D986" s="18">
        <v>5.0</v>
      </c>
      <c r="E986" s="19">
        <v>2.0</v>
      </c>
      <c r="F986" s="20">
        <v>14000.0</v>
      </c>
      <c r="G986" s="21" t="s">
        <v>2711</v>
      </c>
      <c r="H986" s="19">
        <v>5.0</v>
      </c>
      <c r="I986" s="21" t="s">
        <v>2164</v>
      </c>
      <c r="J986" s="22" t="s">
        <v>2516</v>
      </c>
    </row>
    <row r="987" ht="14.25" customHeight="1">
      <c r="A987" s="15" t="s">
        <v>3697</v>
      </c>
      <c r="B987" s="16">
        <v>45107.0</v>
      </c>
      <c r="C987" s="17">
        <v>45110.0</v>
      </c>
      <c r="D987" s="18">
        <v>3.0</v>
      </c>
      <c r="E987" s="19">
        <v>1.0</v>
      </c>
      <c r="F987" s="20">
        <v>12000.0</v>
      </c>
      <c r="G987" s="21" t="s">
        <v>2711</v>
      </c>
      <c r="H987" s="19">
        <v>5.0</v>
      </c>
      <c r="I987" s="21" t="s">
        <v>70</v>
      </c>
      <c r="J987" s="22" t="s">
        <v>2582</v>
      </c>
    </row>
    <row r="988" ht="14.25" customHeight="1">
      <c r="B988" s="33"/>
      <c r="C988" s="33"/>
      <c r="F988" s="34"/>
    </row>
    <row r="989" ht="14.25" customHeight="1">
      <c r="B989" s="33"/>
      <c r="C989" s="33"/>
      <c r="F989" s="34"/>
    </row>
    <row r="990" ht="14.25" customHeight="1">
      <c r="B990" s="33"/>
      <c r="C990" s="33"/>
      <c r="F990" s="34"/>
    </row>
    <row r="991" ht="14.25" customHeight="1">
      <c r="B991" s="33"/>
      <c r="C991" s="33"/>
      <c r="F991" s="34"/>
    </row>
    <row r="992" ht="14.25" customHeight="1">
      <c r="B992" s="33"/>
      <c r="C992" s="33"/>
      <c r="F992" s="34"/>
    </row>
    <row r="993" ht="14.25" customHeight="1">
      <c r="B993" s="33"/>
      <c r="C993" s="33"/>
      <c r="F993" s="34"/>
    </row>
    <row r="994" ht="14.25" customHeight="1">
      <c r="B994" s="33"/>
      <c r="C994" s="33"/>
      <c r="F994" s="34"/>
    </row>
    <row r="995" ht="14.25" customHeight="1">
      <c r="B995" s="33"/>
      <c r="C995" s="33"/>
      <c r="F995" s="34"/>
    </row>
    <row r="996" ht="14.25" customHeight="1">
      <c r="B996" s="33"/>
      <c r="C996" s="33"/>
      <c r="F996" s="34"/>
    </row>
    <row r="997" ht="14.25" customHeight="1">
      <c r="B997" s="33"/>
      <c r="C997" s="33"/>
      <c r="F997" s="34"/>
    </row>
    <row r="998" ht="14.25" customHeight="1">
      <c r="B998" s="33"/>
      <c r="C998" s="33"/>
      <c r="F998" s="34"/>
    </row>
    <row r="999" ht="14.25" customHeight="1">
      <c r="B999" s="33"/>
      <c r="C999" s="33"/>
      <c r="F999" s="34"/>
    </row>
    <row r="1000" ht="14.25" customHeight="1">
      <c r="B1000" s="33"/>
      <c r="C1000" s="33"/>
      <c r="F1000" s="34"/>
    </row>
    <row r="1001" ht="14.25" customHeight="1">
      <c r="B1001" s="33"/>
      <c r="C1001" s="33"/>
      <c r="F1001" s="34"/>
    </row>
    <row r="1002" ht="14.25" customHeight="1">
      <c r="B1002" s="33"/>
      <c r="C1002" s="33"/>
      <c r="F1002" s="34"/>
    </row>
    <row r="1003" ht="14.25" customHeight="1">
      <c r="B1003" s="33"/>
      <c r="C1003" s="33"/>
      <c r="F1003" s="34"/>
    </row>
    <row r="1004" ht="14.25" customHeight="1">
      <c r="B1004" s="33"/>
      <c r="C1004" s="33"/>
      <c r="F1004" s="34"/>
    </row>
    <row r="1005" ht="14.25" customHeight="1">
      <c r="B1005" s="33"/>
      <c r="C1005" s="33"/>
      <c r="F1005" s="34"/>
    </row>
    <row r="1006" ht="14.25" customHeight="1">
      <c r="B1006" s="33"/>
      <c r="C1006" s="33"/>
      <c r="F1006" s="34"/>
    </row>
    <row r="1007" ht="14.25" customHeight="1">
      <c r="B1007" s="33"/>
      <c r="C1007" s="33"/>
      <c r="F1007" s="34"/>
    </row>
    <row r="1008" ht="14.25" customHeight="1">
      <c r="B1008" s="33"/>
      <c r="C1008" s="33"/>
      <c r="F1008" s="34"/>
    </row>
    <row r="1009" ht="14.25" customHeight="1">
      <c r="B1009" s="33"/>
      <c r="C1009" s="33"/>
      <c r="F1009" s="34"/>
    </row>
    <row r="1010" ht="14.25" customHeight="1">
      <c r="B1010" s="33"/>
      <c r="C1010" s="33"/>
      <c r="F1010" s="34"/>
    </row>
    <row r="1011" ht="14.25" customHeight="1">
      <c r="B1011" s="33"/>
      <c r="C1011" s="33"/>
      <c r="F1011" s="34"/>
    </row>
    <row r="1012" ht="14.25" customHeight="1">
      <c r="B1012" s="33"/>
      <c r="C1012" s="33"/>
      <c r="F1012" s="34"/>
    </row>
    <row r="1013" ht="14.25" customHeight="1">
      <c r="B1013" s="33"/>
      <c r="C1013" s="33"/>
      <c r="F1013" s="34"/>
    </row>
    <row r="1014" ht="14.25" customHeight="1">
      <c r="B1014" s="33"/>
      <c r="C1014" s="33"/>
      <c r="F1014" s="34"/>
    </row>
    <row r="1015" ht="14.25" customHeight="1">
      <c r="B1015" s="33"/>
      <c r="C1015" s="33"/>
      <c r="F1015" s="34"/>
    </row>
    <row r="1016" ht="14.25" customHeight="1">
      <c r="B1016" s="33"/>
      <c r="C1016" s="33"/>
      <c r="F1016" s="34"/>
    </row>
    <row r="1017" ht="14.25" customHeight="1">
      <c r="B1017" s="33"/>
      <c r="C1017" s="33"/>
      <c r="F1017" s="34"/>
    </row>
    <row r="1018" ht="14.25" customHeight="1">
      <c r="B1018" s="33"/>
      <c r="C1018" s="33"/>
      <c r="F1018" s="34"/>
    </row>
    <row r="1019" ht="14.25" customHeight="1">
      <c r="B1019" s="33"/>
      <c r="C1019" s="33"/>
      <c r="F1019" s="34"/>
    </row>
    <row r="1020" ht="14.25" customHeight="1">
      <c r="B1020" s="33"/>
      <c r="C1020" s="33"/>
      <c r="F1020" s="34"/>
    </row>
    <row r="1021" ht="14.25" customHeight="1">
      <c r="B1021" s="33"/>
      <c r="C1021" s="33"/>
      <c r="F1021" s="34"/>
    </row>
    <row r="1022" ht="14.25" customHeight="1">
      <c r="B1022" s="33"/>
      <c r="C1022" s="33"/>
      <c r="F1022" s="34"/>
    </row>
    <row r="1023" ht="14.25" customHeight="1">
      <c r="B1023" s="33"/>
      <c r="C1023" s="33"/>
      <c r="F1023" s="34"/>
    </row>
    <row r="1024" ht="14.25" customHeight="1">
      <c r="B1024" s="33"/>
      <c r="C1024" s="33"/>
      <c r="F1024" s="34"/>
    </row>
    <row r="1025" ht="14.25" customHeight="1">
      <c r="B1025" s="33"/>
      <c r="C1025" s="33"/>
      <c r="F1025" s="34"/>
    </row>
    <row r="1026" ht="14.25" customHeight="1">
      <c r="B1026" s="33"/>
      <c r="C1026" s="33"/>
      <c r="F1026" s="34"/>
    </row>
    <row r="1027" ht="14.25" customHeight="1">
      <c r="B1027" s="33"/>
      <c r="C1027" s="33"/>
      <c r="F1027" s="34"/>
    </row>
    <row r="1028" ht="14.25" customHeight="1">
      <c r="B1028" s="33"/>
      <c r="C1028" s="33"/>
      <c r="F1028" s="34"/>
    </row>
    <row r="1029" ht="14.25" customHeight="1">
      <c r="B1029" s="33"/>
      <c r="C1029" s="33"/>
      <c r="F1029" s="34"/>
    </row>
    <row r="1030" ht="14.25" customHeight="1">
      <c r="B1030" s="33"/>
      <c r="C1030" s="33"/>
      <c r="F1030" s="34"/>
    </row>
    <row r="1031" ht="14.25" customHeight="1">
      <c r="B1031" s="33"/>
      <c r="C1031" s="33"/>
      <c r="F1031" s="34"/>
    </row>
    <row r="1032" ht="14.25" customHeight="1">
      <c r="B1032" s="33"/>
      <c r="C1032" s="33"/>
      <c r="F1032" s="34"/>
    </row>
    <row r="1033" ht="14.25" customHeight="1">
      <c r="B1033" s="33"/>
      <c r="C1033" s="33"/>
      <c r="F1033" s="34"/>
    </row>
    <row r="1034" ht="14.25" customHeight="1">
      <c r="B1034" s="33"/>
      <c r="C1034" s="33"/>
      <c r="F1034" s="34"/>
    </row>
    <row r="1035" ht="14.25" customHeight="1">
      <c r="B1035" s="33"/>
      <c r="C1035" s="33"/>
      <c r="F1035" s="34"/>
    </row>
    <row r="1036" ht="14.25" customHeight="1">
      <c r="B1036" s="33"/>
      <c r="C1036" s="33"/>
      <c r="F1036" s="34"/>
    </row>
    <row r="1037" ht="14.25" customHeight="1">
      <c r="B1037" s="33"/>
      <c r="C1037" s="33"/>
      <c r="F1037" s="34"/>
    </row>
    <row r="1038" ht="14.25" customHeight="1">
      <c r="B1038" s="33"/>
      <c r="C1038" s="33"/>
      <c r="F1038" s="34"/>
    </row>
    <row r="1039" ht="14.25" customHeight="1">
      <c r="B1039" s="33"/>
      <c r="C1039" s="33"/>
      <c r="F1039" s="34"/>
    </row>
    <row r="1040" ht="14.25" customHeight="1">
      <c r="B1040" s="33"/>
      <c r="C1040" s="33"/>
      <c r="F1040" s="34"/>
    </row>
    <row r="1041" ht="14.25" customHeight="1">
      <c r="B1041" s="33"/>
      <c r="C1041" s="33"/>
      <c r="F1041" s="34"/>
    </row>
    <row r="1042" ht="14.25" customHeight="1">
      <c r="B1042" s="33"/>
      <c r="C1042" s="33"/>
      <c r="F1042" s="34"/>
    </row>
    <row r="1043" ht="14.25" customHeight="1">
      <c r="B1043" s="33"/>
      <c r="C1043" s="33"/>
      <c r="F1043" s="34"/>
    </row>
    <row r="1044" ht="14.25" customHeight="1">
      <c r="B1044" s="33"/>
      <c r="C1044" s="33"/>
      <c r="F1044" s="34"/>
    </row>
    <row r="1045" ht="14.25" customHeight="1">
      <c r="B1045" s="33"/>
      <c r="C1045" s="33"/>
      <c r="F1045" s="34"/>
    </row>
    <row r="1046" ht="14.25" customHeight="1">
      <c r="B1046" s="33"/>
      <c r="C1046" s="33"/>
      <c r="F1046" s="34"/>
    </row>
    <row r="1047" ht="14.25" customHeight="1">
      <c r="B1047" s="33"/>
      <c r="C1047" s="33"/>
      <c r="F1047" s="34"/>
    </row>
    <row r="1048" ht="14.25" customHeight="1">
      <c r="B1048" s="33"/>
      <c r="C1048" s="33"/>
      <c r="F1048" s="34"/>
    </row>
    <row r="1049" ht="14.25" customHeight="1">
      <c r="B1049" s="33"/>
      <c r="C1049" s="33"/>
      <c r="F1049" s="34"/>
    </row>
    <row r="1050" ht="14.25" customHeight="1">
      <c r="B1050" s="33"/>
      <c r="C1050" s="33"/>
      <c r="F1050" s="34"/>
    </row>
    <row r="1051" ht="14.25" customHeight="1">
      <c r="B1051" s="33"/>
      <c r="C1051" s="33"/>
      <c r="F1051" s="34"/>
    </row>
    <row r="1052" ht="14.25" customHeight="1">
      <c r="B1052" s="33"/>
      <c r="C1052" s="33"/>
      <c r="F1052" s="34"/>
    </row>
    <row r="1053" ht="14.25" customHeight="1">
      <c r="B1053" s="33"/>
      <c r="C1053" s="33"/>
      <c r="F1053" s="34"/>
    </row>
    <row r="1054" ht="14.25" customHeight="1">
      <c r="B1054" s="33"/>
      <c r="C1054" s="33"/>
      <c r="F1054" s="34"/>
    </row>
    <row r="1055" ht="14.25" customHeight="1">
      <c r="B1055" s="33"/>
      <c r="C1055" s="33"/>
      <c r="F1055" s="34"/>
    </row>
    <row r="1056" ht="14.25" customHeight="1">
      <c r="B1056" s="33"/>
      <c r="C1056" s="33"/>
      <c r="F1056" s="34"/>
    </row>
    <row r="1057" ht="14.25" customHeight="1">
      <c r="B1057" s="33"/>
      <c r="C1057" s="33"/>
      <c r="F1057" s="34"/>
    </row>
    <row r="1058" ht="14.25" customHeight="1">
      <c r="B1058" s="33"/>
      <c r="C1058" s="33"/>
      <c r="F1058" s="34"/>
    </row>
    <row r="1059" ht="14.25" customHeight="1">
      <c r="B1059" s="33"/>
      <c r="C1059" s="33"/>
      <c r="F1059" s="34"/>
    </row>
    <row r="1060" ht="14.25" customHeight="1">
      <c r="B1060" s="33"/>
      <c r="C1060" s="33"/>
      <c r="F1060" s="34"/>
    </row>
    <row r="1061" ht="14.25" customHeight="1">
      <c r="B1061" s="33"/>
      <c r="C1061" s="33"/>
      <c r="F1061" s="34"/>
    </row>
    <row r="1062" ht="14.25" customHeight="1">
      <c r="B1062" s="33"/>
      <c r="C1062" s="33"/>
      <c r="F1062" s="34"/>
    </row>
    <row r="1063" ht="14.25" customHeight="1">
      <c r="B1063" s="33"/>
      <c r="C1063" s="33"/>
      <c r="F1063" s="34"/>
    </row>
    <row r="1064" ht="14.25" customHeight="1">
      <c r="B1064" s="33"/>
      <c r="C1064" s="33"/>
      <c r="F1064" s="34"/>
    </row>
    <row r="1065" ht="14.25" customHeight="1">
      <c r="B1065" s="33"/>
      <c r="C1065" s="33"/>
      <c r="F1065" s="34"/>
    </row>
    <row r="1066" ht="14.25" customHeight="1">
      <c r="B1066" s="33"/>
      <c r="C1066" s="33"/>
      <c r="F1066" s="34"/>
    </row>
    <row r="1067" ht="14.25" customHeight="1">
      <c r="B1067" s="33"/>
      <c r="C1067" s="33"/>
      <c r="F1067" s="34"/>
    </row>
    <row r="1068" ht="14.25" customHeight="1">
      <c r="B1068" s="33"/>
      <c r="C1068" s="33"/>
      <c r="F1068" s="34"/>
    </row>
    <row r="1069" ht="14.25" customHeight="1">
      <c r="B1069" s="33"/>
      <c r="C1069" s="33"/>
      <c r="F1069" s="34"/>
    </row>
    <row r="1070" ht="14.25" customHeight="1">
      <c r="B1070" s="33"/>
      <c r="C1070" s="33"/>
      <c r="F1070" s="34"/>
    </row>
    <row r="1071" ht="14.25" customHeight="1">
      <c r="B1071" s="33"/>
      <c r="C1071" s="33"/>
      <c r="F1071" s="34"/>
    </row>
    <row r="1072" ht="14.25" customHeight="1">
      <c r="B1072" s="33"/>
      <c r="C1072" s="33"/>
      <c r="F1072" s="34"/>
    </row>
    <row r="1073" ht="14.25" customHeight="1">
      <c r="B1073" s="33"/>
      <c r="C1073" s="33"/>
      <c r="F1073" s="34"/>
    </row>
    <row r="1074" ht="14.25" customHeight="1">
      <c r="B1074" s="33"/>
      <c r="C1074" s="33"/>
      <c r="F1074" s="34"/>
    </row>
    <row r="1075" ht="14.25" customHeight="1">
      <c r="B1075" s="33"/>
      <c r="C1075" s="33"/>
      <c r="F1075" s="34"/>
    </row>
    <row r="1076" ht="14.25" customHeight="1">
      <c r="B1076" s="33"/>
      <c r="C1076" s="33"/>
      <c r="F1076" s="34"/>
    </row>
    <row r="1077" ht="14.25" customHeight="1">
      <c r="B1077" s="33"/>
      <c r="C1077" s="33"/>
      <c r="F1077" s="34"/>
    </row>
    <row r="1078" ht="14.25" customHeight="1">
      <c r="B1078" s="33"/>
      <c r="C1078" s="33"/>
      <c r="F1078" s="34"/>
    </row>
    <row r="1079" ht="14.25" customHeight="1">
      <c r="B1079" s="33"/>
      <c r="C1079" s="33"/>
      <c r="F1079" s="34"/>
    </row>
    <row r="1080" ht="14.25" customHeight="1">
      <c r="B1080" s="33"/>
      <c r="C1080" s="33"/>
      <c r="F1080" s="34"/>
    </row>
    <row r="1081" ht="14.25" customHeight="1">
      <c r="B1081" s="33"/>
      <c r="C1081" s="33"/>
      <c r="F1081" s="34"/>
    </row>
    <row r="1082" ht="14.25" customHeight="1">
      <c r="B1082" s="33"/>
      <c r="C1082" s="33"/>
      <c r="F1082" s="34"/>
    </row>
    <row r="1083" ht="14.25" customHeight="1">
      <c r="B1083" s="33"/>
      <c r="C1083" s="33"/>
      <c r="F1083" s="34"/>
    </row>
    <row r="1084" ht="14.25" customHeight="1">
      <c r="B1084" s="33"/>
      <c r="C1084" s="33"/>
      <c r="F1084" s="34"/>
    </row>
    <row r="1085" ht="14.25" customHeight="1">
      <c r="B1085" s="33"/>
      <c r="C1085" s="33"/>
      <c r="F1085" s="34"/>
    </row>
    <row r="1086" ht="14.25" customHeight="1">
      <c r="B1086" s="33"/>
      <c r="C1086" s="33"/>
      <c r="F1086" s="34"/>
    </row>
    <row r="1087" ht="14.25" customHeight="1">
      <c r="B1087" s="33"/>
      <c r="C1087" s="33"/>
      <c r="F1087" s="34"/>
    </row>
    <row r="1088" ht="14.25" customHeight="1">
      <c r="B1088" s="33"/>
      <c r="C1088" s="33"/>
      <c r="F1088" s="34"/>
    </row>
    <row r="1089" ht="14.25" customHeight="1">
      <c r="B1089" s="33"/>
      <c r="C1089" s="33"/>
      <c r="F1089" s="34"/>
    </row>
    <row r="1090" ht="14.25" customHeight="1">
      <c r="B1090" s="33"/>
      <c r="C1090" s="33"/>
      <c r="F1090" s="34"/>
    </row>
    <row r="1091" ht="14.25" customHeight="1">
      <c r="B1091" s="33"/>
      <c r="C1091" s="33"/>
      <c r="F1091" s="34"/>
    </row>
    <row r="1092" ht="14.25" customHeight="1">
      <c r="B1092" s="33"/>
      <c r="C1092" s="33"/>
      <c r="F1092" s="34"/>
    </row>
    <row r="1093" ht="14.25" customHeight="1">
      <c r="B1093" s="33"/>
      <c r="C1093" s="33"/>
      <c r="F1093" s="34"/>
    </row>
    <row r="1094" ht="14.25" customHeight="1">
      <c r="B1094" s="33"/>
      <c r="C1094" s="33"/>
      <c r="F1094" s="34"/>
    </row>
    <row r="1095" ht="14.25" customHeight="1">
      <c r="B1095" s="33"/>
      <c r="C1095" s="33"/>
      <c r="F1095" s="34"/>
    </row>
    <row r="1096" ht="14.25" customHeight="1">
      <c r="B1096" s="33"/>
      <c r="C1096" s="33"/>
      <c r="F1096" s="34"/>
    </row>
    <row r="1097" ht="14.25" customHeight="1">
      <c r="B1097" s="33"/>
      <c r="C1097" s="33"/>
      <c r="F1097" s="34"/>
    </row>
    <row r="1098" ht="14.25" customHeight="1">
      <c r="B1098" s="33"/>
      <c r="C1098" s="33"/>
      <c r="F1098" s="34"/>
    </row>
    <row r="1099" ht="14.25" customHeight="1">
      <c r="B1099" s="33"/>
      <c r="C1099" s="33"/>
      <c r="F1099" s="34"/>
    </row>
    <row r="1100" ht="14.25" customHeight="1">
      <c r="B1100" s="33"/>
      <c r="C1100" s="33"/>
      <c r="F1100" s="34"/>
    </row>
    <row r="1101" ht="14.25" customHeight="1">
      <c r="B1101" s="33"/>
      <c r="C1101" s="33"/>
      <c r="F1101" s="34"/>
    </row>
    <row r="1102" ht="14.25" customHeight="1">
      <c r="B1102" s="33"/>
      <c r="C1102" s="33"/>
      <c r="F1102" s="34"/>
    </row>
    <row r="1103" ht="14.25" customHeight="1">
      <c r="B1103" s="33"/>
      <c r="C1103" s="33"/>
      <c r="F1103" s="34"/>
    </row>
    <row r="1104" ht="14.25" customHeight="1">
      <c r="B1104" s="33"/>
      <c r="C1104" s="33"/>
      <c r="F1104" s="34"/>
    </row>
    <row r="1105" ht="14.25" customHeight="1">
      <c r="B1105" s="33"/>
      <c r="C1105" s="33"/>
      <c r="F1105" s="34"/>
    </row>
    <row r="1106" ht="14.25" customHeight="1">
      <c r="B1106" s="33"/>
      <c r="C1106" s="33"/>
      <c r="F1106" s="34"/>
    </row>
    <row r="1107" ht="14.25" customHeight="1">
      <c r="B1107" s="33"/>
      <c r="C1107" s="33"/>
      <c r="F1107" s="34"/>
    </row>
    <row r="1108" ht="14.25" customHeight="1">
      <c r="B1108" s="33"/>
      <c r="C1108" s="33"/>
      <c r="F1108" s="34"/>
    </row>
    <row r="1109" ht="14.25" customHeight="1">
      <c r="B1109" s="33"/>
      <c r="C1109" s="33"/>
      <c r="F1109" s="34"/>
    </row>
    <row r="1110" ht="14.25" customHeight="1">
      <c r="B1110" s="33"/>
      <c r="C1110" s="33"/>
      <c r="F1110" s="34"/>
    </row>
    <row r="1111" ht="14.25" customHeight="1">
      <c r="B1111" s="33"/>
      <c r="C1111" s="33"/>
      <c r="F1111" s="34"/>
    </row>
    <row r="1112" ht="14.25" customHeight="1">
      <c r="B1112" s="33"/>
      <c r="C1112" s="33"/>
      <c r="F1112" s="34"/>
    </row>
    <row r="1113" ht="14.25" customHeight="1">
      <c r="B1113" s="33"/>
      <c r="C1113" s="33"/>
      <c r="F1113" s="34"/>
    </row>
    <row r="1114" ht="14.25" customHeight="1">
      <c r="B1114" s="33"/>
      <c r="C1114" s="33"/>
      <c r="F1114" s="34"/>
    </row>
    <row r="1115" ht="14.25" customHeight="1">
      <c r="B1115" s="33"/>
      <c r="C1115" s="33"/>
      <c r="F1115" s="34"/>
    </row>
    <row r="1116" ht="14.25" customHeight="1">
      <c r="B1116" s="33"/>
      <c r="C1116" s="33"/>
      <c r="F1116" s="34"/>
    </row>
    <row r="1117" ht="14.25" customHeight="1">
      <c r="B1117" s="33"/>
      <c r="C1117" s="33"/>
      <c r="F1117" s="34"/>
    </row>
    <row r="1118" ht="14.25" customHeight="1">
      <c r="B1118" s="33"/>
      <c r="C1118" s="33"/>
      <c r="F1118" s="34"/>
    </row>
    <row r="1119" ht="14.25" customHeight="1">
      <c r="B1119" s="33"/>
      <c r="C1119" s="33"/>
      <c r="F1119" s="34"/>
    </row>
    <row r="1120" ht="14.25" customHeight="1">
      <c r="B1120" s="33"/>
      <c r="C1120" s="33"/>
      <c r="F1120" s="34"/>
    </row>
    <row r="1121" ht="14.25" customHeight="1">
      <c r="B1121" s="33"/>
      <c r="C1121" s="33"/>
      <c r="F1121" s="34"/>
    </row>
    <row r="1122" ht="14.25" customHeight="1">
      <c r="B1122" s="33"/>
      <c r="C1122" s="33"/>
      <c r="F1122" s="34"/>
    </row>
    <row r="1123" ht="14.25" customHeight="1">
      <c r="B1123" s="33"/>
      <c r="C1123" s="33"/>
      <c r="F1123" s="34"/>
    </row>
    <row r="1124" ht="14.25" customHeight="1">
      <c r="B1124" s="33"/>
      <c r="C1124" s="33"/>
      <c r="F1124" s="34"/>
    </row>
    <row r="1125" ht="14.25" customHeight="1">
      <c r="B1125" s="33"/>
      <c r="C1125" s="33"/>
      <c r="F1125" s="34"/>
    </row>
    <row r="1126" ht="14.25" customHeight="1">
      <c r="B1126" s="33"/>
      <c r="C1126" s="33"/>
      <c r="F1126" s="34"/>
    </row>
    <row r="1127" ht="14.25" customHeight="1">
      <c r="B1127" s="33"/>
      <c r="C1127" s="33"/>
      <c r="F1127" s="34"/>
    </row>
    <row r="1128" ht="14.25" customHeight="1">
      <c r="B1128" s="33"/>
      <c r="C1128" s="33"/>
      <c r="F1128" s="34"/>
    </row>
    <row r="1129" ht="14.25" customHeight="1">
      <c r="B1129" s="33"/>
      <c r="C1129" s="33"/>
      <c r="F1129" s="34"/>
    </row>
    <row r="1130" ht="14.25" customHeight="1">
      <c r="B1130" s="33"/>
      <c r="C1130" s="33"/>
      <c r="F1130" s="34"/>
    </row>
    <row r="1131" ht="14.25" customHeight="1">
      <c r="B1131" s="33"/>
      <c r="C1131" s="33"/>
      <c r="F1131" s="34"/>
    </row>
    <row r="1132" ht="14.25" customHeight="1">
      <c r="B1132" s="33"/>
      <c r="C1132" s="33"/>
      <c r="F1132" s="34"/>
    </row>
    <row r="1133" ht="14.25" customHeight="1">
      <c r="B1133" s="33"/>
      <c r="C1133" s="33"/>
      <c r="F1133" s="34"/>
    </row>
    <row r="1134" ht="14.25" customHeight="1">
      <c r="B1134" s="33"/>
      <c r="C1134" s="33"/>
      <c r="F1134" s="34"/>
    </row>
    <row r="1135" ht="14.25" customHeight="1">
      <c r="B1135" s="33"/>
      <c r="C1135" s="33"/>
      <c r="F1135" s="34"/>
    </row>
    <row r="1136" ht="14.25" customHeight="1">
      <c r="B1136" s="33"/>
      <c r="C1136" s="33"/>
      <c r="F1136" s="34"/>
    </row>
    <row r="1137" ht="14.25" customHeight="1">
      <c r="B1137" s="33"/>
      <c r="C1137" s="33"/>
      <c r="F1137" s="34"/>
    </row>
    <row r="1138" ht="14.25" customHeight="1">
      <c r="B1138" s="33"/>
      <c r="C1138" s="33"/>
      <c r="F1138" s="34"/>
    </row>
    <row r="1139" ht="14.25" customHeight="1">
      <c r="B1139" s="33"/>
      <c r="C1139" s="33"/>
      <c r="F1139" s="34"/>
    </row>
    <row r="1140" ht="14.25" customHeight="1">
      <c r="B1140" s="33"/>
      <c r="C1140" s="33"/>
      <c r="F1140" s="34"/>
    </row>
    <row r="1141" ht="14.25" customHeight="1">
      <c r="B1141" s="33"/>
      <c r="C1141" s="33"/>
      <c r="F1141" s="34"/>
    </row>
    <row r="1142" ht="14.25" customHeight="1">
      <c r="B1142" s="33"/>
      <c r="C1142" s="33"/>
      <c r="F1142" s="34"/>
    </row>
    <row r="1143" ht="14.25" customHeight="1">
      <c r="B1143" s="33"/>
      <c r="C1143" s="33"/>
      <c r="F1143" s="34"/>
    </row>
    <row r="1144" ht="14.25" customHeight="1">
      <c r="B1144" s="33"/>
      <c r="C1144" s="33"/>
      <c r="F1144" s="34"/>
    </row>
    <row r="1145" ht="14.25" customHeight="1">
      <c r="B1145" s="33"/>
      <c r="C1145" s="33"/>
      <c r="F1145" s="34"/>
    </row>
    <row r="1146" ht="14.25" customHeight="1">
      <c r="B1146" s="33"/>
      <c r="C1146" s="33"/>
      <c r="F1146" s="34"/>
    </row>
    <row r="1147" ht="14.25" customHeight="1">
      <c r="B1147" s="33"/>
      <c r="C1147" s="33"/>
      <c r="F1147" s="34"/>
    </row>
    <row r="1148" ht="14.25" customHeight="1">
      <c r="B1148" s="33"/>
      <c r="C1148" s="33"/>
      <c r="F1148" s="34"/>
    </row>
    <row r="1149" ht="14.25" customHeight="1">
      <c r="B1149" s="33"/>
      <c r="C1149" s="33"/>
      <c r="F1149" s="34"/>
    </row>
    <row r="1150" ht="14.25" customHeight="1">
      <c r="B1150" s="33"/>
      <c r="C1150" s="33"/>
      <c r="F1150" s="34"/>
    </row>
    <row r="1151" ht="14.25" customHeight="1">
      <c r="B1151" s="33"/>
      <c r="C1151" s="33"/>
      <c r="F1151" s="34"/>
    </row>
    <row r="1152" ht="14.25" customHeight="1">
      <c r="B1152" s="33"/>
      <c r="C1152" s="33"/>
      <c r="F1152" s="34"/>
    </row>
    <row r="1153" ht="14.25" customHeight="1">
      <c r="B1153" s="33"/>
      <c r="C1153" s="33"/>
      <c r="F1153" s="34"/>
    </row>
    <row r="1154" ht="14.25" customHeight="1">
      <c r="B1154" s="33"/>
      <c r="C1154" s="33"/>
      <c r="F1154" s="34"/>
    </row>
    <row r="1155" ht="14.25" customHeight="1">
      <c r="B1155" s="33"/>
      <c r="C1155" s="33"/>
      <c r="F1155" s="34"/>
    </row>
    <row r="1156" ht="14.25" customHeight="1">
      <c r="B1156" s="33"/>
      <c r="C1156" s="33"/>
      <c r="F1156" s="34"/>
    </row>
    <row r="1157" ht="14.25" customHeight="1">
      <c r="B1157" s="33"/>
      <c r="C1157" s="33"/>
      <c r="F1157" s="34"/>
    </row>
    <row r="1158" ht="14.25" customHeight="1">
      <c r="B1158" s="33"/>
      <c r="C1158" s="33"/>
      <c r="F1158" s="34"/>
    </row>
    <row r="1159" ht="14.25" customHeight="1">
      <c r="B1159" s="33"/>
      <c r="C1159" s="33"/>
      <c r="F1159" s="34"/>
    </row>
    <row r="1160" ht="14.25" customHeight="1">
      <c r="B1160" s="33"/>
      <c r="C1160" s="33"/>
      <c r="F1160" s="34"/>
    </row>
    <row r="1161" ht="14.25" customHeight="1">
      <c r="B1161" s="33"/>
      <c r="C1161" s="33"/>
      <c r="F1161" s="34"/>
    </row>
    <row r="1162" ht="14.25" customHeight="1">
      <c r="B1162" s="33"/>
      <c r="C1162" s="33"/>
      <c r="F1162" s="34"/>
    </row>
    <row r="1163" ht="14.25" customHeight="1">
      <c r="B1163" s="33"/>
      <c r="C1163" s="33"/>
      <c r="F1163" s="34"/>
    </row>
    <row r="1164" ht="14.25" customHeight="1">
      <c r="B1164" s="33"/>
      <c r="C1164" s="33"/>
      <c r="F1164" s="34"/>
    </row>
    <row r="1165" ht="14.25" customHeight="1">
      <c r="B1165" s="33"/>
      <c r="C1165" s="33"/>
      <c r="F1165" s="34"/>
    </row>
    <row r="1166" ht="14.25" customHeight="1">
      <c r="B1166" s="33"/>
      <c r="C1166" s="33"/>
      <c r="F1166" s="34"/>
    </row>
    <row r="1167" ht="14.25" customHeight="1">
      <c r="B1167" s="33"/>
      <c r="C1167" s="33"/>
      <c r="F1167" s="34"/>
    </row>
    <row r="1168" ht="14.25" customHeight="1">
      <c r="B1168" s="33"/>
      <c r="C1168" s="33"/>
      <c r="F1168" s="34"/>
    </row>
    <row r="1169" ht="14.25" customHeight="1">
      <c r="B1169" s="33"/>
      <c r="C1169" s="33"/>
      <c r="F1169" s="34"/>
    </row>
    <row r="1170" ht="14.25" customHeight="1">
      <c r="B1170" s="33"/>
      <c r="C1170" s="33"/>
      <c r="F1170" s="34"/>
    </row>
    <row r="1171" ht="14.25" customHeight="1">
      <c r="B1171" s="33"/>
      <c r="C1171" s="33"/>
      <c r="F1171" s="34"/>
    </row>
    <row r="1172" ht="14.25" customHeight="1">
      <c r="B1172" s="33"/>
      <c r="C1172" s="33"/>
      <c r="F1172" s="34"/>
    </row>
    <row r="1173" ht="14.25" customHeight="1">
      <c r="B1173" s="33"/>
      <c r="C1173" s="33"/>
      <c r="F1173" s="34"/>
    </row>
    <row r="1174" ht="14.25" customHeight="1">
      <c r="B1174" s="33"/>
      <c r="C1174" s="33"/>
      <c r="F1174" s="34"/>
    </row>
    <row r="1175" ht="14.25" customHeight="1">
      <c r="B1175" s="33"/>
      <c r="C1175" s="33"/>
      <c r="F1175" s="34"/>
    </row>
    <row r="1176" ht="14.25" customHeight="1">
      <c r="B1176" s="33"/>
      <c r="C1176" s="33"/>
      <c r="F1176" s="34"/>
    </row>
    <row r="1177" ht="14.25" customHeight="1">
      <c r="B1177" s="33"/>
      <c r="C1177" s="33"/>
      <c r="F1177" s="34"/>
    </row>
    <row r="1178" ht="14.25" customHeight="1">
      <c r="B1178" s="33"/>
      <c r="C1178" s="33"/>
      <c r="F1178" s="34"/>
    </row>
    <row r="1179" ht="14.25" customHeight="1">
      <c r="B1179" s="33"/>
      <c r="C1179" s="33"/>
      <c r="F1179" s="34"/>
    </row>
    <row r="1180" ht="14.25" customHeight="1">
      <c r="B1180" s="33"/>
      <c r="C1180" s="33"/>
      <c r="F1180" s="34"/>
    </row>
    <row r="1181" ht="14.25" customHeight="1">
      <c r="B1181" s="33"/>
      <c r="C1181" s="33"/>
      <c r="F1181" s="34"/>
    </row>
    <row r="1182" ht="14.25" customHeight="1">
      <c r="B1182" s="33"/>
      <c r="C1182" s="33"/>
      <c r="F1182" s="34"/>
    </row>
    <row r="1183" ht="14.25" customHeight="1">
      <c r="B1183" s="33"/>
      <c r="C1183" s="33"/>
      <c r="F1183" s="34"/>
    </row>
    <row r="1184" ht="14.25" customHeight="1">
      <c r="B1184" s="33"/>
      <c r="C1184" s="33"/>
      <c r="F1184" s="34"/>
    </row>
    <row r="1185" ht="14.25" customHeight="1">
      <c r="B1185" s="33"/>
      <c r="C1185" s="33"/>
      <c r="F1185" s="34"/>
    </row>
    <row r="1186" ht="14.25" customHeight="1">
      <c r="B1186" s="33"/>
      <c r="C1186" s="33"/>
      <c r="F1186" s="34"/>
    </row>
    <row r="1187" ht="14.25" customHeight="1">
      <c r="B1187" s="33"/>
      <c r="C1187" s="33"/>
      <c r="F1187" s="34"/>
    </row>
    <row r="1188" ht="14.25" customHeight="1">
      <c r="B1188" s="33"/>
      <c r="C1188" s="33"/>
      <c r="F1188" s="34"/>
    </row>
    <row r="1189" ht="14.25" customHeight="1">
      <c r="B1189" s="33"/>
      <c r="C1189" s="33"/>
      <c r="F1189" s="34"/>
    </row>
    <row r="1190" ht="14.25" customHeight="1">
      <c r="B1190" s="33"/>
      <c r="C1190" s="33"/>
      <c r="F1190" s="34"/>
    </row>
    <row r="1191" ht="14.25" customHeight="1">
      <c r="B1191" s="33"/>
      <c r="C1191" s="33"/>
      <c r="F1191" s="34"/>
    </row>
    <row r="1192" ht="14.25" customHeight="1">
      <c r="B1192" s="33"/>
      <c r="C1192" s="33"/>
      <c r="F1192" s="34"/>
    </row>
    <row r="1193" ht="14.25" customHeight="1">
      <c r="B1193" s="33"/>
      <c r="C1193" s="33"/>
      <c r="F1193" s="34"/>
    </row>
    <row r="1194" ht="14.25" customHeight="1">
      <c r="B1194" s="33"/>
      <c r="C1194" s="33"/>
      <c r="F1194" s="34"/>
    </row>
    <row r="1195" ht="14.25" customHeight="1">
      <c r="B1195" s="33"/>
      <c r="C1195" s="33"/>
      <c r="F1195" s="34"/>
    </row>
    <row r="1196" ht="14.25" customHeight="1">
      <c r="B1196" s="33"/>
      <c r="C1196" s="33"/>
      <c r="F1196" s="34"/>
    </row>
    <row r="1197" ht="14.25" customHeight="1">
      <c r="B1197" s="33"/>
      <c r="C1197" s="33"/>
      <c r="F1197" s="34"/>
    </row>
    <row r="1198" ht="14.25" customHeight="1">
      <c r="B1198" s="33"/>
      <c r="C1198" s="33"/>
      <c r="F1198" s="34"/>
    </row>
    <row r="1199" ht="14.25" customHeight="1">
      <c r="B1199" s="33"/>
      <c r="C1199" s="33"/>
      <c r="F1199" s="34"/>
    </row>
    <row r="1200" ht="14.25" customHeight="1">
      <c r="B1200" s="33"/>
      <c r="C1200" s="33"/>
      <c r="F1200" s="34"/>
    </row>
    <row r="1201" ht="14.25" customHeight="1">
      <c r="B1201" s="33"/>
      <c r="C1201" s="33"/>
      <c r="F1201" s="34"/>
    </row>
    <row r="1202" ht="14.25" customHeight="1">
      <c r="B1202" s="33"/>
      <c r="C1202" s="33"/>
      <c r="F1202" s="34"/>
    </row>
    <row r="1203" ht="14.25" customHeight="1">
      <c r="B1203" s="33"/>
      <c r="C1203" s="33"/>
      <c r="F1203" s="34"/>
    </row>
    <row r="1204" ht="14.25" customHeight="1">
      <c r="B1204" s="33"/>
      <c r="C1204" s="33"/>
      <c r="F1204" s="34"/>
    </row>
    <row r="1205" ht="14.25" customHeight="1">
      <c r="B1205" s="33"/>
      <c r="C1205" s="33"/>
      <c r="F1205" s="34"/>
    </row>
    <row r="1206" ht="14.25" customHeight="1">
      <c r="B1206" s="33"/>
      <c r="C1206" s="33"/>
      <c r="F1206" s="34"/>
    </row>
    <row r="1207" ht="14.25" customHeight="1">
      <c r="B1207" s="33"/>
      <c r="C1207" s="33"/>
      <c r="F1207" s="34"/>
    </row>
    <row r="1208" ht="14.25" customHeight="1">
      <c r="B1208" s="33"/>
      <c r="C1208" s="33"/>
      <c r="F1208" s="34"/>
    </row>
    <row r="1209" ht="14.25" customHeight="1">
      <c r="B1209" s="33"/>
      <c r="C1209" s="33"/>
      <c r="F1209" s="34"/>
    </row>
    <row r="1210" ht="14.25" customHeight="1">
      <c r="B1210" s="33"/>
      <c r="C1210" s="33"/>
      <c r="F1210" s="34"/>
    </row>
    <row r="1211" ht="14.25" customHeight="1">
      <c r="B1211" s="33"/>
      <c r="C1211" s="33"/>
      <c r="F1211" s="34"/>
    </row>
    <row r="1212" ht="14.25" customHeight="1">
      <c r="B1212" s="33"/>
      <c r="C1212" s="33"/>
      <c r="F1212" s="34"/>
    </row>
    <row r="1213" ht="14.25" customHeight="1">
      <c r="B1213" s="33"/>
      <c r="C1213" s="33"/>
      <c r="F1213" s="34"/>
    </row>
    <row r="1214" ht="14.25" customHeight="1">
      <c r="B1214" s="33"/>
      <c r="C1214" s="33"/>
      <c r="F1214" s="34"/>
    </row>
    <row r="1215" ht="14.25" customHeight="1">
      <c r="B1215" s="33"/>
      <c r="C1215" s="33"/>
      <c r="F1215" s="34"/>
    </row>
    <row r="1216" ht="14.25" customHeight="1">
      <c r="B1216" s="33"/>
      <c r="C1216" s="33"/>
      <c r="F1216" s="34"/>
    </row>
    <row r="1217" ht="14.25" customHeight="1">
      <c r="B1217" s="33"/>
      <c r="C1217" s="33"/>
      <c r="F1217" s="34"/>
    </row>
    <row r="1218" ht="14.25" customHeight="1">
      <c r="B1218" s="33"/>
      <c r="C1218" s="33"/>
      <c r="F1218" s="34"/>
    </row>
    <row r="1219" ht="14.25" customHeight="1">
      <c r="B1219" s="33"/>
      <c r="C1219" s="33"/>
      <c r="F1219" s="34"/>
    </row>
    <row r="1220" ht="14.25" customHeight="1">
      <c r="B1220" s="33"/>
      <c r="C1220" s="33"/>
      <c r="F1220" s="34"/>
    </row>
    <row r="1221" ht="14.25" customHeight="1">
      <c r="B1221" s="33"/>
      <c r="C1221" s="33"/>
      <c r="F1221" s="34"/>
    </row>
    <row r="1222" ht="14.25" customHeight="1">
      <c r="B1222" s="33"/>
      <c r="C1222" s="33"/>
      <c r="F1222" s="34"/>
    </row>
    <row r="1223" ht="14.25" customHeight="1">
      <c r="B1223" s="33"/>
      <c r="C1223" s="33"/>
      <c r="F1223" s="34"/>
    </row>
    <row r="1224" ht="14.25" customHeight="1">
      <c r="B1224" s="33"/>
      <c r="C1224" s="33"/>
      <c r="F1224" s="34"/>
    </row>
    <row r="1225" ht="14.25" customHeight="1">
      <c r="B1225" s="33"/>
      <c r="C1225" s="33"/>
      <c r="F1225" s="34"/>
    </row>
    <row r="1226" ht="14.25" customHeight="1">
      <c r="B1226" s="33"/>
      <c r="C1226" s="33"/>
      <c r="F1226" s="34"/>
    </row>
    <row r="1227" ht="14.25" customHeight="1">
      <c r="B1227" s="33"/>
      <c r="C1227" s="33"/>
      <c r="F1227" s="34"/>
    </row>
    <row r="1228" ht="14.25" customHeight="1">
      <c r="B1228" s="33"/>
      <c r="C1228" s="33"/>
      <c r="F1228" s="34"/>
    </row>
    <row r="1229" ht="14.25" customHeight="1">
      <c r="B1229" s="33"/>
      <c r="C1229" s="33"/>
      <c r="F1229" s="34"/>
    </row>
    <row r="1230" ht="14.25" customHeight="1">
      <c r="B1230" s="33"/>
      <c r="C1230" s="33"/>
      <c r="F1230" s="34"/>
    </row>
    <row r="1231" ht="14.25" customHeight="1">
      <c r="B1231" s="33"/>
      <c r="C1231" s="33"/>
      <c r="F1231" s="34"/>
    </row>
    <row r="1232" ht="14.25" customHeight="1">
      <c r="B1232" s="33"/>
      <c r="C1232" s="33"/>
      <c r="F1232" s="34"/>
    </row>
    <row r="1233" ht="14.25" customHeight="1">
      <c r="B1233" s="33"/>
      <c r="C1233" s="33"/>
      <c r="F1233" s="34"/>
    </row>
    <row r="1234" ht="14.25" customHeight="1">
      <c r="B1234" s="33"/>
      <c r="C1234" s="33"/>
      <c r="F1234" s="34"/>
    </row>
    <row r="1235" ht="14.25" customHeight="1">
      <c r="B1235" s="33"/>
      <c r="C1235" s="33"/>
      <c r="F1235" s="34"/>
    </row>
    <row r="1236" ht="14.25" customHeight="1">
      <c r="B1236" s="33"/>
      <c r="C1236" s="33"/>
      <c r="F1236" s="34"/>
    </row>
    <row r="1237" ht="14.25" customHeight="1">
      <c r="B1237" s="33"/>
      <c r="C1237" s="33"/>
      <c r="F1237" s="34"/>
    </row>
    <row r="1238" ht="14.25" customHeight="1">
      <c r="B1238" s="33"/>
      <c r="C1238" s="33"/>
      <c r="F1238" s="34"/>
    </row>
    <row r="1239" ht="14.25" customHeight="1">
      <c r="B1239" s="33"/>
      <c r="C1239" s="33"/>
      <c r="F1239" s="34"/>
    </row>
    <row r="1240" ht="14.25" customHeight="1">
      <c r="B1240" s="33"/>
      <c r="C1240" s="33"/>
      <c r="F1240" s="34"/>
    </row>
    <row r="1241" ht="14.25" customHeight="1">
      <c r="B1241" s="33"/>
      <c r="C1241" s="33"/>
      <c r="F1241" s="34"/>
    </row>
    <row r="1242" ht="14.25" customHeight="1">
      <c r="B1242" s="33"/>
      <c r="C1242" s="33"/>
      <c r="F1242" s="34"/>
    </row>
    <row r="1243" ht="14.25" customHeight="1">
      <c r="B1243" s="33"/>
      <c r="C1243" s="33"/>
      <c r="F1243" s="34"/>
    </row>
    <row r="1244" ht="14.25" customHeight="1">
      <c r="B1244" s="33"/>
      <c r="C1244" s="33"/>
      <c r="F1244" s="34"/>
    </row>
    <row r="1245" ht="14.25" customHeight="1">
      <c r="B1245" s="33"/>
      <c r="C1245" s="33"/>
      <c r="F1245" s="34"/>
    </row>
    <row r="1246" ht="14.25" customHeight="1">
      <c r="B1246" s="33"/>
      <c r="C1246" s="33"/>
      <c r="F1246" s="34"/>
    </row>
    <row r="1247" ht="14.25" customHeight="1">
      <c r="B1247" s="33"/>
      <c r="C1247" s="33"/>
      <c r="F1247" s="34"/>
    </row>
    <row r="1248" ht="14.25" customHeight="1">
      <c r="B1248" s="33"/>
      <c r="C1248" s="33"/>
      <c r="F1248" s="34"/>
    </row>
    <row r="1249" ht="14.25" customHeight="1">
      <c r="B1249" s="33"/>
      <c r="C1249" s="33"/>
      <c r="F1249" s="34"/>
    </row>
    <row r="1250" ht="14.25" customHeight="1">
      <c r="B1250" s="33"/>
      <c r="C1250" s="33"/>
      <c r="F1250" s="34"/>
    </row>
    <row r="1251" ht="14.25" customHeight="1">
      <c r="B1251" s="33"/>
      <c r="C1251" s="33"/>
      <c r="F1251" s="34"/>
    </row>
    <row r="1252" ht="14.25" customHeight="1">
      <c r="B1252" s="33"/>
      <c r="C1252" s="33"/>
      <c r="F1252" s="34"/>
    </row>
    <row r="1253" ht="14.25" customHeight="1">
      <c r="B1253" s="33"/>
      <c r="C1253" s="33"/>
      <c r="F1253" s="34"/>
    </row>
    <row r="1254" ht="14.25" customHeight="1">
      <c r="B1254" s="33"/>
      <c r="C1254" s="33"/>
      <c r="F1254" s="34"/>
    </row>
    <row r="1255" ht="14.25" customHeight="1">
      <c r="B1255" s="33"/>
      <c r="C1255" s="33"/>
      <c r="F1255" s="34"/>
    </row>
    <row r="1256" ht="14.25" customHeight="1">
      <c r="B1256" s="33"/>
      <c r="C1256" s="33"/>
      <c r="F1256" s="34"/>
    </row>
    <row r="1257" ht="14.25" customHeight="1">
      <c r="B1257" s="33"/>
      <c r="C1257" s="33"/>
      <c r="F1257" s="34"/>
    </row>
    <row r="1258" ht="14.25" customHeight="1">
      <c r="B1258" s="33"/>
      <c r="C1258" s="33"/>
      <c r="F1258" s="34"/>
    </row>
    <row r="1259" ht="14.25" customHeight="1">
      <c r="B1259" s="33"/>
      <c r="C1259" s="33"/>
      <c r="F1259" s="34"/>
    </row>
    <row r="1260" ht="14.25" customHeight="1">
      <c r="B1260" s="33"/>
      <c r="C1260" s="33"/>
      <c r="F1260" s="34"/>
    </row>
    <row r="1261" ht="14.25" customHeight="1">
      <c r="B1261" s="33"/>
      <c r="C1261" s="33"/>
      <c r="F1261" s="34"/>
    </row>
    <row r="1262" ht="14.25" customHeight="1">
      <c r="B1262" s="33"/>
      <c r="C1262" s="33"/>
      <c r="F1262" s="34"/>
    </row>
    <row r="1263" ht="14.25" customHeight="1">
      <c r="B1263" s="33"/>
      <c r="C1263" s="33"/>
      <c r="F1263" s="34"/>
    </row>
    <row r="1264" ht="14.25" customHeight="1">
      <c r="B1264" s="33"/>
      <c r="C1264" s="33"/>
      <c r="F1264" s="34"/>
    </row>
    <row r="1265" ht="14.25" customHeight="1">
      <c r="B1265" s="33"/>
      <c r="C1265" s="33"/>
      <c r="F1265" s="34"/>
    </row>
    <row r="1266" ht="14.25" customHeight="1">
      <c r="B1266" s="33"/>
      <c r="C1266" s="33"/>
      <c r="F1266" s="34"/>
    </row>
    <row r="1267" ht="14.25" customHeight="1">
      <c r="B1267" s="33"/>
      <c r="C1267" s="33"/>
      <c r="F1267" s="34"/>
    </row>
    <row r="1268" ht="14.25" customHeight="1">
      <c r="B1268" s="33"/>
      <c r="C1268" s="33"/>
      <c r="F1268" s="34"/>
    </row>
    <row r="1269" ht="14.25" customHeight="1">
      <c r="B1269" s="33"/>
      <c r="C1269" s="33"/>
      <c r="F1269" s="34"/>
    </row>
    <row r="1270" ht="14.25" customHeight="1">
      <c r="B1270" s="33"/>
      <c r="C1270" s="33"/>
      <c r="F1270" s="34"/>
    </row>
    <row r="1271" ht="14.25" customHeight="1">
      <c r="B1271" s="33"/>
      <c r="C1271" s="33"/>
      <c r="F1271" s="34"/>
    </row>
    <row r="1272" ht="14.25" customHeight="1">
      <c r="B1272" s="33"/>
      <c r="C1272" s="33"/>
      <c r="F1272" s="34"/>
    </row>
    <row r="1273" ht="14.25" customHeight="1">
      <c r="B1273" s="33"/>
      <c r="C1273" s="33"/>
      <c r="F1273" s="34"/>
    </row>
    <row r="1274" ht="14.25" customHeight="1">
      <c r="B1274" s="33"/>
      <c r="C1274" s="33"/>
      <c r="F1274" s="34"/>
    </row>
    <row r="1275" ht="14.25" customHeight="1">
      <c r="B1275" s="33"/>
      <c r="C1275" s="33"/>
      <c r="F1275" s="34"/>
    </row>
    <row r="1276" ht="14.25" customHeight="1">
      <c r="B1276" s="33"/>
      <c r="C1276" s="33"/>
      <c r="F1276" s="34"/>
    </row>
    <row r="1277" ht="14.25" customHeight="1">
      <c r="B1277" s="33"/>
      <c r="C1277" s="33"/>
      <c r="F1277" s="34"/>
    </row>
    <row r="1278" ht="14.25" customHeight="1">
      <c r="B1278" s="33"/>
      <c r="C1278" s="33"/>
      <c r="F1278" s="34"/>
    </row>
    <row r="1279" ht="14.25" customHeight="1">
      <c r="B1279" s="33"/>
      <c r="C1279" s="33"/>
      <c r="F1279" s="34"/>
    </row>
    <row r="1280" ht="14.25" customHeight="1">
      <c r="B1280" s="33"/>
      <c r="C1280" s="33"/>
      <c r="F1280" s="34"/>
    </row>
    <row r="1281" ht="14.25" customHeight="1">
      <c r="B1281" s="33"/>
      <c r="C1281" s="33"/>
      <c r="F1281" s="34"/>
    </row>
    <row r="1282" ht="14.25" customHeight="1">
      <c r="B1282" s="33"/>
      <c r="C1282" s="33"/>
      <c r="F1282" s="34"/>
    </row>
    <row r="1283" ht="14.25" customHeight="1">
      <c r="B1283" s="33"/>
      <c r="C1283" s="33"/>
      <c r="F1283" s="34"/>
    </row>
    <row r="1284" ht="14.25" customHeight="1">
      <c r="B1284" s="33"/>
      <c r="C1284" s="33"/>
      <c r="F1284" s="34"/>
    </row>
    <row r="1285" ht="14.25" customHeight="1">
      <c r="B1285" s="33"/>
      <c r="C1285" s="33"/>
      <c r="F1285" s="34"/>
    </row>
    <row r="1286" ht="14.25" customHeight="1">
      <c r="B1286" s="33"/>
      <c r="C1286" s="33"/>
      <c r="F1286" s="34"/>
    </row>
    <row r="1287" ht="14.25" customHeight="1">
      <c r="B1287" s="33"/>
      <c r="C1287" s="33"/>
      <c r="F1287" s="34"/>
    </row>
    <row r="1288" ht="14.25" customHeight="1">
      <c r="B1288" s="33"/>
      <c r="C1288" s="33"/>
      <c r="F1288" s="34"/>
    </row>
    <row r="1289" ht="14.25" customHeight="1">
      <c r="B1289" s="33"/>
      <c r="C1289" s="33"/>
      <c r="F1289" s="34"/>
    </row>
    <row r="1290" ht="14.25" customHeight="1">
      <c r="B1290" s="33"/>
      <c r="C1290" s="33"/>
      <c r="F1290" s="34"/>
    </row>
    <row r="1291" ht="14.25" customHeight="1">
      <c r="B1291" s="33"/>
      <c r="C1291" s="33"/>
      <c r="F1291" s="34"/>
    </row>
    <row r="1292" ht="14.25" customHeight="1">
      <c r="B1292" s="33"/>
      <c r="C1292" s="33"/>
      <c r="F1292" s="34"/>
    </row>
    <row r="1293" ht="14.25" customHeight="1">
      <c r="B1293" s="33"/>
      <c r="C1293" s="33"/>
      <c r="F1293" s="34"/>
    </row>
    <row r="1294" ht="14.25" customHeight="1">
      <c r="B1294" s="33"/>
      <c r="C1294" s="33"/>
      <c r="F1294" s="34"/>
    </row>
    <row r="1295" ht="14.25" customHeight="1">
      <c r="B1295" s="33"/>
      <c r="C1295" s="33"/>
      <c r="F1295" s="34"/>
    </row>
    <row r="1296" ht="14.25" customHeight="1">
      <c r="B1296" s="33"/>
      <c r="C1296" s="33"/>
      <c r="F1296" s="34"/>
    </row>
    <row r="1297" ht="14.25" customHeight="1">
      <c r="B1297" s="33"/>
      <c r="C1297" s="33"/>
      <c r="F1297" s="34"/>
    </row>
    <row r="1298" ht="14.25" customHeight="1">
      <c r="B1298" s="33"/>
      <c r="C1298" s="33"/>
      <c r="F1298" s="34"/>
    </row>
    <row r="1299" ht="14.25" customHeight="1">
      <c r="B1299" s="33"/>
      <c r="C1299" s="33"/>
      <c r="F1299" s="34"/>
    </row>
    <row r="1300" ht="14.25" customHeight="1">
      <c r="B1300" s="33"/>
      <c r="C1300" s="33"/>
      <c r="F1300" s="34"/>
    </row>
    <row r="1301" ht="14.25" customHeight="1">
      <c r="B1301" s="33"/>
      <c r="C1301" s="33"/>
      <c r="F1301" s="34"/>
    </row>
    <row r="1302" ht="14.25" customHeight="1">
      <c r="B1302" s="33"/>
      <c r="C1302" s="33"/>
      <c r="F1302" s="34"/>
    </row>
    <row r="1303" ht="14.25" customHeight="1">
      <c r="B1303" s="33"/>
      <c r="C1303" s="33"/>
      <c r="F1303" s="34"/>
    </row>
    <row r="1304" ht="14.25" customHeight="1">
      <c r="B1304" s="33"/>
      <c r="C1304" s="33"/>
      <c r="F1304" s="34"/>
    </row>
    <row r="1305" ht="14.25" customHeight="1">
      <c r="B1305" s="33"/>
      <c r="C1305" s="33"/>
      <c r="F1305" s="34"/>
    </row>
    <row r="1306" ht="14.25" customHeight="1">
      <c r="B1306" s="33"/>
      <c r="C1306" s="33"/>
      <c r="F1306" s="34"/>
    </row>
    <row r="1307" ht="14.25" customHeight="1">
      <c r="B1307" s="33"/>
      <c r="C1307" s="33"/>
      <c r="F1307" s="34"/>
    </row>
    <row r="1308" ht="14.25" customHeight="1">
      <c r="B1308" s="33"/>
      <c r="C1308" s="33"/>
      <c r="F1308" s="34"/>
    </row>
    <row r="1309" ht="14.25" customHeight="1">
      <c r="B1309" s="33"/>
      <c r="C1309" s="33"/>
      <c r="F1309" s="34"/>
    </row>
    <row r="1310" ht="14.25" customHeight="1">
      <c r="B1310" s="33"/>
      <c r="C1310" s="33"/>
      <c r="F1310" s="34"/>
    </row>
    <row r="1311" ht="14.25" customHeight="1">
      <c r="B1311" s="33"/>
      <c r="C1311" s="33"/>
      <c r="F1311" s="34"/>
    </row>
    <row r="1312" ht="14.25" customHeight="1">
      <c r="B1312" s="33"/>
      <c r="C1312" s="33"/>
      <c r="F1312" s="34"/>
    </row>
    <row r="1313" ht="14.25" customHeight="1">
      <c r="B1313" s="33"/>
      <c r="C1313" s="33"/>
      <c r="F1313" s="34"/>
    </row>
    <row r="1314" ht="14.25" customHeight="1">
      <c r="B1314" s="33"/>
      <c r="C1314" s="33"/>
      <c r="F1314" s="34"/>
    </row>
    <row r="1315" ht="14.25" customHeight="1">
      <c r="B1315" s="33"/>
      <c r="C1315" s="33"/>
      <c r="F1315" s="34"/>
    </row>
    <row r="1316" ht="14.25" customHeight="1">
      <c r="B1316" s="33"/>
      <c r="C1316" s="33"/>
      <c r="F1316" s="34"/>
    </row>
    <row r="1317" ht="14.25" customHeight="1">
      <c r="B1317" s="33"/>
      <c r="C1317" s="33"/>
      <c r="F1317" s="34"/>
    </row>
    <row r="1318" ht="14.25" customHeight="1">
      <c r="B1318" s="33"/>
      <c r="C1318" s="33"/>
      <c r="F1318" s="34"/>
    </row>
    <row r="1319" ht="14.25" customHeight="1">
      <c r="B1319" s="33"/>
      <c r="C1319" s="33"/>
      <c r="F1319" s="34"/>
    </row>
    <row r="1320" ht="14.25" customHeight="1">
      <c r="B1320" s="33"/>
      <c r="C1320" s="33"/>
      <c r="F1320" s="34"/>
    </row>
    <row r="1321" ht="14.25" customHeight="1">
      <c r="B1321" s="33"/>
      <c r="C1321" s="33"/>
      <c r="F1321" s="34"/>
    </row>
    <row r="1322" ht="14.25" customHeight="1">
      <c r="B1322" s="33"/>
      <c r="C1322" s="33"/>
      <c r="F1322" s="34"/>
    </row>
    <row r="1323" ht="14.25" customHeight="1">
      <c r="B1323" s="33"/>
      <c r="C1323" s="33"/>
      <c r="F1323" s="34"/>
    </row>
    <row r="1324" ht="14.25" customHeight="1">
      <c r="B1324" s="33"/>
      <c r="C1324" s="33"/>
      <c r="F1324" s="34"/>
    </row>
    <row r="1325" ht="14.25" customHeight="1">
      <c r="B1325" s="33"/>
      <c r="C1325" s="33"/>
      <c r="F1325" s="34"/>
    </row>
    <row r="1326" ht="14.25" customHeight="1">
      <c r="B1326" s="33"/>
      <c r="C1326" s="33"/>
      <c r="F1326" s="34"/>
    </row>
    <row r="1327" ht="14.25" customHeight="1">
      <c r="B1327" s="33"/>
      <c r="C1327" s="33"/>
      <c r="F1327" s="34"/>
    </row>
    <row r="1328" ht="14.25" customHeight="1">
      <c r="B1328" s="33"/>
      <c r="C1328" s="33"/>
      <c r="F1328" s="34"/>
    </row>
    <row r="1329" ht="14.25" customHeight="1">
      <c r="B1329" s="33"/>
      <c r="C1329" s="33"/>
      <c r="F1329" s="34"/>
    </row>
    <row r="1330" ht="14.25" customHeight="1">
      <c r="B1330" s="33"/>
      <c r="C1330" s="33"/>
      <c r="F1330" s="34"/>
    </row>
    <row r="1331" ht="14.25" customHeight="1">
      <c r="B1331" s="33"/>
      <c r="C1331" s="33"/>
      <c r="F1331" s="34"/>
    </row>
    <row r="1332" ht="14.25" customHeight="1">
      <c r="B1332" s="33"/>
      <c r="C1332" s="33"/>
      <c r="F1332" s="34"/>
    </row>
    <row r="1333" ht="14.25" customHeight="1">
      <c r="B1333" s="33"/>
      <c r="C1333" s="33"/>
      <c r="F1333" s="34"/>
    </row>
    <row r="1334" ht="14.25" customHeight="1">
      <c r="B1334" s="33"/>
      <c r="C1334" s="33"/>
      <c r="F1334" s="34"/>
    </row>
    <row r="1335" ht="14.25" customHeight="1">
      <c r="B1335" s="33"/>
      <c r="C1335" s="33"/>
      <c r="F1335" s="34"/>
    </row>
    <row r="1336" ht="14.25" customHeight="1">
      <c r="B1336" s="33"/>
      <c r="C1336" s="33"/>
      <c r="F1336" s="34"/>
    </row>
    <row r="1337" ht="14.25" customHeight="1">
      <c r="B1337" s="33"/>
      <c r="C1337" s="33"/>
      <c r="F1337" s="34"/>
    </row>
    <row r="1338" ht="14.25" customHeight="1">
      <c r="B1338" s="33"/>
      <c r="C1338" s="33"/>
      <c r="F1338" s="34"/>
    </row>
    <row r="1339" ht="14.25" customHeight="1">
      <c r="B1339" s="33"/>
      <c r="C1339" s="33"/>
      <c r="F1339" s="34"/>
    </row>
    <row r="1340" ht="14.25" customHeight="1">
      <c r="B1340" s="33"/>
      <c r="C1340" s="33"/>
      <c r="F1340" s="34"/>
    </row>
    <row r="1341" ht="14.25" customHeight="1">
      <c r="B1341" s="33"/>
      <c r="C1341" s="33"/>
      <c r="F1341" s="34"/>
    </row>
    <row r="1342" ht="14.25" customHeight="1">
      <c r="B1342" s="33"/>
      <c r="C1342" s="33"/>
      <c r="F1342" s="34"/>
    </row>
    <row r="1343" ht="14.25" customHeight="1">
      <c r="B1343" s="33"/>
      <c r="C1343" s="33"/>
      <c r="F1343" s="34"/>
    </row>
    <row r="1344" ht="14.25" customHeight="1">
      <c r="B1344" s="33"/>
      <c r="C1344" s="33"/>
      <c r="F1344" s="34"/>
    </row>
    <row r="1345" ht="14.25" customHeight="1">
      <c r="B1345" s="33"/>
      <c r="C1345" s="33"/>
      <c r="F1345" s="34"/>
    </row>
    <row r="1346" ht="14.25" customHeight="1">
      <c r="B1346" s="33"/>
      <c r="C1346" s="33"/>
      <c r="F1346" s="34"/>
    </row>
    <row r="1347" ht="14.25" customHeight="1">
      <c r="B1347" s="33"/>
      <c r="C1347" s="33"/>
      <c r="F1347" s="34"/>
    </row>
    <row r="1348" ht="14.25" customHeight="1">
      <c r="B1348" s="33"/>
      <c r="C1348" s="33"/>
      <c r="F1348" s="34"/>
    </row>
    <row r="1349" ht="14.25" customHeight="1">
      <c r="B1349" s="33"/>
      <c r="C1349" s="33"/>
      <c r="F1349" s="34"/>
    </row>
    <row r="1350" ht="14.25" customHeight="1">
      <c r="B1350" s="33"/>
      <c r="C1350" s="33"/>
      <c r="F1350" s="34"/>
    </row>
    <row r="1351" ht="14.25" customHeight="1">
      <c r="B1351" s="33"/>
      <c r="C1351" s="33"/>
      <c r="F1351" s="34"/>
    </row>
    <row r="1352" ht="14.25" customHeight="1">
      <c r="B1352" s="33"/>
      <c r="C1352" s="33"/>
      <c r="F1352" s="34"/>
    </row>
    <row r="1353" ht="14.25" customHeight="1">
      <c r="B1353" s="33"/>
      <c r="C1353" s="33"/>
      <c r="F1353" s="34"/>
    </row>
    <row r="1354" ht="14.25" customHeight="1">
      <c r="B1354" s="33"/>
      <c r="C1354" s="33"/>
      <c r="F1354" s="34"/>
    </row>
    <row r="1355" ht="14.25" customHeight="1">
      <c r="B1355" s="33"/>
      <c r="C1355" s="33"/>
      <c r="F1355" s="34"/>
    </row>
    <row r="1356" ht="14.25" customHeight="1">
      <c r="B1356" s="33"/>
      <c r="C1356" s="33"/>
      <c r="F1356" s="34"/>
    </row>
    <row r="1357" ht="14.25" customHeight="1">
      <c r="B1357" s="33"/>
      <c r="C1357" s="33"/>
      <c r="F1357" s="34"/>
    </row>
    <row r="1358" ht="14.25" customHeight="1">
      <c r="B1358" s="33"/>
      <c r="C1358" s="33"/>
      <c r="F1358" s="34"/>
    </row>
    <row r="1359" ht="14.25" customHeight="1">
      <c r="B1359" s="33"/>
      <c r="C1359" s="33"/>
      <c r="F1359" s="34"/>
    </row>
    <row r="1360" ht="14.25" customHeight="1">
      <c r="B1360" s="33"/>
      <c r="C1360" s="33"/>
      <c r="F1360" s="34"/>
    </row>
    <row r="1361" ht="14.25" customHeight="1">
      <c r="B1361" s="33"/>
      <c r="C1361" s="33"/>
      <c r="F1361" s="34"/>
    </row>
    <row r="1362" ht="14.25" customHeight="1">
      <c r="B1362" s="33"/>
      <c r="C1362" s="33"/>
      <c r="F1362" s="34"/>
    </row>
    <row r="1363" ht="14.25" customHeight="1">
      <c r="B1363" s="33"/>
      <c r="C1363" s="33"/>
      <c r="F1363" s="34"/>
    </row>
    <row r="1364" ht="14.25" customHeight="1">
      <c r="B1364" s="33"/>
      <c r="C1364" s="33"/>
      <c r="F1364" s="34"/>
    </row>
    <row r="1365" ht="14.25" customHeight="1">
      <c r="B1365" s="33"/>
      <c r="C1365" s="33"/>
      <c r="F1365" s="34"/>
    </row>
    <row r="1366" ht="14.25" customHeight="1">
      <c r="B1366" s="33"/>
      <c r="C1366" s="33"/>
      <c r="F1366" s="34"/>
    </row>
    <row r="1367" ht="14.25" customHeight="1">
      <c r="B1367" s="33"/>
      <c r="C1367" s="33"/>
      <c r="F1367" s="34"/>
    </row>
    <row r="1368" ht="14.25" customHeight="1">
      <c r="B1368" s="33"/>
      <c r="C1368" s="33"/>
      <c r="F1368" s="34"/>
    </row>
    <row r="1369" ht="14.25" customHeight="1">
      <c r="B1369" s="33"/>
      <c r="C1369" s="33"/>
      <c r="F1369" s="34"/>
    </row>
    <row r="1370" ht="14.25" customHeight="1">
      <c r="B1370" s="33"/>
      <c r="C1370" s="33"/>
      <c r="F1370" s="34"/>
    </row>
    <row r="1371" ht="14.25" customHeight="1">
      <c r="B1371" s="33"/>
      <c r="C1371" s="33"/>
      <c r="F1371" s="34"/>
    </row>
    <row r="1372" ht="14.25" customHeight="1">
      <c r="B1372" s="33"/>
      <c r="C1372" s="33"/>
      <c r="F1372" s="34"/>
    </row>
    <row r="1373" ht="14.25" customHeight="1">
      <c r="B1373" s="33"/>
      <c r="C1373" s="33"/>
      <c r="F1373" s="34"/>
    </row>
    <row r="1374" ht="14.25" customHeight="1">
      <c r="B1374" s="33"/>
      <c r="C1374" s="33"/>
      <c r="F1374" s="34"/>
    </row>
    <row r="1375" ht="14.25" customHeight="1">
      <c r="B1375" s="33"/>
      <c r="C1375" s="33"/>
      <c r="F1375" s="34"/>
    </row>
    <row r="1376" ht="14.25" customHeight="1">
      <c r="B1376" s="33"/>
      <c r="C1376" s="33"/>
      <c r="F1376" s="34"/>
    </row>
    <row r="1377" ht="14.25" customHeight="1">
      <c r="B1377" s="33"/>
      <c r="C1377" s="33"/>
      <c r="F1377" s="34"/>
    </row>
    <row r="1378" ht="14.25" customHeight="1">
      <c r="B1378" s="33"/>
      <c r="C1378" s="33"/>
      <c r="F1378" s="34"/>
    </row>
    <row r="1379" ht="14.25" customHeight="1">
      <c r="B1379" s="33"/>
      <c r="C1379" s="33"/>
      <c r="F1379" s="34"/>
    </row>
    <row r="1380" ht="14.25" customHeight="1">
      <c r="B1380" s="33"/>
      <c r="C1380" s="33"/>
      <c r="F1380" s="34"/>
    </row>
    <row r="1381" ht="14.25" customHeight="1">
      <c r="B1381" s="33"/>
      <c r="C1381" s="33"/>
      <c r="F1381" s="34"/>
    </row>
    <row r="1382" ht="14.25" customHeight="1">
      <c r="B1382" s="33"/>
      <c r="C1382" s="33"/>
      <c r="F1382" s="34"/>
    </row>
    <row r="1383" ht="14.25" customHeight="1">
      <c r="B1383" s="33"/>
      <c r="C1383" s="33"/>
      <c r="F1383" s="34"/>
    </row>
    <row r="1384" ht="14.25" customHeight="1">
      <c r="B1384" s="33"/>
      <c r="C1384" s="33"/>
      <c r="F1384" s="34"/>
    </row>
    <row r="1385" ht="14.25" customHeight="1">
      <c r="B1385" s="33"/>
      <c r="C1385" s="33"/>
      <c r="F1385" s="34"/>
    </row>
    <row r="1386" ht="14.25" customHeight="1">
      <c r="B1386" s="33"/>
      <c r="C1386" s="33"/>
      <c r="F1386" s="34"/>
    </row>
    <row r="1387" ht="14.25" customHeight="1">
      <c r="B1387" s="33"/>
      <c r="C1387" s="33"/>
      <c r="F1387" s="34"/>
    </row>
    <row r="1388" ht="14.25" customHeight="1">
      <c r="B1388" s="33"/>
      <c r="C1388" s="33"/>
      <c r="F1388" s="34"/>
    </row>
    <row r="1389" ht="14.25" customHeight="1">
      <c r="B1389" s="33"/>
      <c r="C1389" s="33"/>
      <c r="F1389" s="34"/>
    </row>
    <row r="1390" ht="14.25" customHeight="1">
      <c r="B1390" s="33"/>
      <c r="C1390" s="33"/>
      <c r="F1390" s="34"/>
    </row>
    <row r="1391" ht="14.25" customHeight="1">
      <c r="B1391" s="33"/>
      <c r="C1391" s="33"/>
      <c r="F1391" s="34"/>
    </row>
    <row r="1392" ht="14.25" customHeight="1">
      <c r="B1392" s="33"/>
      <c r="C1392" s="33"/>
      <c r="F1392" s="34"/>
    </row>
    <row r="1393" ht="14.25" customHeight="1">
      <c r="B1393" s="33"/>
      <c r="C1393" s="33"/>
      <c r="F1393" s="34"/>
    </row>
    <row r="1394" ht="14.25" customHeight="1">
      <c r="B1394" s="33"/>
      <c r="C1394" s="33"/>
      <c r="F1394" s="34"/>
    </row>
    <row r="1395" ht="14.25" customHeight="1">
      <c r="B1395" s="33"/>
      <c r="C1395" s="33"/>
      <c r="F1395" s="34"/>
    </row>
    <row r="1396" ht="14.25" customHeight="1">
      <c r="B1396" s="33"/>
      <c r="C1396" s="33"/>
      <c r="F1396" s="34"/>
    </row>
    <row r="1397" ht="14.25" customHeight="1">
      <c r="B1397" s="33"/>
      <c r="C1397" s="33"/>
      <c r="F1397" s="34"/>
    </row>
    <row r="1398" ht="14.25" customHeight="1">
      <c r="B1398" s="33"/>
      <c r="C1398" s="33"/>
      <c r="F1398" s="34"/>
    </row>
    <row r="1399" ht="14.25" customHeight="1">
      <c r="B1399" s="33"/>
      <c r="C1399" s="33"/>
      <c r="F1399" s="34"/>
    </row>
    <row r="1400" ht="14.25" customHeight="1">
      <c r="B1400" s="33"/>
      <c r="C1400" s="33"/>
      <c r="F1400" s="34"/>
    </row>
    <row r="1401" ht="14.25" customHeight="1">
      <c r="B1401" s="33"/>
      <c r="C1401" s="33"/>
      <c r="F1401" s="34"/>
    </row>
    <row r="1402" ht="14.25" customHeight="1">
      <c r="B1402" s="33"/>
      <c r="C1402" s="33"/>
      <c r="F1402" s="34"/>
    </row>
    <row r="1403" ht="14.25" customHeight="1">
      <c r="B1403" s="33"/>
      <c r="C1403" s="33"/>
      <c r="F1403" s="34"/>
    </row>
    <row r="1404" ht="14.25" customHeight="1">
      <c r="B1404" s="33"/>
      <c r="C1404" s="33"/>
      <c r="F1404" s="34"/>
    </row>
    <row r="1405" ht="14.25" customHeight="1">
      <c r="B1405" s="33"/>
      <c r="C1405" s="33"/>
      <c r="F1405" s="34"/>
    </row>
    <row r="1406" ht="14.25" customHeight="1">
      <c r="B1406" s="33"/>
      <c r="C1406" s="33"/>
      <c r="F1406" s="34"/>
    </row>
    <row r="1407" ht="14.25" customHeight="1">
      <c r="B1407" s="33"/>
      <c r="C1407" s="33"/>
      <c r="F1407" s="34"/>
    </row>
    <row r="1408" ht="14.25" customHeight="1">
      <c r="B1408" s="33"/>
      <c r="C1408" s="33"/>
      <c r="F1408" s="34"/>
    </row>
    <row r="1409" ht="14.25" customHeight="1">
      <c r="B1409" s="33"/>
      <c r="C1409" s="33"/>
      <c r="F1409" s="34"/>
    </row>
    <row r="1410" ht="14.25" customHeight="1">
      <c r="B1410" s="33"/>
      <c r="C1410" s="33"/>
      <c r="F1410" s="34"/>
    </row>
    <row r="1411" ht="14.25" customHeight="1">
      <c r="B1411" s="33"/>
      <c r="C1411" s="33"/>
      <c r="F1411" s="34"/>
    </row>
    <row r="1412" ht="14.25" customHeight="1">
      <c r="B1412" s="33"/>
      <c r="C1412" s="33"/>
      <c r="F1412" s="34"/>
    </row>
    <row r="1413" ht="14.25" customHeight="1">
      <c r="B1413" s="33"/>
      <c r="C1413" s="33"/>
      <c r="F1413" s="34"/>
    </row>
    <row r="1414" ht="14.25" customHeight="1">
      <c r="B1414" s="33"/>
      <c r="C1414" s="33"/>
      <c r="F1414" s="34"/>
    </row>
    <row r="1415" ht="14.25" customHeight="1">
      <c r="B1415" s="33"/>
      <c r="C1415" s="33"/>
      <c r="F1415" s="34"/>
    </row>
    <row r="1416" ht="14.25" customHeight="1">
      <c r="B1416" s="33"/>
      <c r="C1416" s="33"/>
      <c r="F1416" s="34"/>
    </row>
    <row r="1417" ht="14.25" customHeight="1">
      <c r="B1417" s="33"/>
      <c r="C1417" s="33"/>
      <c r="F1417" s="34"/>
    </row>
    <row r="1418" ht="14.25" customHeight="1">
      <c r="B1418" s="33"/>
      <c r="C1418" s="33"/>
      <c r="F1418" s="34"/>
    </row>
    <row r="1419" ht="14.25" customHeight="1">
      <c r="B1419" s="33"/>
      <c r="C1419" s="33"/>
      <c r="F1419" s="34"/>
    </row>
    <row r="1420" ht="14.25" customHeight="1">
      <c r="B1420" s="33"/>
      <c r="C1420" s="33"/>
      <c r="F1420" s="34"/>
    </row>
    <row r="1421" ht="14.25" customHeight="1">
      <c r="B1421" s="33"/>
      <c r="C1421" s="33"/>
      <c r="F1421" s="34"/>
    </row>
    <row r="1422" ht="14.25" customHeight="1">
      <c r="B1422" s="33"/>
      <c r="C1422" s="33"/>
      <c r="F1422" s="34"/>
    </row>
    <row r="1423" ht="14.25" customHeight="1">
      <c r="B1423" s="33"/>
      <c r="C1423" s="33"/>
      <c r="F1423" s="34"/>
    </row>
    <row r="1424" ht="14.25" customHeight="1">
      <c r="B1424" s="33"/>
      <c r="C1424" s="33"/>
      <c r="F1424" s="34"/>
    </row>
    <row r="1425" ht="14.25" customHeight="1">
      <c r="B1425" s="33"/>
      <c r="C1425" s="33"/>
      <c r="F1425" s="34"/>
    </row>
    <row r="1426" ht="14.25" customHeight="1">
      <c r="B1426" s="33"/>
      <c r="C1426" s="33"/>
      <c r="F1426" s="34"/>
    </row>
    <row r="1427" ht="14.25" customHeight="1">
      <c r="B1427" s="33"/>
      <c r="C1427" s="33"/>
      <c r="F1427" s="34"/>
    </row>
    <row r="1428" ht="14.25" customHeight="1">
      <c r="B1428" s="33"/>
      <c r="C1428" s="33"/>
      <c r="F1428" s="34"/>
    </row>
    <row r="1429" ht="14.25" customHeight="1">
      <c r="B1429" s="33"/>
      <c r="C1429" s="33"/>
      <c r="F1429" s="34"/>
    </row>
    <row r="1430" ht="14.25" customHeight="1">
      <c r="B1430" s="33"/>
      <c r="C1430" s="33"/>
      <c r="F1430" s="34"/>
    </row>
    <row r="1431" ht="14.25" customHeight="1">
      <c r="B1431" s="33"/>
      <c r="C1431" s="33"/>
      <c r="F1431" s="34"/>
    </row>
    <row r="1432" ht="14.25" customHeight="1">
      <c r="B1432" s="33"/>
      <c r="C1432" s="33"/>
      <c r="F1432" s="34"/>
    </row>
    <row r="1433" ht="14.25" customHeight="1">
      <c r="B1433" s="33"/>
      <c r="C1433" s="33"/>
      <c r="F1433" s="34"/>
    </row>
    <row r="1434" ht="14.25" customHeight="1">
      <c r="B1434" s="33"/>
      <c r="C1434" s="33"/>
      <c r="F1434" s="34"/>
    </row>
    <row r="1435" ht="14.25" customHeight="1">
      <c r="B1435" s="33"/>
      <c r="C1435" s="33"/>
      <c r="F1435" s="34"/>
    </row>
    <row r="1436" ht="14.25" customHeight="1">
      <c r="B1436" s="33"/>
      <c r="C1436" s="33"/>
      <c r="F1436" s="34"/>
    </row>
    <row r="1437" ht="14.25" customHeight="1">
      <c r="B1437" s="33"/>
      <c r="C1437" s="33"/>
      <c r="F1437" s="34"/>
    </row>
    <row r="1438" ht="14.25" customHeight="1">
      <c r="B1438" s="33"/>
      <c r="C1438" s="33"/>
      <c r="F1438" s="34"/>
    </row>
    <row r="1439" ht="14.25" customHeight="1">
      <c r="B1439" s="33"/>
      <c r="C1439" s="33"/>
      <c r="F1439" s="34"/>
    </row>
    <row r="1440" ht="14.25" customHeight="1">
      <c r="B1440" s="33"/>
      <c r="C1440" s="33"/>
      <c r="F1440" s="34"/>
    </row>
    <row r="1441" ht="14.25" customHeight="1">
      <c r="B1441" s="33"/>
      <c r="C1441" s="33"/>
      <c r="F1441" s="34"/>
    </row>
    <row r="1442" ht="14.25" customHeight="1">
      <c r="B1442" s="33"/>
      <c r="C1442" s="33"/>
      <c r="F1442" s="34"/>
    </row>
    <row r="1443" ht="14.25" customHeight="1">
      <c r="B1443" s="33"/>
      <c r="C1443" s="33"/>
      <c r="F1443" s="34"/>
    </row>
    <row r="1444" ht="14.25" customHeight="1">
      <c r="B1444" s="33"/>
      <c r="C1444" s="33"/>
      <c r="F1444" s="34"/>
    </row>
    <row r="1445" ht="14.25" customHeight="1">
      <c r="B1445" s="33"/>
      <c r="C1445" s="33"/>
      <c r="F1445" s="34"/>
    </row>
    <row r="1446" ht="14.25" customHeight="1">
      <c r="B1446" s="33"/>
      <c r="C1446" s="33"/>
      <c r="F1446" s="34"/>
    </row>
    <row r="1447" ht="14.25" customHeight="1">
      <c r="B1447" s="33"/>
      <c r="C1447" s="33"/>
      <c r="F1447" s="34"/>
    </row>
    <row r="1448" ht="14.25" customHeight="1">
      <c r="B1448" s="33"/>
      <c r="C1448" s="33"/>
      <c r="F1448" s="34"/>
    </row>
    <row r="1449" ht="14.25" customHeight="1">
      <c r="B1449" s="33"/>
      <c r="C1449" s="33"/>
      <c r="F1449" s="34"/>
    </row>
    <row r="1450" ht="14.25" customHeight="1">
      <c r="B1450" s="33"/>
      <c r="C1450" s="33"/>
      <c r="F1450" s="34"/>
    </row>
    <row r="1451" ht="14.25" customHeight="1">
      <c r="B1451" s="33"/>
      <c r="C1451" s="33"/>
      <c r="F1451" s="34"/>
    </row>
    <row r="1452" ht="14.25" customHeight="1">
      <c r="B1452" s="33"/>
      <c r="C1452" s="33"/>
      <c r="F1452" s="34"/>
    </row>
    <row r="1453" ht="14.25" customHeight="1">
      <c r="B1453" s="33"/>
      <c r="C1453" s="33"/>
      <c r="F1453" s="34"/>
    </row>
    <row r="1454" ht="14.25" customHeight="1">
      <c r="B1454" s="33"/>
      <c r="C1454" s="33"/>
      <c r="F1454" s="34"/>
    </row>
    <row r="1455" ht="14.25" customHeight="1">
      <c r="B1455" s="33"/>
      <c r="C1455" s="33"/>
      <c r="F1455" s="34"/>
    </row>
    <row r="1456" ht="14.25" customHeight="1">
      <c r="B1456" s="33"/>
      <c r="C1456" s="33"/>
      <c r="F1456" s="34"/>
    </row>
    <row r="1457" ht="14.25" customHeight="1">
      <c r="B1457" s="33"/>
      <c r="C1457" s="33"/>
      <c r="F1457" s="34"/>
    </row>
    <row r="1458" ht="14.25" customHeight="1">
      <c r="B1458" s="33"/>
      <c r="C1458" s="33"/>
      <c r="F1458" s="34"/>
    </row>
    <row r="1459" ht="14.25" customHeight="1">
      <c r="B1459" s="33"/>
      <c r="C1459" s="33"/>
      <c r="F1459" s="34"/>
    </row>
    <row r="1460" ht="14.25" customHeight="1">
      <c r="B1460" s="33"/>
      <c r="C1460" s="33"/>
      <c r="F1460" s="34"/>
    </row>
    <row r="1461" ht="14.25" customHeight="1">
      <c r="B1461" s="33"/>
      <c r="C1461" s="33"/>
      <c r="F1461" s="34"/>
    </row>
    <row r="1462" ht="14.25" customHeight="1">
      <c r="B1462" s="33"/>
      <c r="C1462" s="33"/>
      <c r="F1462" s="34"/>
    </row>
    <row r="1463" ht="14.25" customHeight="1">
      <c r="B1463" s="33"/>
      <c r="C1463" s="33"/>
      <c r="F1463" s="34"/>
    </row>
    <row r="1464" ht="14.25" customHeight="1">
      <c r="B1464" s="33"/>
      <c r="C1464" s="33"/>
      <c r="F1464" s="34"/>
    </row>
    <row r="1465" ht="14.25" customHeight="1">
      <c r="B1465" s="33"/>
      <c r="C1465" s="33"/>
      <c r="F1465" s="34"/>
    </row>
    <row r="1466" ht="14.25" customHeight="1">
      <c r="B1466" s="33"/>
      <c r="C1466" s="33"/>
      <c r="F1466" s="34"/>
    </row>
    <row r="1467" ht="14.25" customHeight="1">
      <c r="B1467" s="33"/>
      <c r="C1467" s="33"/>
      <c r="F1467" s="34"/>
    </row>
    <row r="1468" ht="14.25" customHeight="1">
      <c r="B1468" s="33"/>
      <c r="C1468" s="33"/>
      <c r="F1468" s="34"/>
    </row>
    <row r="1469" ht="14.25" customHeight="1">
      <c r="B1469" s="33"/>
      <c r="C1469" s="33"/>
      <c r="F1469" s="34"/>
    </row>
    <row r="1470" ht="14.25" customHeight="1">
      <c r="B1470" s="33"/>
      <c r="C1470" s="33"/>
      <c r="F1470" s="34"/>
    </row>
    <row r="1471" ht="14.25" customHeight="1">
      <c r="B1471" s="33"/>
      <c r="C1471" s="33"/>
      <c r="F1471" s="34"/>
    </row>
    <row r="1472" ht="14.25" customHeight="1">
      <c r="B1472" s="33"/>
      <c r="C1472" s="33"/>
      <c r="F1472" s="34"/>
    </row>
    <row r="1473" ht="14.25" customHeight="1">
      <c r="B1473" s="33"/>
      <c r="C1473" s="33"/>
      <c r="F1473" s="34"/>
    </row>
    <row r="1474" ht="14.25" customHeight="1">
      <c r="B1474" s="33"/>
      <c r="C1474" s="33"/>
      <c r="F1474" s="34"/>
    </row>
    <row r="1475" ht="14.25" customHeight="1">
      <c r="B1475" s="33"/>
      <c r="C1475" s="33"/>
      <c r="F1475" s="34"/>
    </row>
    <row r="1476" ht="14.25" customHeight="1">
      <c r="B1476" s="33"/>
      <c r="C1476" s="33"/>
      <c r="F1476" s="34"/>
    </row>
    <row r="1477" ht="14.25" customHeight="1">
      <c r="B1477" s="33"/>
      <c r="C1477" s="33"/>
      <c r="F1477" s="34"/>
    </row>
    <row r="1478" ht="14.25" customHeight="1">
      <c r="B1478" s="33"/>
      <c r="C1478" s="33"/>
      <c r="F1478" s="34"/>
    </row>
    <row r="1479" ht="14.25" customHeight="1">
      <c r="B1479" s="33"/>
      <c r="C1479" s="33"/>
      <c r="F1479" s="34"/>
    </row>
    <row r="1480" ht="14.25" customHeight="1">
      <c r="B1480" s="33"/>
      <c r="C1480" s="33"/>
      <c r="F1480" s="34"/>
    </row>
    <row r="1481" ht="14.25" customHeight="1">
      <c r="B1481" s="33"/>
      <c r="C1481" s="33"/>
      <c r="F1481" s="34"/>
    </row>
    <row r="1482" ht="14.25" customHeight="1">
      <c r="B1482" s="33"/>
      <c r="C1482" s="33"/>
      <c r="F1482" s="34"/>
    </row>
    <row r="1483" ht="14.25" customHeight="1">
      <c r="B1483" s="33"/>
      <c r="C1483" s="33"/>
      <c r="F1483" s="34"/>
    </row>
    <row r="1484" ht="14.25" customHeight="1">
      <c r="B1484" s="33"/>
      <c r="C1484" s="33"/>
      <c r="F1484" s="34"/>
    </row>
    <row r="1485" ht="14.25" customHeight="1">
      <c r="B1485" s="33"/>
      <c r="C1485" s="33"/>
      <c r="F1485" s="34"/>
    </row>
    <row r="1486" ht="14.25" customHeight="1">
      <c r="B1486" s="33"/>
      <c r="C1486" s="33"/>
      <c r="F1486" s="34"/>
    </row>
    <row r="1487" ht="14.25" customHeight="1">
      <c r="B1487" s="33"/>
      <c r="C1487" s="33"/>
      <c r="F1487" s="34"/>
    </row>
    <row r="1488" ht="14.25" customHeight="1">
      <c r="B1488" s="33"/>
      <c r="C1488" s="33"/>
      <c r="F1488" s="34"/>
    </row>
    <row r="1489" ht="14.25" customHeight="1">
      <c r="B1489" s="33"/>
      <c r="C1489" s="33"/>
      <c r="F1489" s="34"/>
    </row>
    <row r="1490" ht="14.25" customHeight="1">
      <c r="B1490" s="33"/>
      <c r="C1490" s="33"/>
      <c r="F1490" s="34"/>
    </row>
    <row r="1491" ht="14.25" customHeight="1">
      <c r="B1491" s="33"/>
      <c r="C1491" s="33"/>
      <c r="F1491" s="34"/>
    </row>
    <row r="1492" ht="14.25" customHeight="1">
      <c r="B1492" s="33"/>
      <c r="C1492" s="33"/>
      <c r="F1492" s="34"/>
    </row>
    <row r="1493" ht="14.25" customHeight="1">
      <c r="B1493" s="33"/>
      <c r="C1493" s="33"/>
      <c r="F1493" s="34"/>
    </row>
    <row r="1494" ht="14.25" customHeight="1">
      <c r="B1494" s="33"/>
      <c r="C1494" s="33"/>
      <c r="F1494" s="34"/>
    </row>
    <row r="1495" ht="14.25" customHeight="1">
      <c r="B1495" s="33"/>
      <c r="C1495" s="33"/>
      <c r="F1495" s="34"/>
    </row>
    <row r="1496" ht="14.25" customHeight="1">
      <c r="B1496" s="33"/>
      <c r="C1496" s="33"/>
      <c r="F1496" s="34"/>
    </row>
    <row r="1497" ht="14.25" customHeight="1">
      <c r="B1497" s="33"/>
      <c r="C1497" s="33"/>
      <c r="F1497" s="34"/>
    </row>
    <row r="1498" ht="14.25" customHeight="1">
      <c r="B1498" s="33"/>
      <c r="C1498" s="33"/>
      <c r="F1498" s="34"/>
    </row>
    <row r="1499" ht="14.25" customHeight="1">
      <c r="B1499" s="33"/>
      <c r="C1499" s="33"/>
      <c r="F1499" s="34"/>
    </row>
    <row r="1500" ht="14.25" customHeight="1">
      <c r="B1500" s="33"/>
      <c r="C1500" s="33"/>
      <c r="F1500" s="34"/>
    </row>
    <row r="1501" ht="14.25" customHeight="1">
      <c r="B1501" s="33"/>
      <c r="C1501" s="33"/>
      <c r="F1501" s="34"/>
    </row>
    <row r="1502" ht="14.25" customHeight="1">
      <c r="B1502" s="33"/>
      <c r="C1502" s="33"/>
      <c r="F1502" s="34"/>
    </row>
    <row r="1503" ht="14.25" customHeight="1">
      <c r="B1503" s="33"/>
      <c r="C1503" s="33"/>
      <c r="F1503" s="34"/>
    </row>
    <row r="1504" ht="14.25" customHeight="1">
      <c r="B1504" s="33"/>
      <c r="C1504" s="33"/>
      <c r="F1504" s="34"/>
    </row>
    <row r="1505" ht="14.25" customHeight="1">
      <c r="B1505" s="33"/>
      <c r="C1505" s="33"/>
      <c r="F1505" s="34"/>
    </row>
    <row r="1506" ht="14.25" customHeight="1">
      <c r="B1506" s="33"/>
      <c r="C1506" s="33"/>
      <c r="F1506" s="34"/>
    </row>
    <row r="1507" ht="14.25" customHeight="1">
      <c r="B1507" s="33"/>
      <c r="C1507" s="33"/>
      <c r="F1507" s="34"/>
    </row>
    <row r="1508" ht="14.25" customHeight="1">
      <c r="B1508" s="33"/>
      <c r="C1508" s="33"/>
      <c r="F1508" s="34"/>
    </row>
    <row r="1509" ht="14.25" customHeight="1">
      <c r="B1509" s="33"/>
      <c r="C1509" s="33"/>
      <c r="F1509" s="34"/>
    </row>
    <row r="1510" ht="14.25" customHeight="1">
      <c r="B1510" s="33"/>
      <c r="C1510" s="33"/>
      <c r="F1510" s="34"/>
    </row>
    <row r="1511" ht="14.25" customHeight="1">
      <c r="B1511" s="33"/>
      <c r="C1511" s="33"/>
      <c r="F1511" s="34"/>
    </row>
    <row r="1512" ht="14.25" customHeight="1">
      <c r="B1512" s="33"/>
      <c r="C1512" s="33"/>
      <c r="F1512" s="34"/>
    </row>
    <row r="1513" ht="14.25" customHeight="1">
      <c r="B1513" s="33"/>
      <c r="C1513" s="33"/>
      <c r="F1513" s="3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5.63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</row>
    <row r="2">
      <c r="A2" s="35" t="str">
        <f>IF(OR(COUNTBLANK(delivery_dataset!A1:J987) &gt; 0, SUMPRODUCT(ISERROR(delivery_dataset!A1:J987)) &gt; 0), "There are " &amp; COUNTBLANK(delivery_dataset!A1:J987) &amp; " blank values and " &amp; SUMPRODUCT(ISERROR(delivery_dataset!A1:J987)) &amp; " error values in the dataset", "")</f>
        <v>There are 14 blank values and 0 error values in the dataset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</row>
    <row r="3">
      <c r="A3" s="35"/>
      <c r="B3" s="36" t="str">
        <f>delivery_dataset!A1</f>
        <v>delivery_id</v>
      </c>
      <c r="C3" s="37" t="str">
        <f>delivery_dataset!B1</f>
        <v>delivery_start</v>
      </c>
      <c r="D3" s="37" t="str">
        <f>delivery_dataset!C1</f>
        <v>delivery_end</v>
      </c>
      <c r="E3" s="36" t="str">
        <f>delivery_dataset!D1</f>
        <v>delivery_distance(KM)</v>
      </c>
      <c r="F3" s="36" t="str">
        <f>delivery_dataset!E1</f>
        <v>delivery_weight</v>
      </c>
      <c r="G3" s="38" t="str">
        <f>delivery_dataset!F1</f>
        <v>delivery_cost</v>
      </c>
      <c r="H3" s="36" t="str">
        <f>delivery_dataset!G1</f>
        <v>delivery_status</v>
      </c>
      <c r="I3" s="36" t="str">
        <f>delivery_dataset!H1</f>
        <v>delivery_rating</v>
      </c>
      <c r="J3" s="36" t="str">
        <f>delivery_dataset!I1</f>
        <v>cust_id</v>
      </c>
      <c r="K3" s="36" t="str">
        <f>delivery_dataset!J1</f>
        <v>driver_id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</row>
    <row r="4">
      <c r="A4" s="39" t="s">
        <v>3698</v>
      </c>
      <c r="B4" s="40">
        <f>COUNTBLANK(delivery_dataset!A1:A987)</f>
        <v>0</v>
      </c>
      <c r="C4" s="40">
        <f>COUNTBLANK(delivery_dataset!B1:B987)</f>
        <v>0</v>
      </c>
      <c r="D4" s="40">
        <f>COUNTBLANK(delivery_dataset!C1:C987)</f>
        <v>0</v>
      </c>
      <c r="E4" s="40">
        <f>COUNTBLANK(delivery_dataset!D1:D987)</f>
        <v>0</v>
      </c>
      <c r="F4" s="40">
        <f>COUNTBLANK(delivery_dataset!E1:E987)</f>
        <v>0</v>
      </c>
      <c r="G4" s="40">
        <f>COUNTBLANK(delivery_dataset!F1:F987)</f>
        <v>6</v>
      </c>
      <c r="H4" s="40">
        <f>COUNTBLANK(delivery_dataset!G1:G987)</f>
        <v>0</v>
      </c>
      <c r="I4" s="40">
        <f>COUNTBLANK(delivery_dataset!H1:H987)</f>
        <v>8</v>
      </c>
      <c r="J4" s="40">
        <f>COUNTBLANK(delivery_dataset!I1:I987)</f>
        <v>0</v>
      </c>
      <c r="K4" s="40">
        <f>COUNTBLANK(delivery_dataset!J1:J987)</f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</row>
    <row r="5">
      <c r="A5" s="39" t="s">
        <v>3699</v>
      </c>
      <c r="B5" s="40">
        <f>SUMPRODUCT(ISERROR(delivery_dataset!A1:A987))</f>
        <v>0</v>
      </c>
      <c r="C5" s="40">
        <f>SUMPRODUCT(ISERROR(delivery_dataset!B1:B987))</f>
        <v>0</v>
      </c>
      <c r="D5" s="40">
        <f>SUMPRODUCT(ISERROR(delivery_dataset!C1:C987))</f>
        <v>0</v>
      </c>
      <c r="E5" s="40">
        <f>SUMPRODUCT(ISERROR(delivery_dataset!D1:D987))</f>
        <v>0</v>
      </c>
      <c r="F5" s="40">
        <f>SUMPRODUCT(ISERROR(delivery_dataset!E1:E987))</f>
        <v>0</v>
      </c>
      <c r="G5" s="40">
        <f>SUMPRODUCT(ISERROR(delivery_dataset!F1:F987))</f>
        <v>0</v>
      </c>
      <c r="H5" s="40">
        <f>SUMPRODUCT(ISERROR(delivery_dataset!G1:G987))</f>
        <v>0</v>
      </c>
      <c r="I5" s="40">
        <f>SUMPRODUCT(ISERROR(delivery_dataset!H1:H987))</f>
        <v>0</v>
      </c>
      <c r="J5" s="40">
        <f>SUMPRODUCT(ISERROR(delivery_dataset!I1:I987))</f>
        <v>0</v>
      </c>
      <c r="K5" s="40">
        <f>SUMPRODUCT(ISERROR(delivery_dataset!J1:J987))</f>
        <v>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</row>
    <row r="8">
      <c r="A8" s="41" t="s">
        <v>3700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41" t="s">
        <v>3701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</row>
    <row r="9">
      <c r="A9" s="36" t="str">
        <f>delivery_dataset!A1</f>
        <v>delivery_id</v>
      </c>
      <c r="B9" s="37" t="str">
        <f>delivery_dataset!B1</f>
        <v>delivery_start</v>
      </c>
      <c r="C9" s="37" t="str">
        <f>delivery_dataset!C1</f>
        <v>delivery_end</v>
      </c>
      <c r="D9" s="36" t="str">
        <f>delivery_dataset!D1</f>
        <v>delivery_distance(KM)</v>
      </c>
      <c r="E9" s="36" t="str">
        <f>delivery_dataset!E1</f>
        <v>delivery_weight</v>
      </c>
      <c r="F9" s="38" t="str">
        <f>delivery_dataset!F1</f>
        <v>delivery_cost</v>
      </c>
      <c r="G9" s="36" t="str">
        <f>delivery_dataset!G1</f>
        <v>delivery_status</v>
      </c>
      <c r="H9" s="36" t="str">
        <f>delivery_dataset!H1</f>
        <v>delivery_rating</v>
      </c>
      <c r="I9" s="36" t="str">
        <f>delivery_dataset!I1</f>
        <v>cust_id</v>
      </c>
      <c r="J9" s="36" t="str">
        <f>delivery_dataset!J1</f>
        <v>driver_id</v>
      </c>
      <c r="K9" s="35"/>
      <c r="L9" s="36" t="str">
        <f>delivery_dataset!A1</f>
        <v>delivery_id</v>
      </c>
      <c r="M9" s="37" t="str">
        <f>delivery_dataset!B1</f>
        <v>delivery_start</v>
      </c>
      <c r="N9" s="37" t="str">
        <f>delivery_dataset!C1</f>
        <v>delivery_end</v>
      </c>
      <c r="O9" s="36" t="str">
        <f>delivery_dataset!D1</f>
        <v>delivery_distance(KM)</v>
      </c>
      <c r="P9" s="36" t="str">
        <f>delivery_dataset!E1</f>
        <v>delivery_weight</v>
      </c>
      <c r="Q9" s="38" t="str">
        <f>delivery_dataset!F1</f>
        <v>delivery_cost</v>
      </c>
      <c r="R9" s="36" t="str">
        <f>delivery_dataset!G1</f>
        <v>delivery_status</v>
      </c>
      <c r="S9" s="36" t="str">
        <f>delivery_dataset!H1</f>
        <v>delivery_rating</v>
      </c>
      <c r="T9" s="36" t="str">
        <f>delivery_dataset!I1</f>
        <v>cust_id</v>
      </c>
      <c r="U9" s="36" t="str">
        <f>delivery_dataset!J1</f>
        <v>driver_id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</row>
    <row r="10">
      <c r="A10" s="40" t="str">
        <f>IFERROR(__xludf.DUMMYFUNCTION("FILTER(delivery_dataset!A1:J987, ISBLANK(delivery_dataset!F1:F987))"),"d8191i60")</f>
        <v>d8191i60</v>
      </c>
      <c r="B10" s="42">
        <f>IFERROR(__xludf.DUMMYFUNCTION("""COMPUTED_VALUE"""),45088.0)</f>
        <v>45088</v>
      </c>
      <c r="C10" s="42">
        <f>IFERROR(__xludf.DUMMYFUNCTION("""COMPUTED_VALUE"""),45093.0)</f>
        <v>45093</v>
      </c>
      <c r="D10" s="40">
        <f>IFERROR(__xludf.DUMMYFUNCTION("""COMPUTED_VALUE"""),1.0)</f>
        <v>1</v>
      </c>
      <c r="E10" s="40">
        <f>IFERROR(__xludf.DUMMYFUNCTION("""COMPUTED_VALUE"""),1.0)</f>
        <v>1</v>
      </c>
      <c r="F10" s="43"/>
      <c r="G10" s="40" t="str">
        <f>IFERROR(__xludf.DUMMYFUNCTION("""COMPUTED_VALUE"""),"Delivered")</f>
        <v>Delivered</v>
      </c>
      <c r="H10" s="40">
        <f>IFERROR(__xludf.DUMMYFUNCTION("""COMPUTED_VALUE"""),4.0)</f>
        <v>4</v>
      </c>
      <c r="I10" s="40" t="str">
        <f>IFERROR(__xludf.DUMMYFUNCTION("""COMPUTED_VALUE"""),"c6127386")</f>
        <v>c6127386</v>
      </c>
      <c r="J10" s="44" t="str">
        <f>IFERROR(__xludf.DUMMYFUNCTION("""COMPUTED_VALUE"""),"d298zv28")</f>
        <v>d298zv28</v>
      </c>
      <c r="K10" s="35"/>
      <c r="L10" s="40" t="str">
        <f>IFERROR(__xludf.DUMMYFUNCTION("FILTER(delivery_dataset!A1:J987, ISBLANK(delivery_dataset!H1:H987))"),"d8011y21")</f>
        <v>d8011y21</v>
      </c>
      <c r="M10" s="42">
        <f>IFERROR(__xludf.DUMMYFUNCTION("""COMPUTED_VALUE"""),45079.0)</f>
        <v>45079</v>
      </c>
      <c r="N10" s="42">
        <f>IFERROR(__xludf.DUMMYFUNCTION("""COMPUTED_VALUE"""),45080.0)</f>
        <v>45080</v>
      </c>
      <c r="O10" s="40">
        <f>IFERROR(__xludf.DUMMYFUNCTION("""COMPUTED_VALUE"""),14.0)</f>
        <v>14</v>
      </c>
      <c r="P10" s="40">
        <f>IFERROR(__xludf.DUMMYFUNCTION("""COMPUTED_VALUE"""),10.0)</f>
        <v>10</v>
      </c>
      <c r="Q10" s="43">
        <f>IFERROR(__xludf.DUMMYFUNCTION("""COMPUTED_VALUE"""),30000.0)</f>
        <v>30000</v>
      </c>
      <c r="R10" s="40" t="str">
        <f>IFERROR(__xludf.DUMMYFUNCTION("""COMPUTED_VALUE"""),"Failed")</f>
        <v>Failed</v>
      </c>
      <c r="S10" s="40"/>
      <c r="T10" s="40" t="str">
        <f>IFERROR(__xludf.DUMMYFUNCTION("""COMPUTED_VALUE"""),"c374dp69")</f>
        <v>c374dp69</v>
      </c>
      <c r="U10" s="44" t="str">
        <f>IFERROR(__xludf.DUMMYFUNCTION("""COMPUTED_VALUE"""),"d293in45")</f>
        <v>d293in45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</row>
    <row r="11">
      <c r="A11" s="40" t="str">
        <f>IFERROR(__xludf.DUMMYFUNCTION("""COMPUTED_VALUE"""),"d1066u70")</f>
        <v>d1066u70</v>
      </c>
      <c r="B11" s="45">
        <f>IFERROR(__xludf.DUMMYFUNCTION("""COMPUTED_VALUE"""),45093.0)</f>
        <v>45093</v>
      </c>
      <c r="C11" s="42">
        <f>IFERROR(__xludf.DUMMYFUNCTION("""COMPUTED_VALUE"""),45094.0)</f>
        <v>45094</v>
      </c>
      <c r="D11" s="40">
        <f>IFERROR(__xludf.DUMMYFUNCTION("""COMPUTED_VALUE"""),10.0)</f>
        <v>10</v>
      </c>
      <c r="E11" s="40">
        <f>IFERROR(__xludf.DUMMYFUNCTION("""COMPUTED_VALUE"""),5.0)</f>
        <v>5</v>
      </c>
      <c r="F11" s="43"/>
      <c r="G11" s="40" t="str">
        <f>IFERROR(__xludf.DUMMYFUNCTION("""COMPUTED_VALUE"""),"Delivered")</f>
        <v>Delivered</v>
      </c>
      <c r="H11" s="40">
        <f>IFERROR(__xludf.DUMMYFUNCTION("""COMPUTED_VALUE"""),5.0)</f>
        <v>5</v>
      </c>
      <c r="I11" s="40" t="str">
        <f>IFERROR(__xludf.DUMMYFUNCTION("""COMPUTED_VALUE"""),"c447lp81")</f>
        <v>c447lp81</v>
      </c>
      <c r="J11" s="44" t="str">
        <f>IFERROR(__xludf.DUMMYFUNCTION("""COMPUTED_VALUE"""),"d263cc82")</f>
        <v>d263cc82</v>
      </c>
      <c r="K11" s="35"/>
      <c r="L11" s="40" t="str">
        <f>IFERROR(__xludf.DUMMYFUNCTION("""COMPUTED_VALUE"""),"d668il17")</f>
        <v>d668il17</v>
      </c>
      <c r="M11" s="45">
        <f>IFERROR(__xludf.DUMMYFUNCTION("""COMPUTED_VALUE"""),45080.0)</f>
        <v>45080</v>
      </c>
      <c r="N11" s="42">
        <f>IFERROR(__xludf.DUMMYFUNCTION("""COMPUTED_VALUE"""),45085.0)</f>
        <v>45085</v>
      </c>
      <c r="O11" s="40">
        <f>IFERROR(__xludf.DUMMYFUNCTION("""COMPUTED_VALUE"""),22.0)</f>
        <v>22</v>
      </c>
      <c r="P11" s="40">
        <f>IFERROR(__xludf.DUMMYFUNCTION("""COMPUTED_VALUE"""),11.0)</f>
        <v>11</v>
      </c>
      <c r="Q11" s="43">
        <f>IFERROR(__xludf.DUMMYFUNCTION("""COMPUTED_VALUE"""),38600.0)</f>
        <v>38600</v>
      </c>
      <c r="R11" s="40" t="str">
        <f>IFERROR(__xludf.DUMMYFUNCTION("""COMPUTED_VALUE"""),"Failed")</f>
        <v>Failed</v>
      </c>
      <c r="S11" s="40"/>
      <c r="T11" s="40" t="str">
        <f>IFERROR(__xludf.DUMMYFUNCTION("""COMPUTED_VALUE"""),"c894jx19")</f>
        <v>c894jx19</v>
      </c>
      <c r="U11" s="44" t="str">
        <f>IFERROR(__xludf.DUMMYFUNCTION("""COMPUTED_VALUE"""),"d669p400")</f>
        <v>d669p400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</row>
    <row r="12">
      <c r="A12" s="40" t="str">
        <f>IFERROR(__xludf.DUMMYFUNCTION("""COMPUTED_VALUE"""),"d072ud11")</f>
        <v>d072ud11</v>
      </c>
      <c r="B12" s="45">
        <f>IFERROR(__xludf.DUMMYFUNCTION("""COMPUTED_VALUE"""),45096.0)</f>
        <v>45096</v>
      </c>
      <c r="C12" s="42">
        <f>IFERROR(__xludf.DUMMYFUNCTION("""COMPUTED_VALUE"""),45097.0)</f>
        <v>45097</v>
      </c>
      <c r="D12" s="40">
        <f>IFERROR(__xludf.DUMMYFUNCTION("""COMPUTED_VALUE"""),9.0)</f>
        <v>9</v>
      </c>
      <c r="E12" s="40">
        <f>IFERROR(__xludf.DUMMYFUNCTION("""COMPUTED_VALUE"""),10.0)</f>
        <v>10</v>
      </c>
      <c r="F12" s="43"/>
      <c r="G12" s="40" t="str">
        <f>IFERROR(__xludf.DUMMYFUNCTION("""COMPUTED_VALUE"""),"Delivered")</f>
        <v>Delivered</v>
      </c>
      <c r="H12" s="40">
        <f>IFERROR(__xludf.DUMMYFUNCTION("""COMPUTED_VALUE"""),5.0)</f>
        <v>5</v>
      </c>
      <c r="I12" s="40" t="str">
        <f>IFERROR(__xludf.DUMMYFUNCTION("""COMPUTED_VALUE"""),"c2997g24")</f>
        <v>c2997g24</v>
      </c>
      <c r="J12" s="44" t="str">
        <f>IFERROR(__xludf.DUMMYFUNCTION("""COMPUTED_VALUE"""),"d689vb78")</f>
        <v>d689vb78</v>
      </c>
      <c r="K12" s="35"/>
      <c r="L12" s="40" t="str">
        <f>IFERROR(__xludf.DUMMYFUNCTION("""COMPUTED_VALUE"""),"d076u065")</f>
        <v>d076u065</v>
      </c>
      <c r="M12" s="45">
        <f>IFERROR(__xludf.DUMMYFUNCTION("""COMPUTED_VALUE"""),45084.0)</f>
        <v>45084</v>
      </c>
      <c r="N12" s="42">
        <f>IFERROR(__xludf.DUMMYFUNCTION("""COMPUTED_VALUE"""),45087.0)</f>
        <v>45087</v>
      </c>
      <c r="O12" s="40">
        <f>IFERROR(__xludf.DUMMYFUNCTION("""COMPUTED_VALUE"""),14.0)</f>
        <v>14</v>
      </c>
      <c r="P12" s="40">
        <f>IFERROR(__xludf.DUMMYFUNCTION("""COMPUTED_VALUE"""),9.0)</f>
        <v>9</v>
      </c>
      <c r="Q12" s="43">
        <f>IFERROR(__xludf.DUMMYFUNCTION("""COMPUTED_VALUE"""),28000.0)</f>
        <v>28000</v>
      </c>
      <c r="R12" s="40" t="str">
        <f>IFERROR(__xludf.DUMMYFUNCTION("""COMPUTED_VALUE"""),"Failed")</f>
        <v>Failed</v>
      </c>
      <c r="S12" s="40"/>
      <c r="T12" s="40" t="str">
        <f>IFERROR(__xludf.DUMMYFUNCTION("""COMPUTED_VALUE"""),"c664jl33")</f>
        <v>c664jl33</v>
      </c>
      <c r="U12" s="44" t="str">
        <f>IFERROR(__xludf.DUMMYFUNCTION("""COMPUTED_VALUE"""),"d682x946")</f>
        <v>d682x946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</row>
    <row r="13">
      <c r="A13" s="40" t="str">
        <f>IFERROR(__xludf.DUMMYFUNCTION("""COMPUTED_VALUE"""),"d5521y10")</f>
        <v>d5521y10</v>
      </c>
      <c r="B13" s="45">
        <f>IFERROR(__xludf.DUMMYFUNCTION("""COMPUTED_VALUE"""),45096.0)</f>
        <v>45096</v>
      </c>
      <c r="C13" s="42">
        <f>IFERROR(__xludf.DUMMYFUNCTION("""COMPUTED_VALUE"""),45097.0)</f>
        <v>45097</v>
      </c>
      <c r="D13" s="40">
        <f>IFERROR(__xludf.DUMMYFUNCTION("""COMPUTED_VALUE"""),2.0)</f>
        <v>2</v>
      </c>
      <c r="E13" s="40">
        <f>IFERROR(__xludf.DUMMYFUNCTION("""COMPUTED_VALUE"""),1.0)</f>
        <v>1</v>
      </c>
      <c r="F13" s="43"/>
      <c r="G13" s="40" t="str">
        <f>IFERROR(__xludf.DUMMYFUNCTION("""COMPUTED_VALUE"""),"Delivered")</f>
        <v>Delivered</v>
      </c>
      <c r="H13" s="40">
        <f>IFERROR(__xludf.DUMMYFUNCTION("""COMPUTED_VALUE"""),5.0)</f>
        <v>5</v>
      </c>
      <c r="I13" s="40" t="str">
        <f>IFERROR(__xludf.DUMMYFUNCTION("""COMPUTED_VALUE"""),"c625o271")</f>
        <v>c625o271</v>
      </c>
      <c r="J13" s="44" t="str">
        <f>IFERROR(__xludf.DUMMYFUNCTION("""COMPUTED_VALUE"""),"d961zz31")</f>
        <v>d961zz31</v>
      </c>
      <c r="K13" s="35"/>
      <c r="L13" s="40" t="str">
        <f>IFERROR(__xludf.DUMMYFUNCTION("""COMPUTED_VALUE"""),"d261wc96")</f>
        <v>d261wc96</v>
      </c>
      <c r="M13" s="45">
        <f>IFERROR(__xludf.DUMMYFUNCTION("""COMPUTED_VALUE"""),45086.0)</f>
        <v>45086</v>
      </c>
      <c r="N13" s="42">
        <f>IFERROR(__xludf.DUMMYFUNCTION("""COMPUTED_VALUE"""),45090.0)</f>
        <v>45090</v>
      </c>
      <c r="O13" s="40">
        <f>IFERROR(__xludf.DUMMYFUNCTION("""COMPUTED_VALUE"""),3.0)</f>
        <v>3</v>
      </c>
      <c r="P13" s="40">
        <f>IFERROR(__xludf.DUMMYFUNCTION("""COMPUTED_VALUE"""),1.0)</f>
        <v>1</v>
      </c>
      <c r="Q13" s="43">
        <f>IFERROR(__xludf.DUMMYFUNCTION("""COMPUTED_VALUE"""),12000.0)</f>
        <v>12000</v>
      </c>
      <c r="R13" s="40" t="str">
        <f>IFERROR(__xludf.DUMMYFUNCTION("""COMPUTED_VALUE"""),"Failed")</f>
        <v>Failed</v>
      </c>
      <c r="S13" s="40"/>
      <c r="T13" s="40" t="str">
        <f>IFERROR(__xludf.DUMMYFUNCTION("""COMPUTED_VALUE"""),"c9012x49")</f>
        <v>c9012x49</v>
      </c>
      <c r="U13" s="44" t="str">
        <f>IFERROR(__xludf.DUMMYFUNCTION("""COMPUTED_VALUE"""),"d506ki34")</f>
        <v>d506ki34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</row>
    <row r="14">
      <c r="A14" s="40" t="str">
        <f>IFERROR(__xludf.DUMMYFUNCTION("""COMPUTED_VALUE"""),"d107gy49")</f>
        <v>d107gy49</v>
      </c>
      <c r="B14" s="45">
        <f>IFERROR(__xludf.DUMMYFUNCTION("""COMPUTED_VALUE"""),45101.0)</f>
        <v>45101</v>
      </c>
      <c r="C14" s="42">
        <f>IFERROR(__xludf.DUMMYFUNCTION("""COMPUTED_VALUE"""),45104.0)</f>
        <v>45104</v>
      </c>
      <c r="D14" s="40">
        <f>IFERROR(__xludf.DUMMYFUNCTION("""COMPUTED_VALUE"""),2.0)</f>
        <v>2</v>
      </c>
      <c r="E14" s="40">
        <f>IFERROR(__xludf.DUMMYFUNCTION("""COMPUTED_VALUE"""),3.0)</f>
        <v>3</v>
      </c>
      <c r="F14" s="43"/>
      <c r="G14" s="40" t="str">
        <f>IFERROR(__xludf.DUMMYFUNCTION("""COMPUTED_VALUE"""),"Delivered")</f>
        <v>Delivered</v>
      </c>
      <c r="H14" s="40">
        <f>IFERROR(__xludf.DUMMYFUNCTION("""COMPUTED_VALUE"""),4.0)</f>
        <v>4</v>
      </c>
      <c r="I14" s="40" t="str">
        <f>IFERROR(__xludf.DUMMYFUNCTION("""COMPUTED_VALUE"""),"c698tl24")</f>
        <v>c698tl24</v>
      </c>
      <c r="J14" s="44" t="str">
        <f>IFERROR(__xludf.DUMMYFUNCTION("""COMPUTED_VALUE"""),"d685rx07")</f>
        <v>d685rx07</v>
      </c>
      <c r="K14" s="35"/>
      <c r="L14" s="40" t="str">
        <f>IFERROR(__xludf.DUMMYFUNCTION("""COMPUTED_VALUE"""),"d3636137")</f>
        <v>d3636137</v>
      </c>
      <c r="M14" s="45">
        <f>IFERROR(__xludf.DUMMYFUNCTION("""COMPUTED_VALUE"""),45090.0)</f>
        <v>45090</v>
      </c>
      <c r="N14" s="42">
        <f>IFERROR(__xludf.DUMMYFUNCTION("""COMPUTED_VALUE"""),45095.0)</f>
        <v>45095</v>
      </c>
      <c r="O14" s="40">
        <f>IFERROR(__xludf.DUMMYFUNCTION("""COMPUTED_VALUE"""),5.0)</f>
        <v>5</v>
      </c>
      <c r="P14" s="40">
        <f>IFERROR(__xludf.DUMMYFUNCTION("""COMPUTED_VALUE"""),1.0)</f>
        <v>1</v>
      </c>
      <c r="Q14" s="43">
        <f>IFERROR(__xludf.DUMMYFUNCTION("""COMPUTED_VALUE"""),12000.0)</f>
        <v>12000</v>
      </c>
      <c r="R14" s="40" t="str">
        <f>IFERROR(__xludf.DUMMYFUNCTION("""COMPUTED_VALUE"""),"Failed")</f>
        <v>Failed</v>
      </c>
      <c r="S14" s="40"/>
      <c r="T14" s="40" t="str">
        <f>IFERROR(__xludf.DUMMYFUNCTION("""COMPUTED_VALUE"""),"c441dk36")</f>
        <v>c441dk36</v>
      </c>
      <c r="U14" s="44" t="str">
        <f>IFERROR(__xludf.DUMMYFUNCTION("""COMPUTED_VALUE"""),"d000dc28")</f>
        <v>d000dc28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</row>
    <row r="15">
      <c r="A15" s="40" t="str">
        <f>IFERROR(__xludf.DUMMYFUNCTION("""COMPUTED_VALUE"""),"d621jy47")</f>
        <v>d621jy47</v>
      </c>
      <c r="B15" s="45">
        <f>IFERROR(__xludf.DUMMYFUNCTION("""COMPUTED_VALUE"""),45103.0)</f>
        <v>45103</v>
      </c>
      <c r="C15" s="42">
        <f>IFERROR(__xludf.DUMMYFUNCTION("""COMPUTED_VALUE"""),45106.0)</f>
        <v>45106</v>
      </c>
      <c r="D15" s="40">
        <f>IFERROR(__xludf.DUMMYFUNCTION("""COMPUTED_VALUE"""),13.0)</f>
        <v>13</v>
      </c>
      <c r="E15" s="40">
        <f>IFERROR(__xludf.DUMMYFUNCTION("""COMPUTED_VALUE"""),5.0)</f>
        <v>5</v>
      </c>
      <c r="F15" s="43"/>
      <c r="G15" s="40" t="str">
        <f>IFERROR(__xludf.DUMMYFUNCTION("""COMPUTED_VALUE"""),"Delivered")</f>
        <v>Delivered</v>
      </c>
      <c r="H15" s="40">
        <f>IFERROR(__xludf.DUMMYFUNCTION("""COMPUTED_VALUE"""),4.0)</f>
        <v>4</v>
      </c>
      <c r="I15" s="40" t="str">
        <f>IFERROR(__xludf.DUMMYFUNCTION("""COMPUTED_VALUE"""),"c624ci61")</f>
        <v>c624ci61</v>
      </c>
      <c r="J15" s="44" t="str">
        <f>IFERROR(__xludf.DUMMYFUNCTION("""COMPUTED_VALUE"""),"d095ns79")</f>
        <v>d095ns79</v>
      </c>
      <c r="K15" s="35"/>
      <c r="L15" s="40" t="str">
        <f>IFERROR(__xludf.DUMMYFUNCTION("""COMPUTED_VALUE"""),"d822pa86")</f>
        <v>d822pa86</v>
      </c>
      <c r="M15" s="45">
        <f>IFERROR(__xludf.DUMMYFUNCTION("""COMPUTED_VALUE"""),45093.0)</f>
        <v>45093</v>
      </c>
      <c r="N15" s="42">
        <f>IFERROR(__xludf.DUMMYFUNCTION("""COMPUTED_VALUE"""),45098.0)</f>
        <v>45098</v>
      </c>
      <c r="O15" s="40">
        <f>IFERROR(__xludf.DUMMYFUNCTION("""COMPUTED_VALUE"""),4.0)</f>
        <v>4</v>
      </c>
      <c r="P15" s="40">
        <f>IFERROR(__xludf.DUMMYFUNCTION("""COMPUTED_VALUE"""),2.0)</f>
        <v>2</v>
      </c>
      <c r="Q15" s="43">
        <f>IFERROR(__xludf.DUMMYFUNCTION("""COMPUTED_VALUE"""),14000.0)</f>
        <v>14000</v>
      </c>
      <c r="R15" s="40" t="str">
        <f>IFERROR(__xludf.DUMMYFUNCTION("""COMPUTED_VALUE"""),"Failed")</f>
        <v>Failed</v>
      </c>
      <c r="S15" s="40"/>
      <c r="T15" s="40" t="str">
        <f>IFERROR(__xludf.DUMMYFUNCTION("""COMPUTED_VALUE"""),"c2174g55")</f>
        <v>c2174g55</v>
      </c>
      <c r="U15" s="44" t="str">
        <f>IFERROR(__xludf.DUMMYFUNCTION("""COMPUTED_VALUE"""),"d173jf22")</f>
        <v>d173jf22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40" t="str">
        <f>IFERROR(__xludf.DUMMYFUNCTION("""COMPUTED_VALUE"""),"d321ce08")</f>
        <v>d321ce08</v>
      </c>
      <c r="M16" s="45">
        <f>IFERROR(__xludf.DUMMYFUNCTION("""COMPUTED_VALUE"""),45094.0)</f>
        <v>45094</v>
      </c>
      <c r="N16" s="42">
        <f>IFERROR(__xludf.DUMMYFUNCTION("""COMPUTED_VALUE"""),45099.0)</f>
        <v>45099</v>
      </c>
      <c r="O16" s="40">
        <f>IFERROR(__xludf.DUMMYFUNCTION("""COMPUTED_VALUE"""),5.0)</f>
        <v>5</v>
      </c>
      <c r="P16" s="40">
        <f>IFERROR(__xludf.DUMMYFUNCTION("""COMPUTED_VALUE"""),3.0)</f>
        <v>3</v>
      </c>
      <c r="Q16" s="43">
        <f>IFERROR(__xludf.DUMMYFUNCTION("""COMPUTED_VALUE"""),16000.0)</f>
        <v>16000</v>
      </c>
      <c r="R16" s="40" t="str">
        <f>IFERROR(__xludf.DUMMYFUNCTION("""COMPUTED_VALUE"""),"Failed")</f>
        <v>Failed</v>
      </c>
      <c r="S16" s="40"/>
      <c r="T16" s="40" t="str">
        <f>IFERROR(__xludf.DUMMYFUNCTION("""COMPUTED_VALUE"""),"c572w366")</f>
        <v>c572w366</v>
      </c>
      <c r="U16" s="44" t="str">
        <f>IFERROR(__xludf.DUMMYFUNCTION("""COMPUTED_VALUE"""),"d9198x07")</f>
        <v>d9198x07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</row>
    <row r="17">
      <c r="A17" s="41" t="s">
        <v>3702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40" t="str">
        <f>IFERROR(__xludf.DUMMYFUNCTION("""COMPUTED_VALUE"""),"d1436z43")</f>
        <v>d1436z43</v>
      </c>
      <c r="M17" s="45">
        <f>IFERROR(__xludf.DUMMYFUNCTION("""COMPUTED_VALUE"""),45103.0)</f>
        <v>45103</v>
      </c>
      <c r="N17" s="42">
        <f>IFERROR(__xludf.DUMMYFUNCTION("""COMPUTED_VALUE"""),45104.0)</f>
        <v>45104</v>
      </c>
      <c r="O17" s="40">
        <f>IFERROR(__xludf.DUMMYFUNCTION("""COMPUTED_VALUE"""),2.0)</f>
        <v>2</v>
      </c>
      <c r="P17" s="40">
        <f>IFERROR(__xludf.DUMMYFUNCTION("""COMPUTED_VALUE"""),3.0)</f>
        <v>3</v>
      </c>
      <c r="Q17" s="43">
        <f>IFERROR(__xludf.DUMMYFUNCTION("""COMPUTED_VALUE"""),16000.0)</f>
        <v>16000</v>
      </c>
      <c r="R17" s="40" t="str">
        <f>IFERROR(__xludf.DUMMYFUNCTION("""COMPUTED_VALUE"""),"Failed")</f>
        <v>Failed</v>
      </c>
      <c r="S17" s="40"/>
      <c r="T17" s="40" t="str">
        <f>IFERROR(__xludf.DUMMYFUNCTION("""COMPUTED_VALUE"""),"c194ct05")</f>
        <v>c194ct05</v>
      </c>
      <c r="U17" s="44" t="str">
        <f>IFERROR(__xludf.DUMMYFUNCTION("""COMPUTED_VALUE"""),"d000dc28")</f>
        <v>d000dc28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</row>
    <row r="18">
      <c r="A18" s="36" t="str">
        <f>delivery_dataset!A1</f>
        <v>delivery_id</v>
      </c>
      <c r="B18" s="37" t="str">
        <f>delivery_dataset!B1</f>
        <v>delivery_start</v>
      </c>
      <c r="C18" s="37" t="str">
        <f>delivery_dataset!C1</f>
        <v>delivery_end</v>
      </c>
      <c r="D18" s="36" t="str">
        <f>delivery_dataset!D1</f>
        <v>delivery_distance(KM)</v>
      </c>
      <c r="E18" s="36" t="str">
        <f>delivery_dataset!E1</f>
        <v>delivery_weight</v>
      </c>
      <c r="F18" s="38" t="str">
        <f>delivery_dataset!F1</f>
        <v>delivery_cost</v>
      </c>
      <c r="G18" s="36" t="str">
        <f>delivery_dataset!G1</f>
        <v>delivery_status</v>
      </c>
      <c r="H18" s="36" t="str">
        <f>delivery_dataset!H1</f>
        <v>delivery_rating</v>
      </c>
      <c r="I18" s="36" t="str">
        <f>delivery_dataset!I1</f>
        <v>cust_id</v>
      </c>
      <c r="J18" s="36" t="str">
        <f>delivery_dataset!J1</f>
        <v>driver_id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</row>
    <row r="19">
      <c r="A19" s="40" t="s">
        <v>3046</v>
      </c>
      <c r="B19" s="42">
        <v>45088.0</v>
      </c>
      <c r="C19" s="42">
        <v>45092.0</v>
      </c>
      <c r="D19" s="40">
        <v>1.0</v>
      </c>
      <c r="E19" s="40">
        <v>1.0</v>
      </c>
      <c r="F19" s="46">
        <f>AVERAGEIFS(delivery_dataset!F$2:F$987, delivery_dataset!D$2:D$987, D19, delivery_dataset!E$2:E$987, E19)</f>
        <v>12000</v>
      </c>
      <c r="G19" s="40" t="s">
        <v>2711</v>
      </c>
      <c r="H19" s="40">
        <v>4.0</v>
      </c>
      <c r="I19" s="40" t="s">
        <v>458</v>
      </c>
      <c r="J19" s="40" t="s">
        <v>2542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</row>
    <row r="20">
      <c r="A20" s="40" t="s">
        <v>3226</v>
      </c>
      <c r="B20" s="45">
        <v>45093.0</v>
      </c>
      <c r="C20" s="42">
        <v>45094.0</v>
      </c>
      <c r="D20" s="40">
        <v>10.0</v>
      </c>
      <c r="E20" s="40">
        <v>5.0</v>
      </c>
      <c r="F20" s="46">
        <f>AVERAGEIFS(delivery_dataset!F$2:F$987, delivery_dataset!D$2:D$987, D20, delivery_dataset!E$2:E$987, E20)</f>
        <v>20000</v>
      </c>
      <c r="G20" s="40" t="s">
        <v>2711</v>
      </c>
      <c r="H20" s="40">
        <v>5.0</v>
      </c>
      <c r="I20" s="40" t="s">
        <v>2049</v>
      </c>
      <c r="J20" s="40" t="s">
        <v>2662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</row>
    <row r="21">
      <c r="A21" s="40" t="s">
        <v>3330</v>
      </c>
      <c r="B21" s="45">
        <v>45096.0</v>
      </c>
      <c r="C21" s="42">
        <v>45097.0</v>
      </c>
      <c r="D21" s="40">
        <v>9.0</v>
      </c>
      <c r="E21" s="40">
        <v>10.0</v>
      </c>
      <c r="F21" s="46">
        <f>AVERAGEIFS(delivery_dataset!F$2:F$987, delivery_dataset!D$2:D$987, D21, delivery_dataset!E$2:E$987, E21)</f>
        <v>30000</v>
      </c>
      <c r="G21" s="40" t="s">
        <v>2711</v>
      </c>
      <c r="H21" s="40">
        <v>5.0</v>
      </c>
      <c r="I21" s="40" t="s">
        <v>676</v>
      </c>
      <c r="J21" s="40" t="s">
        <v>2537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</row>
    <row r="22">
      <c r="A22" s="40" t="s">
        <v>3331</v>
      </c>
      <c r="B22" s="45">
        <v>45096.0</v>
      </c>
      <c r="C22" s="42">
        <v>45097.0</v>
      </c>
      <c r="D22" s="40">
        <v>2.0</v>
      </c>
      <c r="E22" s="40">
        <v>1.0</v>
      </c>
      <c r="F22" s="46">
        <f>AVERAGEIFS(delivery_dataset!F$2:F$987, delivery_dataset!D$2:D$987, D22, delivery_dataset!E$2:E$987, E22)</f>
        <v>12000</v>
      </c>
      <c r="G22" s="40" t="s">
        <v>2711</v>
      </c>
      <c r="H22" s="40">
        <v>5.0</v>
      </c>
      <c r="I22" s="40" t="s">
        <v>70</v>
      </c>
      <c r="J22" s="40" t="s">
        <v>2622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</row>
    <row r="23">
      <c r="A23" s="40" t="s">
        <v>3494</v>
      </c>
      <c r="B23" s="45">
        <v>45101.0</v>
      </c>
      <c r="C23" s="42">
        <v>45104.0</v>
      </c>
      <c r="D23" s="40">
        <v>2.0</v>
      </c>
      <c r="E23" s="40">
        <v>3.0</v>
      </c>
      <c r="F23" s="46">
        <f>AVERAGEIFS(delivery_dataset!F$2:F$987, delivery_dataset!D$2:D$987, D23, delivery_dataset!E$2:E$987, E23)</f>
        <v>16000</v>
      </c>
      <c r="G23" s="40" t="s">
        <v>2711</v>
      </c>
      <c r="H23" s="40">
        <v>4.0</v>
      </c>
      <c r="I23" s="40" t="s">
        <v>1870</v>
      </c>
      <c r="J23" s="40" t="s">
        <v>2527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</row>
    <row r="24">
      <c r="A24" s="40" t="s">
        <v>3539</v>
      </c>
      <c r="B24" s="45">
        <v>45103.0</v>
      </c>
      <c r="C24" s="42">
        <v>45106.0</v>
      </c>
      <c r="D24" s="40">
        <v>13.0</v>
      </c>
      <c r="E24" s="40">
        <v>5.0</v>
      </c>
      <c r="F24" s="46">
        <f>AVERAGEIFS(delivery_dataset!F$2:F$987, delivery_dataset!D$2:D$987, D24, delivery_dataset!E$2:E$987, E24)</f>
        <v>20000</v>
      </c>
      <c r="G24" s="40" t="s">
        <v>2711</v>
      </c>
      <c r="H24" s="40">
        <v>4.0</v>
      </c>
      <c r="I24" s="40" t="s">
        <v>1351</v>
      </c>
      <c r="J24" s="40" t="s">
        <v>2587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</row>
    <row r="25">
      <c r="A25" s="4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</row>
    <row r="29">
      <c r="A29" s="41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</row>
    <row r="30">
      <c r="A30" s="48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</row>
    <row r="61">
      <c r="A61" s="41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  <c r="CX433" s="35"/>
      <c r="CY433" s="35"/>
      <c r="CZ433" s="35"/>
      <c r="DA433" s="35"/>
      <c r="DB433" s="35"/>
      <c r="DC433" s="35"/>
      <c r="DD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  <c r="CX434" s="35"/>
      <c r="CY434" s="35"/>
      <c r="CZ434" s="35"/>
      <c r="DA434" s="35"/>
      <c r="DB434" s="35"/>
      <c r="DC434" s="35"/>
      <c r="DD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  <c r="CX436" s="35"/>
      <c r="CY436" s="35"/>
      <c r="CZ436" s="35"/>
      <c r="DA436" s="35"/>
      <c r="DB436" s="35"/>
      <c r="DC436" s="35"/>
      <c r="DD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  <c r="CX437" s="35"/>
      <c r="CY437" s="35"/>
      <c r="CZ437" s="35"/>
      <c r="DA437" s="35"/>
      <c r="DB437" s="35"/>
      <c r="DC437" s="35"/>
      <c r="DD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  <c r="CX438" s="35"/>
      <c r="CY438" s="35"/>
      <c r="CZ438" s="35"/>
      <c r="DA438" s="35"/>
      <c r="DB438" s="35"/>
      <c r="DC438" s="35"/>
      <c r="DD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  <c r="CX439" s="35"/>
      <c r="CY439" s="35"/>
      <c r="CZ439" s="35"/>
      <c r="DA439" s="35"/>
      <c r="DB439" s="35"/>
      <c r="DC439" s="35"/>
      <c r="DD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  <c r="CX440" s="35"/>
      <c r="CY440" s="35"/>
      <c r="CZ440" s="35"/>
      <c r="DA440" s="35"/>
      <c r="DB440" s="35"/>
      <c r="DC440" s="35"/>
      <c r="DD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  <c r="CX441" s="35"/>
      <c r="CY441" s="35"/>
      <c r="CZ441" s="35"/>
      <c r="DA441" s="35"/>
      <c r="DB441" s="35"/>
      <c r="DC441" s="35"/>
      <c r="DD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  <c r="CX442" s="35"/>
      <c r="CY442" s="35"/>
      <c r="CZ442" s="35"/>
      <c r="DA442" s="35"/>
      <c r="DB442" s="35"/>
      <c r="DC442" s="35"/>
      <c r="DD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  <c r="CX443" s="35"/>
      <c r="CY443" s="35"/>
      <c r="CZ443" s="35"/>
      <c r="DA443" s="35"/>
      <c r="DB443" s="35"/>
      <c r="DC443" s="35"/>
      <c r="DD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  <c r="CX444" s="35"/>
      <c r="CY444" s="35"/>
      <c r="CZ444" s="35"/>
      <c r="DA444" s="35"/>
      <c r="DB444" s="35"/>
      <c r="DC444" s="35"/>
      <c r="DD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  <c r="CX445" s="35"/>
      <c r="CY445" s="35"/>
      <c r="CZ445" s="35"/>
      <c r="DA445" s="35"/>
      <c r="DB445" s="35"/>
      <c r="DC445" s="35"/>
      <c r="DD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  <c r="CX446" s="35"/>
      <c r="CY446" s="35"/>
      <c r="CZ446" s="35"/>
      <c r="DA446" s="35"/>
      <c r="DB446" s="35"/>
      <c r="DC446" s="35"/>
      <c r="DD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  <c r="CX447" s="35"/>
      <c r="CY447" s="35"/>
      <c r="CZ447" s="35"/>
      <c r="DA447" s="35"/>
      <c r="DB447" s="35"/>
      <c r="DC447" s="35"/>
      <c r="DD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  <c r="CX448" s="35"/>
      <c r="CY448" s="35"/>
      <c r="CZ448" s="35"/>
      <c r="DA448" s="35"/>
      <c r="DB448" s="35"/>
      <c r="DC448" s="35"/>
      <c r="DD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  <c r="CX449" s="35"/>
      <c r="CY449" s="35"/>
      <c r="CZ449" s="35"/>
      <c r="DA449" s="35"/>
      <c r="DB449" s="35"/>
      <c r="DC449" s="35"/>
      <c r="DD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  <c r="CX450" s="35"/>
      <c r="CY450" s="35"/>
      <c r="CZ450" s="35"/>
      <c r="DA450" s="35"/>
      <c r="DB450" s="35"/>
      <c r="DC450" s="35"/>
      <c r="DD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  <c r="CX451" s="35"/>
      <c r="CY451" s="35"/>
      <c r="CZ451" s="35"/>
      <c r="DA451" s="35"/>
      <c r="DB451" s="35"/>
      <c r="DC451" s="35"/>
      <c r="DD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  <c r="CX452" s="35"/>
      <c r="CY452" s="35"/>
      <c r="CZ452" s="35"/>
      <c r="DA452" s="35"/>
      <c r="DB452" s="35"/>
      <c r="DC452" s="35"/>
      <c r="DD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  <c r="CX453" s="35"/>
      <c r="CY453" s="35"/>
      <c r="CZ453" s="35"/>
      <c r="DA453" s="35"/>
      <c r="DB453" s="35"/>
      <c r="DC453" s="35"/>
      <c r="DD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  <c r="CX454" s="35"/>
      <c r="CY454" s="35"/>
      <c r="CZ454" s="35"/>
      <c r="DA454" s="35"/>
      <c r="DB454" s="35"/>
      <c r="DC454" s="35"/>
      <c r="DD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  <c r="CX455" s="35"/>
      <c r="CY455" s="35"/>
      <c r="CZ455" s="35"/>
      <c r="DA455" s="35"/>
      <c r="DB455" s="35"/>
      <c r="DC455" s="35"/>
      <c r="DD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  <c r="CP460" s="35"/>
      <c r="CQ460" s="35"/>
      <c r="CR460" s="35"/>
      <c r="CS460" s="35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  <c r="CP463" s="35"/>
      <c r="CQ463" s="35"/>
      <c r="CR463" s="35"/>
      <c r="CS463" s="35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  <c r="CP464" s="35"/>
      <c r="CQ464" s="35"/>
      <c r="CR464" s="35"/>
      <c r="CS464" s="35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  <c r="CP465" s="35"/>
      <c r="CQ465" s="35"/>
      <c r="CR465" s="35"/>
      <c r="CS465" s="35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  <c r="CP466" s="35"/>
      <c r="CQ466" s="35"/>
      <c r="CR466" s="35"/>
      <c r="CS466" s="35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  <c r="CP467" s="35"/>
      <c r="CQ467" s="35"/>
      <c r="CR467" s="35"/>
      <c r="CS467" s="35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  <c r="CP470" s="35"/>
      <c r="CQ470" s="35"/>
      <c r="CR470" s="35"/>
      <c r="CS470" s="35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35"/>
      <c r="BP471" s="35"/>
      <c r="BQ471" s="35"/>
      <c r="BR471" s="35"/>
      <c r="BS471" s="35"/>
      <c r="BT471" s="35"/>
      <c r="BU471" s="35"/>
      <c r="BV471" s="35"/>
      <c r="BW471" s="35"/>
      <c r="BX471" s="35"/>
      <c r="BY471" s="35"/>
      <c r="BZ471" s="35"/>
      <c r="CA471" s="35"/>
      <c r="CB471" s="35"/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  <c r="CP471" s="35"/>
      <c r="CQ471" s="35"/>
      <c r="CR471" s="35"/>
      <c r="CS471" s="35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  <c r="BL472" s="35"/>
      <c r="BM472" s="35"/>
      <c r="BN472" s="35"/>
      <c r="BO472" s="35"/>
      <c r="BP472" s="35"/>
      <c r="BQ472" s="35"/>
      <c r="BR472" s="35"/>
      <c r="BS472" s="35"/>
      <c r="BT472" s="35"/>
      <c r="BU472" s="35"/>
      <c r="BV472" s="35"/>
      <c r="BW472" s="35"/>
      <c r="BX472" s="35"/>
      <c r="BY472" s="35"/>
      <c r="BZ472" s="35"/>
      <c r="CA472" s="35"/>
      <c r="CB472" s="35"/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  <c r="CP472" s="35"/>
      <c r="CQ472" s="35"/>
      <c r="CR472" s="35"/>
      <c r="CS472" s="35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  <c r="BL473" s="35"/>
      <c r="BM473" s="35"/>
      <c r="BN473" s="35"/>
      <c r="BO473" s="35"/>
      <c r="BP473" s="35"/>
      <c r="BQ473" s="35"/>
      <c r="BR473" s="35"/>
      <c r="BS473" s="35"/>
      <c r="BT473" s="35"/>
      <c r="BU473" s="35"/>
      <c r="BV473" s="35"/>
      <c r="BW473" s="35"/>
      <c r="BX473" s="35"/>
      <c r="BY473" s="35"/>
      <c r="BZ473" s="35"/>
      <c r="CA473" s="35"/>
      <c r="CB473" s="35"/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  <c r="CP473" s="35"/>
      <c r="CQ473" s="35"/>
      <c r="CR473" s="35"/>
      <c r="CS473" s="35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  <c r="BL474" s="35"/>
      <c r="BM474" s="35"/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/>
      <c r="BZ474" s="35"/>
      <c r="CA474" s="35"/>
      <c r="CB474" s="35"/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  <c r="CP474" s="35"/>
      <c r="CQ474" s="35"/>
      <c r="CR474" s="35"/>
      <c r="CS474" s="35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  <c r="BL476" s="35"/>
      <c r="BM476" s="35"/>
      <c r="BN476" s="35"/>
      <c r="BO476" s="35"/>
      <c r="BP476" s="35"/>
      <c r="BQ476" s="35"/>
      <c r="BR476" s="35"/>
      <c r="BS476" s="35"/>
      <c r="BT476" s="35"/>
      <c r="BU476" s="35"/>
      <c r="BV476" s="35"/>
      <c r="BW476" s="35"/>
      <c r="BX476" s="35"/>
      <c r="BY476" s="35"/>
      <c r="BZ476" s="35"/>
      <c r="CA476" s="35"/>
      <c r="CB476" s="35"/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  <c r="CP476" s="35"/>
      <c r="CQ476" s="35"/>
      <c r="CR476" s="35"/>
      <c r="CS476" s="35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  <c r="BL477" s="35"/>
      <c r="BM477" s="35"/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/>
      <c r="BZ477" s="35"/>
      <c r="CA477" s="35"/>
      <c r="CB477" s="35"/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  <c r="CP477" s="35"/>
      <c r="CQ477" s="35"/>
      <c r="CR477" s="35"/>
      <c r="CS477" s="35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  <c r="CP478" s="35"/>
      <c r="CQ478" s="35"/>
      <c r="CR478" s="35"/>
      <c r="CS478" s="35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35"/>
      <c r="BO479" s="35"/>
      <c r="BP479" s="35"/>
      <c r="BQ479" s="35"/>
      <c r="BR479" s="35"/>
      <c r="BS479" s="35"/>
      <c r="BT479" s="35"/>
      <c r="BU479" s="35"/>
      <c r="BV479" s="35"/>
      <c r="BW479" s="35"/>
      <c r="BX479" s="35"/>
      <c r="BY479" s="35"/>
      <c r="BZ479" s="35"/>
      <c r="CA479" s="35"/>
      <c r="CB479" s="35"/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  <c r="CP479" s="35"/>
      <c r="CQ479" s="35"/>
      <c r="CR479" s="35"/>
      <c r="CS479" s="35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  <c r="CP480" s="35"/>
      <c r="CQ480" s="35"/>
      <c r="CR480" s="35"/>
      <c r="CS480" s="35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  <c r="BL481" s="35"/>
      <c r="BM481" s="35"/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/>
      <c r="BZ481" s="35"/>
      <c r="CA481" s="35"/>
      <c r="CB481" s="35"/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  <c r="CP481" s="35"/>
      <c r="CQ481" s="35"/>
      <c r="CR481" s="35"/>
      <c r="CS481" s="35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/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/>
      <c r="CA482" s="35"/>
      <c r="CB482" s="35"/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  <c r="CP482" s="35"/>
      <c r="CQ482" s="35"/>
      <c r="CR482" s="35"/>
      <c r="CS482" s="35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  <c r="BL483" s="35"/>
      <c r="BM483" s="35"/>
      <c r="BN483" s="35"/>
      <c r="BO483" s="35"/>
      <c r="BP483" s="35"/>
      <c r="BQ483" s="35"/>
      <c r="BR483" s="35"/>
      <c r="BS483" s="35"/>
      <c r="BT483" s="35"/>
      <c r="BU483" s="35"/>
      <c r="BV483" s="35"/>
      <c r="BW483" s="35"/>
      <c r="BX483" s="35"/>
      <c r="BY483" s="35"/>
      <c r="BZ483" s="35"/>
      <c r="CA483" s="35"/>
      <c r="CB483" s="35"/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  <c r="CP483" s="35"/>
      <c r="CQ483" s="35"/>
      <c r="CR483" s="35"/>
      <c r="CS483" s="35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  <c r="BL485" s="35"/>
      <c r="BM485" s="35"/>
      <c r="BN485" s="35"/>
      <c r="BO485" s="35"/>
      <c r="BP485" s="35"/>
      <c r="BQ485" s="35"/>
      <c r="BR485" s="35"/>
      <c r="BS485" s="35"/>
      <c r="BT485" s="35"/>
      <c r="BU485" s="35"/>
      <c r="BV485" s="35"/>
      <c r="BW485" s="35"/>
      <c r="BX485" s="35"/>
      <c r="BY485" s="35"/>
      <c r="BZ485" s="35"/>
      <c r="CA485" s="35"/>
      <c r="CB485" s="35"/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  <c r="CP485" s="35"/>
      <c r="CQ485" s="35"/>
      <c r="CR485" s="35"/>
      <c r="CS485" s="35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/>
      <c r="BZ486" s="35"/>
      <c r="CA486" s="35"/>
      <c r="CB486" s="35"/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  <c r="CP486" s="35"/>
      <c r="CQ486" s="35"/>
      <c r="CR486" s="35"/>
      <c r="CS486" s="35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/>
      <c r="BZ487" s="35"/>
      <c r="CA487" s="35"/>
      <c r="CB487" s="35"/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  <c r="CP487" s="35"/>
      <c r="CQ487" s="35"/>
      <c r="CR487" s="35"/>
      <c r="CS487" s="35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  <c r="BL488" s="35"/>
      <c r="BM488" s="35"/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/>
      <c r="BZ488" s="35"/>
      <c r="CA488" s="35"/>
      <c r="CB488" s="35"/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  <c r="BL489" s="35"/>
      <c r="BM489" s="35"/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/>
      <c r="BZ489" s="35"/>
      <c r="CA489" s="35"/>
      <c r="CB489" s="35"/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  <c r="BL491" s="35"/>
      <c r="BM491" s="35"/>
      <c r="BN491" s="35"/>
      <c r="BO491" s="35"/>
      <c r="BP491" s="35"/>
      <c r="BQ491" s="35"/>
      <c r="BR491" s="35"/>
      <c r="BS491" s="35"/>
      <c r="BT491" s="35"/>
      <c r="BU491" s="35"/>
      <c r="BV491" s="35"/>
      <c r="BW491" s="35"/>
      <c r="BX491" s="35"/>
      <c r="BY491" s="35"/>
      <c r="BZ491" s="35"/>
      <c r="CA491" s="35"/>
      <c r="CB491" s="35"/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  <c r="CP491" s="35"/>
      <c r="CQ491" s="35"/>
      <c r="CR491" s="35"/>
      <c r="CS491" s="35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  <c r="BL492" s="35"/>
      <c r="BM492" s="35"/>
      <c r="BN492" s="35"/>
      <c r="BO492" s="35"/>
      <c r="BP492" s="35"/>
      <c r="BQ492" s="35"/>
      <c r="BR492" s="35"/>
      <c r="BS492" s="35"/>
      <c r="BT492" s="35"/>
      <c r="BU492" s="35"/>
      <c r="BV492" s="35"/>
      <c r="BW492" s="35"/>
      <c r="BX492" s="35"/>
      <c r="BY492" s="35"/>
      <c r="BZ492" s="35"/>
      <c r="CA492" s="35"/>
      <c r="CB492" s="35"/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  <c r="CP492" s="35"/>
      <c r="CQ492" s="35"/>
      <c r="CR492" s="35"/>
      <c r="CS492" s="35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35"/>
      <c r="BP493" s="35"/>
      <c r="BQ493" s="35"/>
      <c r="BR493" s="35"/>
      <c r="BS493" s="35"/>
      <c r="BT493" s="35"/>
      <c r="BU493" s="35"/>
      <c r="BV493" s="35"/>
      <c r="BW493" s="35"/>
      <c r="BX493" s="35"/>
      <c r="BY493" s="35"/>
      <c r="BZ493" s="35"/>
      <c r="CA493" s="35"/>
      <c r="CB493" s="35"/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  <c r="CP493" s="35"/>
      <c r="CQ493" s="35"/>
      <c r="CR493" s="35"/>
      <c r="CS493" s="35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  <c r="BL494" s="35"/>
      <c r="BM494" s="35"/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/>
      <c r="BZ494" s="35"/>
      <c r="CA494" s="35"/>
      <c r="CB494" s="35"/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  <c r="CP494" s="35"/>
      <c r="CQ494" s="35"/>
      <c r="CR494" s="35"/>
      <c r="CS494" s="35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  <c r="BL495" s="35"/>
      <c r="BM495" s="35"/>
      <c r="BN495" s="35"/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/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  <c r="BL496" s="35"/>
      <c r="BM496" s="35"/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/>
      <c r="BZ496" s="35"/>
      <c r="CA496" s="35"/>
      <c r="CB496" s="35"/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/>
      <c r="BZ497" s="35"/>
      <c r="CA497" s="35"/>
      <c r="CB497" s="35"/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  <c r="CP497" s="35"/>
      <c r="CQ497" s="35"/>
      <c r="CR497" s="35"/>
      <c r="CS497" s="35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  <c r="CP499" s="35"/>
      <c r="CQ499" s="35"/>
      <c r="CR499" s="35"/>
      <c r="CS499" s="35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35"/>
      <c r="BP500" s="35"/>
      <c r="BQ500" s="35"/>
      <c r="BR500" s="35"/>
      <c r="BS500" s="35"/>
      <c r="BT500" s="35"/>
      <c r="BU500" s="35"/>
      <c r="BV500" s="35"/>
      <c r="BW500" s="35"/>
      <c r="BX500" s="35"/>
      <c r="BY500" s="35"/>
      <c r="BZ500" s="35"/>
      <c r="CA500" s="35"/>
      <c r="CB500" s="35"/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  <c r="CP500" s="35"/>
      <c r="CQ500" s="35"/>
      <c r="CR500" s="35"/>
      <c r="CS500" s="35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  <c r="CP501" s="35"/>
      <c r="CQ501" s="35"/>
      <c r="CR501" s="35"/>
      <c r="CS501" s="35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  <c r="BL502" s="35"/>
      <c r="BM502" s="35"/>
      <c r="BN502" s="35"/>
      <c r="BO502" s="35"/>
      <c r="BP502" s="35"/>
      <c r="BQ502" s="35"/>
      <c r="BR502" s="35"/>
      <c r="BS502" s="35"/>
      <c r="BT502" s="35"/>
      <c r="BU502" s="35"/>
      <c r="BV502" s="35"/>
      <c r="BW502" s="35"/>
      <c r="BX502" s="35"/>
      <c r="BY502" s="35"/>
      <c r="BZ502" s="35"/>
      <c r="CA502" s="35"/>
      <c r="CB502" s="35"/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  <c r="CP502" s="35"/>
      <c r="CQ502" s="35"/>
      <c r="CR502" s="35"/>
      <c r="CS502" s="35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  <c r="CP503" s="35"/>
      <c r="CQ503" s="35"/>
      <c r="CR503" s="35"/>
      <c r="CS503" s="35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  <c r="BL504" s="35"/>
      <c r="BM504" s="35"/>
      <c r="BN504" s="35"/>
      <c r="BO504" s="35"/>
      <c r="BP504" s="35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  <c r="BL506" s="35"/>
      <c r="BM506" s="35"/>
      <c r="BN506" s="35"/>
      <c r="BO506" s="35"/>
      <c r="BP506" s="35"/>
      <c r="BQ506" s="35"/>
      <c r="BR506" s="35"/>
      <c r="BS506" s="35"/>
      <c r="BT506" s="35"/>
      <c r="BU506" s="35"/>
      <c r="BV506" s="35"/>
      <c r="BW506" s="35"/>
      <c r="BX506" s="35"/>
      <c r="BY506" s="35"/>
      <c r="BZ506" s="35"/>
      <c r="CA506" s="35"/>
      <c r="CB506" s="35"/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  <c r="CP506" s="35"/>
      <c r="CQ506" s="35"/>
      <c r="CR506" s="35"/>
      <c r="CS506" s="35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35"/>
      <c r="BP507" s="35"/>
      <c r="BQ507" s="35"/>
      <c r="BR507" s="35"/>
      <c r="BS507" s="35"/>
      <c r="BT507" s="35"/>
      <c r="BU507" s="35"/>
      <c r="BV507" s="35"/>
      <c r="BW507" s="35"/>
      <c r="BX507" s="35"/>
      <c r="BY507" s="35"/>
      <c r="BZ507" s="35"/>
      <c r="CA507" s="35"/>
      <c r="CB507" s="35"/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  <c r="CP507" s="35"/>
      <c r="CQ507" s="35"/>
      <c r="CR507" s="35"/>
      <c r="CS507" s="35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  <c r="BL508" s="35"/>
      <c r="BM508" s="35"/>
      <c r="BN508" s="35"/>
      <c r="BO508" s="35"/>
      <c r="BP508" s="35"/>
      <c r="BQ508" s="35"/>
      <c r="BR508" s="35"/>
      <c r="BS508" s="35"/>
      <c r="BT508" s="35"/>
      <c r="BU508" s="35"/>
      <c r="BV508" s="35"/>
      <c r="BW508" s="35"/>
      <c r="BX508" s="35"/>
      <c r="BY508" s="35"/>
      <c r="BZ508" s="35"/>
      <c r="CA508" s="35"/>
      <c r="CB508" s="35"/>
      <c r="CC508" s="35"/>
      <c r="CD508" s="35"/>
      <c r="CE508" s="35"/>
      <c r="CF508" s="35"/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  <c r="BL509" s="35"/>
      <c r="BM509" s="35"/>
      <c r="BN509" s="35"/>
      <c r="BO509" s="35"/>
      <c r="BP509" s="35"/>
      <c r="BQ509" s="35"/>
      <c r="BR509" s="35"/>
      <c r="BS509" s="35"/>
      <c r="BT509" s="35"/>
      <c r="BU509" s="35"/>
      <c r="BV509" s="35"/>
      <c r="BW509" s="35"/>
      <c r="BX509" s="35"/>
      <c r="BY509" s="35"/>
      <c r="BZ509" s="35"/>
      <c r="CA509" s="35"/>
      <c r="CB509" s="35"/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  <c r="CP510" s="35"/>
      <c r="CQ510" s="35"/>
      <c r="CR510" s="35"/>
      <c r="CS510" s="35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35"/>
      <c r="BP511" s="35"/>
      <c r="BQ511" s="35"/>
      <c r="BR511" s="35"/>
      <c r="BS511" s="35"/>
      <c r="BT511" s="35"/>
      <c r="BU511" s="35"/>
      <c r="BV511" s="35"/>
      <c r="BW511" s="35"/>
      <c r="BX511" s="35"/>
      <c r="BY511" s="35"/>
      <c r="BZ511" s="35"/>
      <c r="CA511" s="35"/>
      <c r="CB511" s="35"/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  <c r="CP511" s="35"/>
      <c r="CQ511" s="35"/>
      <c r="CR511" s="35"/>
      <c r="CS511" s="35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  <c r="CP512" s="35"/>
      <c r="CQ512" s="35"/>
      <c r="CR512" s="35"/>
      <c r="CS512" s="35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5"/>
      <c r="BG513" s="35"/>
      <c r="BH513" s="35"/>
      <c r="BI513" s="35"/>
      <c r="BJ513" s="35"/>
      <c r="BK513" s="35"/>
      <c r="BL513" s="35"/>
      <c r="BM513" s="35"/>
      <c r="BN513" s="35"/>
      <c r="BO513" s="35"/>
      <c r="BP513" s="35"/>
      <c r="BQ513" s="35"/>
      <c r="BR513" s="35"/>
      <c r="BS513" s="35"/>
      <c r="BT513" s="35"/>
      <c r="BU513" s="35"/>
      <c r="BV513" s="35"/>
      <c r="BW513" s="35"/>
      <c r="BX513" s="35"/>
      <c r="BY513" s="35"/>
      <c r="BZ513" s="35"/>
      <c r="CA513" s="35"/>
      <c r="CB513" s="35"/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  <c r="CP513" s="35"/>
      <c r="CQ513" s="35"/>
      <c r="CR513" s="35"/>
      <c r="CS513" s="35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  <c r="BL514" s="35"/>
      <c r="BM514" s="35"/>
      <c r="BN514" s="35"/>
      <c r="BO514" s="35"/>
      <c r="BP514" s="35"/>
      <c r="BQ514" s="35"/>
      <c r="BR514" s="35"/>
      <c r="BS514" s="35"/>
      <c r="BT514" s="35"/>
      <c r="BU514" s="35"/>
      <c r="BV514" s="35"/>
      <c r="BW514" s="35"/>
      <c r="BX514" s="35"/>
      <c r="BY514" s="35"/>
      <c r="BZ514" s="35"/>
      <c r="CA514" s="35"/>
      <c r="CB514" s="35"/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  <c r="CP514" s="35"/>
      <c r="CQ514" s="35"/>
      <c r="CR514" s="35"/>
      <c r="CS514" s="35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  <c r="BL515" s="35"/>
      <c r="BM515" s="35"/>
      <c r="BN515" s="35"/>
      <c r="BO515" s="35"/>
      <c r="BP515" s="35"/>
      <c r="BQ515" s="35"/>
      <c r="BR515" s="35"/>
      <c r="BS515" s="35"/>
      <c r="BT515" s="35"/>
      <c r="BU515" s="35"/>
      <c r="BV515" s="35"/>
      <c r="BW515" s="35"/>
      <c r="BX515" s="35"/>
      <c r="BY515" s="35"/>
      <c r="BZ515" s="35"/>
      <c r="CA515" s="35"/>
      <c r="CB515" s="35"/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  <c r="CP515" s="35"/>
      <c r="CQ515" s="35"/>
      <c r="CR515" s="35"/>
      <c r="CS515" s="35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  <c r="BL516" s="35"/>
      <c r="BM516" s="35"/>
      <c r="BN516" s="35"/>
      <c r="BO516" s="35"/>
      <c r="BP516" s="35"/>
      <c r="BQ516" s="35"/>
      <c r="BR516" s="35"/>
      <c r="BS516" s="35"/>
      <c r="BT516" s="35"/>
      <c r="BU516" s="35"/>
      <c r="BV516" s="35"/>
      <c r="BW516" s="35"/>
      <c r="BX516" s="35"/>
      <c r="BY516" s="35"/>
      <c r="BZ516" s="35"/>
      <c r="CA516" s="35"/>
      <c r="CB516" s="35"/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  <c r="CP516" s="35"/>
      <c r="CQ516" s="35"/>
      <c r="CR516" s="35"/>
      <c r="CS516" s="35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  <c r="BL517" s="35"/>
      <c r="BM517" s="35"/>
      <c r="BN517" s="35"/>
      <c r="BO517" s="35"/>
      <c r="BP517" s="35"/>
      <c r="BQ517" s="35"/>
      <c r="BR517" s="35"/>
      <c r="BS517" s="35"/>
      <c r="BT517" s="35"/>
      <c r="BU517" s="35"/>
      <c r="BV517" s="35"/>
      <c r="BW517" s="35"/>
      <c r="BX517" s="35"/>
      <c r="BY517" s="35"/>
      <c r="BZ517" s="35"/>
      <c r="CA517" s="35"/>
      <c r="CB517" s="35"/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  <c r="CP517" s="35"/>
      <c r="CQ517" s="35"/>
      <c r="CR517" s="35"/>
      <c r="CS517" s="35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  <c r="BA518" s="35"/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35"/>
      <c r="BP518" s="35"/>
      <c r="BQ518" s="35"/>
      <c r="BR518" s="35"/>
      <c r="BS518" s="35"/>
      <c r="BT518" s="35"/>
      <c r="BU518" s="35"/>
      <c r="BV518" s="35"/>
      <c r="BW518" s="35"/>
      <c r="BX518" s="35"/>
      <c r="BY518" s="35"/>
      <c r="BZ518" s="35"/>
      <c r="CA518" s="35"/>
      <c r="CB518" s="35"/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  <c r="CP518" s="35"/>
      <c r="CQ518" s="35"/>
      <c r="CR518" s="35"/>
      <c r="CS518" s="35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  <c r="CP519" s="35"/>
      <c r="CQ519" s="35"/>
      <c r="CR519" s="35"/>
      <c r="CS519" s="35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  <c r="BL520" s="35"/>
      <c r="BM520" s="35"/>
      <c r="BN520" s="35"/>
      <c r="BO520" s="35"/>
      <c r="BP520" s="35"/>
      <c r="BQ520" s="35"/>
      <c r="BR520" s="35"/>
      <c r="BS520" s="35"/>
      <c r="BT520" s="35"/>
      <c r="BU520" s="35"/>
      <c r="BV520" s="35"/>
      <c r="BW520" s="35"/>
      <c r="BX520" s="35"/>
      <c r="BY520" s="35"/>
      <c r="BZ520" s="35"/>
      <c r="CA520" s="35"/>
      <c r="CB520" s="35"/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  <c r="CP520" s="35"/>
      <c r="CQ520" s="35"/>
      <c r="CR520" s="35"/>
      <c r="CS520" s="35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  <c r="BL521" s="35"/>
      <c r="BM521" s="35"/>
      <c r="BN521" s="35"/>
      <c r="BO521" s="35"/>
      <c r="BP521" s="35"/>
      <c r="BQ521" s="35"/>
      <c r="BR521" s="35"/>
      <c r="BS521" s="35"/>
      <c r="BT521" s="35"/>
      <c r="BU521" s="35"/>
      <c r="BV521" s="35"/>
      <c r="BW521" s="35"/>
      <c r="BX521" s="35"/>
      <c r="BY521" s="35"/>
      <c r="BZ521" s="35"/>
      <c r="CA521" s="35"/>
      <c r="CB521" s="35"/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  <c r="CP521" s="35"/>
      <c r="CQ521" s="35"/>
      <c r="CR521" s="35"/>
      <c r="CS521" s="35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35"/>
      <c r="BO522" s="35"/>
      <c r="BP522" s="35"/>
      <c r="BQ522" s="35"/>
      <c r="BR522" s="35"/>
      <c r="BS522" s="35"/>
      <c r="BT522" s="35"/>
      <c r="BU522" s="35"/>
      <c r="BV522" s="35"/>
      <c r="BW522" s="35"/>
      <c r="BX522" s="35"/>
      <c r="BY522" s="35"/>
      <c r="BZ522" s="35"/>
      <c r="CA522" s="35"/>
      <c r="CB522" s="35"/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  <c r="CP522" s="35"/>
      <c r="CQ522" s="35"/>
      <c r="CR522" s="35"/>
      <c r="CS522" s="35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  <c r="CP523" s="35"/>
      <c r="CQ523" s="35"/>
      <c r="CR523" s="35"/>
      <c r="CS523" s="35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  <c r="CP525" s="35"/>
      <c r="CQ525" s="35"/>
      <c r="CR525" s="35"/>
      <c r="CS525" s="35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  <c r="BL527" s="35"/>
      <c r="BM527" s="35"/>
      <c r="BN527" s="35"/>
      <c r="BO527" s="35"/>
      <c r="BP527" s="35"/>
      <c r="BQ527" s="35"/>
      <c r="BR527" s="35"/>
      <c r="BS527" s="35"/>
      <c r="BT527" s="35"/>
      <c r="BU527" s="35"/>
      <c r="BV527" s="35"/>
      <c r="BW527" s="35"/>
      <c r="BX527" s="35"/>
      <c r="BY527" s="35"/>
      <c r="BZ527" s="35"/>
      <c r="CA527" s="35"/>
      <c r="CB527" s="35"/>
      <c r="CC527" s="35"/>
      <c r="CD527" s="35"/>
      <c r="CE527" s="35"/>
      <c r="CF527" s="35"/>
      <c r="CG527" s="35"/>
      <c r="CH527" s="35"/>
      <c r="CI527" s="35"/>
      <c r="CJ527" s="35"/>
      <c r="CK527" s="35"/>
      <c r="CL527" s="35"/>
      <c r="CM527" s="35"/>
      <c r="CN527" s="35"/>
      <c r="CO527" s="35"/>
      <c r="CP527" s="35"/>
      <c r="CQ527" s="35"/>
      <c r="CR527" s="35"/>
      <c r="CS527" s="35"/>
      <c r="CT527" s="35"/>
      <c r="CU527" s="35"/>
      <c r="CV527" s="35"/>
      <c r="CW527" s="35"/>
      <c r="CX527" s="35"/>
      <c r="CY527" s="35"/>
      <c r="CZ527" s="35"/>
      <c r="DA527" s="35"/>
      <c r="DB527" s="35"/>
      <c r="DC527" s="35"/>
      <c r="DD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  <c r="BL528" s="35"/>
      <c r="BM528" s="35"/>
      <c r="BN528" s="35"/>
      <c r="BO528" s="35"/>
      <c r="BP528" s="35"/>
      <c r="BQ528" s="35"/>
      <c r="BR528" s="35"/>
      <c r="BS528" s="35"/>
      <c r="BT528" s="35"/>
      <c r="BU528" s="35"/>
      <c r="BV528" s="35"/>
      <c r="BW528" s="35"/>
      <c r="BX528" s="35"/>
      <c r="BY528" s="35"/>
      <c r="BZ528" s="35"/>
      <c r="CA528" s="35"/>
      <c r="CB528" s="35"/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  <c r="CP528" s="35"/>
      <c r="CQ528" s="35"/>
      <c r="CR528" s="35"/>
      <c r="CS528" s="35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  <c r="BL530" s="35"/>
      <c r="BM530" s="35"/>
      <c r="BN530" s="35"/>
      <c r="BO530" s="35"/>
      <c r="BP530" s="35"/>
      <c r="BQ530" s="35"/>
      <c r="BR530" s="35"/>
      <c r="BS530" s="35"/>
      <c r="BT530" s="35"/>
      <c r="BU530" s="35"/>
      <c r="BV530" s="35"/>
      <c r="BW530" s="35"/>
      <c r="BX530" s="35"/>
      <c r="BY530" s="35"/>
      <c r="BZ530" s="35"/>
      <c r="CA530" s="35"/>
      <c r="CB530" s="35"/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  <c r="CP530" s="35"/>
      <c r="CQ530" s="35"/>
      <c r="CR530" s="35"/>
      <c r="CS530" s="35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  <c r="CP531" s="35"/>
      <c r="CQ531" s="35"/>
      <c r="CR531" s="35"/>
      <c r="CS531" s="35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  <c r="BA532" s="35"/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  <c r="BL532" s="35"/>
      <c r="BM532" s="35"/>
      <c r="BN532" s="35"/>
      <c r="BO532" s="35"/>
      <c r="BP532" s="35"/>
      <c r="BQ532" s="35"/>
      <c r="BR532" s="35"/>
      <c r="BS532" s="35"/>
      <c r="BT532" s="35"/>
      <c r="BU532" s="35"/>
      <c r="BV532" s="35"/>
      <c r="BW532" s="35"/>
      <c r="BX532" s="35"/>
      <c r="BY532" s="35"/>
      <c r="BZ532" s="35"/>
      <c r="CA532" s="35"/>
      <c r="CB532" s="35"/>
      <c r="CC532" s="35"/>
      <c r="CD532" s="35"/>
      <c r="CE532" s="35"/>
      <c r="CF532" s="35"/>
      <c r="CG532" s="35"/>
      <c r="CH532" s="35"/>
      <c r="CI532" s="35"/>
      <c r="CJ532" s="35"/>
      <c r="CK532" s="35"/>
      <c r="CL532" s="35"/>
      <c r="CM532" s="35"/>
      <c r="CN532" s="35"/>
      <c r="CO532" s="35"/>
      <c r="CP532" s="35"/>
      <c r="CQ532" s="35"/>
      <c r="CR532" s="35"/>
      <c r="CS532" s="35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  <c r="BL536" s="35"/>
      <c r="BM536" s="35"/>
      <c r="BN536" s="35"/>
      <c r="BO536" s="35"/>
      <c r="BP536" s="35"/>
      <c r="BQ536" s="35"/>
      <c r="BR536" s="35"/>
      <c r="BS536" s="35"/>
      <c r="BT536" s="35"/>
      <c r="BU536" s="35"/>
      <c r="BV536" s="35"/>
      <c r="BW536" s="35"/>
      <c r="BX536" s="35"/>
      <c r="BY536" s="35"/>
      <c r="BZ536" s="35"/>
      <c r="CA536" s="35"/>
      <c r="CB536" s="35"/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  <c r="CP536" s="35"/>
      <c r="CQ536" s="35"/>
      <c r="CR536" s="35"/>
      <c r="CS536" s="35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  <c r="BL537" s="35"/>
      <c r="BM537" s="35"/>
      <c r="BN537" s="35"/>
      <c r="BO537" s="35"/>
      <c r="BP537" s="35"/>
      <c r="BQ537" s="35"/>
      <c r="BR537" s="35"/>
      <c r="BS537" s="35"/>
      <c r="BT537" s="35"/>
      <c r="BU537" s="35"/>
      <c r="BV537" s="35"/>
      <c r="BW537" s="35"/>
      <c r="BX537" s="35"/>
      <c r="BY537" s="35"/>
      <c r="BZ537" s="35"/>
      <c r="CA537" s="35"/>
      <c r="CB537" s="35"/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  <c r="CP537" s="35"/>
      <c r="CQ537" s="35"/>
      <c r="CR537" s="35"/>
      <c r="CS537" s="35"/>
      <c r="CT537" s="35"/>
      <c r="CU537" s="35"/>
      <c r="CV537" s="35"/>
      <c r="CW537" s="35"/>
      <c r="CX537" s="35"/>
      <c r="CY537" s="35"/>
      <c r="CZ537" s="35"/>
      <c r="DA537" s="35"/>
      <c r="DB537" s="35"/>
      <c r="DC537" s="35"/>
      <c r="DD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  <c r="BL538" s="35"/>
      <c r="BM538" s="35"/>
      <c r="BN538" s="35"/>
      <c r="BO538" s="35"/>
      <c r="BP538" s="35"/>
      <c r="BQ538" s="35"/>
      <c r="BR538" s="35"/>
      <c r="BS538" s="35"/>
      <c r="BT538" s="35"/>
      <c r="BU538" s="35"/>
      <c r="BV538" s="35"/>
      <c r="BW538" s="35"/>
      <c r="BX538" s="35"/>
      <c r="BY538" s="35"/>
      <c r="BZ538" s="35"/>
      <c r="CA538" s="35"/>
      <c r="CB538" s="35"/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  <c r="CP538" s="35"/>
      <c r="CQ538" s="35"/>
      <c r="CR538" s="35"/>
      <c r="CS538" s="35"/>
      <c r="CT538" s="35"/>
      <c r="CU538" s="35"/>
      <c r="CV538" s="35"/>
      <c r="CW538" s="35"/>
      <c r="CX538" s="35"/>
      <c r="CY538" s="35"/>
      <c r="CZ538" s="35"/>
      <c r="DA538" s="35"/>
      <c r="DB538" s="35"/>
      <c r="DC538" s="35"/>
      <c r="DD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CZ539" s="35"/>
      <c r="DA539" s="35"/>
      <c r="DB539" s="35"/>
      <c r="DC539" s="35"/>
      <c r="DD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  <c r="CP541" s="35"/>
      <c r="CQ541" s="35"/>
      <c r="CR541" s="35"/>
      <c r="CS541" s="35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  <c r="CP542" s="35"/>
      <c r="CQ542" s="35"/>
      <c r="CR542" s="35"/>
      <c r="CS542" s="35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  <c r="BL543" s="35"/>
      <c r="BM543" s="35"/>
      <c r="BN543" s="35"/>
      <c r="BO543" s="35"/>
      <c r="BP543" s="35"/>
      <c r="BQ543" s="35"/>
      <c r="BR543" s="35"/>
      <c r="BS543" s="35"/>
      <c r="BT543" s="35"/>
      <c r="BU543" s="35"/>
      <c r="BV543" s="35"/>
      <c r="BW543" s="35"/>
      <c r="BX543" s="35"/>
      <c r="BY543" s="35"/>
      <c r="BZ543" s="35"/>
      <c r="CA543" s="35"/>
      <c r="CB543" s="35"/>
      <c r="CC543" s="35"/>
      <c r="CD543" s="35"/>
      <c r="CE543" s="35"/>
      <c r="CF543" s="35"/>
      <c r="CG543" s="35"/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  <c r="CP544" s="35"/>
      <c r="CQ544" s="35"/>
      <c r="CR544" s="35"/>
      <c r="CS544" s="35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  <c r="CP546" s="35"/>
      <c r="CQ546" s="35"/>
      <c r="CR546" s="35"/>
      <c r="CS546" s="35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  <c r="CP548" s="35"/>
      <c r="CQ548" s="35"/>
      <c r="CR548" s="35"/>
      <c r="CS548" s="35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  <c r="BL549" s="35"/>
      <c r="BM549" s="35"/>
      <c r="BN549" s="35"/>
      <c r="BO549" s="35"/>
      <c r="BP549" s="35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  <c r="BA550" s="35"/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  <c r="BL550" s="35"/>
      <c r="BM550" s="35"/>
      <c r="BN550" s="35"/>
      <c r="BO550" s="35"/>
      <c r="BP550" s="35"/>
      <c r="BQ550" s="35"/>
      <c r="BR550" s="35"/>
      <c r="BS550" s="35"/>
      <c r="BT550" s="35"/>
      <c r="BU550" s="35"/>
      <c r="BV550" s="35"/>
      <c r="BW550" s="35"/>
      <c r="BX550" s="35"/>
      <c r="BY550" s="35"/>
      <c r="BZ550" s="35"/>
      <c r="CA550" s="35"/>
      <c r="CB550" s="35"/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  <c r="CP550" s="35"/>
      <c r="CQ550" s="35"/>
      <c r="CR550" s="35"/>
      <c r="CS550" s="35"/>
      <c r="CT550" s="35"/>
      <c r="CU550" s="35"/>
      <c r="CV550" s="35"/>
      <c r="CW550" s="35"/>
      <c r="CX550" s="35"/>
      <c r="CY550" s="35"/>
      <c r="CZ550" s="35"/>
      <c r="DA550" s="35"/>
      <c r="DB550" s="35"/>
      <c r="DC550" s="35"/>
      <c r="DD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  <c r="BL551" s="35"/>
      <c r="BM551" s="35"/>
      <c r="BN551" s="35"/>
      <c r="BO551" s="35"/>
      <c r="BP551" s="35"/>
      <c r="BQ551" s="35"/>
      <c r="BR551" s="35"/>
      <c r="BS551" s="35"/>
      <c r="BT551" s="35"/>
      <c r="BU551" s="35"/>
      <c r="BV551" s="35"/>
      <c r="BW551" s="35"/>
      <c r="BX551" s="35"/>
      <c r="BY551" s="35"/>
      <c r="BZ551" s="35"/>
      <c r="CA551" s="35"/>
      <c r="CB551" s="35"/>
      <c r="CC551" s="35"/>
      <c r="CD551" s="35"/>
      <c r="CE551" s="35"/>
      <c r="CF551" s="35"/>
      <c r="CG551" s="35"/>
      <c r="CH551" s="35"/>
      <c r="CI551" s="35"/>
      <c r="CJ551" s="35"/>
      <c r="CK551" s="35"/>
      <c r="CL551" s="35"/>
      <c r="CM551" s="35"/>
      <c r="CN551" s="35"/>
      <c r="CO551" s="35"/>
      <c r="CP551" s="35"/>
      <c r="CQ551" s="35"/>
      <c r="CR551" s="35"/>
      <c r="CS551" s="35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  <c r="BL552" s="35"/>
      <c r="BM552" s="35"/>
      <c r="BN552" s="35"/>
      <c r="BO552" s="35"/>
      <c r="BP552" s="35"/>
      <c r="BQ552" s="35"/>
      <c r="BR552" s="35"/>
      <c r="BS552" s="35"/>
      <c r="BT552" s="35"/>
      <c r="BU552" s="35"/>
      <c r="BV552" s="35"/>
      <c r="BW552" s="35"/>
      <c r="BX552" s="35"/>
      <c r="BY552" s="35"/>
      <c r="BZ552" s="35"/>
      <c r="CA552" s="35"/>
      <c r="CB552" s="35"/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  <c r="CP552" s="35"/>
      <c r="CQ552" s="35"/>
      <c r="CR552" s="35"/>
      <c r="CS552" s="35"/>
      <c r="CT552" s="35"/>
      <c r="CU552" s="35"/>
      <c r="CV552" s="35"/>
      <c r="CW552" s="35"/>
      <c r="CX552" s="35"/>
      <c r="CY552" s="35"/>
      <c r="CZ552" s="35"/>
      <c r="DA552" s="35"/>
      <c r="DB552" s="35"/>
      <c r="DC552" s="35"/>
      <c r="DD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  <c r="BL553" s="35"/>
      <c r="BM553" s="35"/>
      <c r="BN553" s="35"/>
      <c r="BO553" s="35"/>
      <c r="BP553" s="35"/>
      <c r="BQ553" s="35"/>
      <c r="BR553" s="35"/>
      <c r="BS553" s="35"/>
      <c r="BT553" s="35"/>
      <c r="BU553" s="35"/>
      <c r="BV553" s="35"/>
      <c r="BW553" s="35"/>
      <c r="BX553" s="35"/>
      <c r="BY553" s="35"/>
      <c r="BZ553" s="35"/>
      <c r="CA553" s="35"/>
      <c r="CB553" s="35"/>
      <c r="CC553" s="35"/>
      <c r="CD553" s="35"/>
      <c r="CE553" s="35"/>
      <c r="CF553" s="35"/>
      <c r="CG553" s="35"/>
      <c r="CH553" s="35"/>
      <c r="CI553" s="35"/>
      <c r="CJ553" s="35"/>
      <c r="CK553" s="35"/>
      <c r="CL553" s="35"/>
      <c r="CM553" s="35"/>
      <c r="CN553" s="35"/>
      <c r="CO553" s="35"/>
      <c r="CP553" s="35"/>
      <c r="CQ553" s="35"/>
      <c r="CR553" s="35"/>
      <c r="CS553" s="35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35"/>
      <c r="BO564" s="35"/>
      <c r="BP564" s="35"/>
      <c r="BQ564" s="35"/>
      <c r="BR564" s="35"/>
      <c r="BS564" s="35"/>
      <c r="BT564" s="35"/>
      <c r="BU564" s="35"/>
      <c r="BV564" s="35"/>
      <c r="BW564" s="35"/>
      <c r="BX564" s="35"/>
      <c r="BY564" s="35"/>
      <c r="BZ564" s="35"/>
      <c r="CA564" s="35"/>
      <c r="CB564" s="35"/>
      <c r="CC564" s="35"/>
      <c r="CD564" s="35"/>
      <c r="CE564" s="35"/>
      <c r="CF564" s="35"/>
      <c r="CG564" s="35"/>
      <c r="CH564" s="35"/>
      <c r="CI564" s="35"/>
      <c r="CJ564" s="35"/>
      <c r="CK564" s="35"/>
      <c r="CL564" s="35"/>
      <c r="CM564" s="35"/>
      <c r="CN564" s="35"/>
      <c r="CO564" s="35"/>
      <c r="CP564" s="35"/>
      <c r="CQ564" s="35"/>
      <c r="CR564" s="35"/>
      <c r="CS564" s="35"/>
      <c r="CT564" s="35"/>
      <c r="CU564" s="35"/>
      <c r="CV564" s="35"/>
      <c r="CW564" s="35"/>
      <c r="CX564" s="35"/>
      <c r="CY564" s="35"/>
      <c r="CZ564" s="35"/>
      <c r="DA564" s="35"/>
      <c r="DB564" s="35"/>
      <c r="DC564" s="35"/>
      <c r="DD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  <c r="BL565" s="35"/>
      <c r="BM565" s="35"/>
      <c r="BN565" s="35"/>
      <c r="BO565" s="35"/>
      <c r="BP565" s="35"/>
      <c r="BQ565" s="35"/>
      <c r="BR565" s="35"/>
      <c r="BS565" s="35"/>
      <c r="BT565" s="35"/>
      <c r="BU565" s="35"/>
      <c r="BV565" s="35"/>
      <c r="BW565" s="35"/>
      <c r="BX565" s="35"/>
      <c r="BY565" s="35"/>
      <c r="BZ565" s="35"/>
      <c r="CA565" s="35"/>
      <c r="CB565" s="35"/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  <c r="CP565" s="35"/>
      <c r="CQ565" s="35"/>
      <c r="CR565" s="35"/>
      <c r="CS565" s="35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35"/>
      <c r="BP567" s="35"/>
      <c r="BQ567" s="35"/>
      <c r="BR567" s="35"/>
      <c r="BS567" s="35"/>
      <c r="BT567" s="35"/>
      <c r="BU567" s="35"/>
      <c r="BV567" s="35"/>
      <c r="BW567" s="35"/>
      <c r="BX567" s="35"/>
      <c r="BY567" s="35"/>
      <c r="BZ567" s="35"/>
      <c r="CA567" s="35"/>
      <c r="CB567" s="35"/>
      <c r="CC567" s="35"/>
      <c r="CD567" s="35"/>
      <c r="CE567" s="35"/>
      <c r="CF567" s="35"/>
      <c r="CG567" s="35"/>
      <c r="CH567" s="35"/>
      <c r="CI567" s="35"/>
      <c r="CJ567" s="35"/>
      <c r="CK567" s="35"/>
      <c r="CL567" s="35"/>
      <c r="CM567" s="35"/>
      <c r="CN567" s="35"/>
      <c r="CO567" s="35"/>
      <c r="CP567" s="35"/>
      <c r="CQ567" s="35"/>
      <c r="CR567" s="35"/>
      <c r="CS567" s="35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35"/>
      <c r="BO568" s="35"/>
      <c r="BP568" s="35"/>
      <c r="BQ568" s="35"/>
      <c r="BR568" s="35"/>
      <c r="BS568" s="35"/>
      <c r="BT568" s="35"/>
      <c r="BU568" s="35"/>
      <c r="BV568" s="35"/>
      <c r="BW568" s="35"/>
      <c r="BX568" s="35"/>
      <c r="BY568" s="35"/>
      <c r="BZ568" s="35"/>
      <c r="CA568" s="35"/>
      <c r="CB568" s="35"/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  <c r="CP568" s="35"/>
      <c r="CQ568" s="35"/>
      <c r="CR568" s="35"/>
      <c r="CS568" s="35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35"/>
      <c r="BO572" s="35"/>
      <c r="BP572" s="35"/>
      <c r="BQ572" s="35"/>
      <c r="BR572" s="35"/>
      <c r="BS572" s="35"/>
      <c r="BT572" s="35"/>
      <c r="BU572" s="35"/>
      <c r="BV572" s="35"/>
      <c r="BW572" s="35"/>
      <c r="BX572" s="35"/>
      <c r="BY572" s="35"/>
      <c r="BZ572" s="35"/>
      <c r="CA572" s="35"/>
      <c r="CB572" s="35"/>
      <c r="CC572" s="35"/>
      <c r="CD572" s="35"/>
      <c r="CE572" s="35"/>
      <c r="CF572" s="35"/>
      <c r="CG572" s="35"/>
      <c r="CH572" s="35"/>
      <c r="CI572" s="35"/>
      <c r="CJ572" s="35"/>
      <c r="CK572" s="35"/>
      <c r="CL572" s="35"/>
      <c r="CM572" s="35"/>
      <c r="CN572" s="35"/>
      <c r="CO572" s="35"/>
      <c r="CP572" s="35"/>
      <c r="CQ572" s="35"/>
      <c r="CR572" s="35"/>
      <c r="CS572" s="35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5"/>
      <c r="BG573" s="35"/>
      <c r="BH573" s="35"/>
      <c r="BI573" s="35"/>
      <c r="BJ573" s="35"/>
      <c r="BK573" s="35"/>
      <c r="BL573" s="35"/>
      <c r="BM573" s="35"/>
      <c r="BN573" s="35"/>
      <c r="BO573" s="35"/>
      <c r="BP573" s="35"/>
      <c r="BQ573" s="35"/>
      <c r="BR573" s="35"/>
      <c r="BS573" s="35"/>
      <c r="BT573" s="35"/>
      <c r="BU573" s="35"/>
      <c r="BV573" s="35"/>
      <c r="BW573" s="35"/>
      <c r="BX573" s="35"/>
      <c r="BY573" s="35"/>
      <c r="BZ573" s="35"/>
      <c r="CA573" s="35"/>
      <c r="CB573" s="35"/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  <c r="CP573" s="35"/>
      <c r="CQ573" s="35"/>
      <c r="CR573" s="35"/>
      <c r="CS573" s="35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  <c r="BL574" s="35"/>
      <c r="BM574" s="35"/>
      <c r="BN574" s="35"/>
      <c r="BO574" s="35"/>
      <c r="BP574" s="35"/>
      <c r="BQ574" s="35"/>
      <c r="BR574" s="35"/>
      <c r="BS574" s="35"/>
      <c r="BT574" s="35"/>
      <c r="BU574" s="35"/>
      <c r="BV574" s="35"/>
      <c r="BW574" s="35"/>
      <c r="BX574" s="35"/>
      <c r="BY574" s="35"/>
      <c r="BZ574" s="35"/>
      <c r="CA574" s="35"/>
      <c r="CB574" s="35"/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  <c r="CN574" s="35"/>
      <c r="CO574" s="35"/>
      <c r="CP574" s="35"/>
      <c r="CQ574" s="35"/>
      <c r="CR574" s="35"/>
      <c r="CS574" s="35"/>
      <c r="CT574" s="35"/>
      <c r="CU574" s="35"/>
      <c r="CV574" s="35"/>
      <c r="CW574" s="35"/>
      <c r="CX574" s="35"/>
      <c r="CY574" s="35"/>
      <c r="CZ574" s="35"/>
      <c r="DA574" s="35"/>
      <c r="DB574" s="35"/>
      <c r="DC574" s="35"/>
      <c r="DD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  <c r="BL575" s="35"/>
      <c r="BM575" s="35"/>
      <c r="BN575" s="35"/>
      <c r="BO575" s="35"/>
      <c r="BP575" s="35"/>
      <c r="BQ575" s="35"/>
      <c r="BR575" s="35"/>
      <c r="BS575" s="35"/>
      <c r="BT575" s="35"/>
      <c r="BU575" s="35"/>
      <c r="BV575" s="35"/>
      <c r="BW575" s="35"/>
      <c r="BX575" s="35"/>
      <c r="BY575" s="35"/>
      <c r="BZ575" s="35"/>
      <c r="CA575" s="35"/>
      <c r="CB575" s="35"/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  <c r="CP575" s="35"/>
      <c r="CQ575" s="35"/>
      <c r="CR575" s="35"/>
      <c r="CS575" s="35"/>
      <c r="CT575" s="35"/>
      <c r="CU575" s="35"/>
      <c r="CV575" s="35"/>
      <c r="CW575" s="35"/>
      <c r="CX575" s="35"/>
      <c r="CY575" s="35"/>
      <c r="CZ575" s="35"/>
      <c r="DA575" s="35"/>
      <c r="DB575" s="35"/>
      <c r="DC575" s="35"/>
      <c r="DD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  <c r="BL576" s="35"/>
      <c r="BM576" s="35"/>
      <c r="BN576" s="35"/>
      <c r="BO576" s="35"/>
      <c r="BP576" s="35"/>
      <c r="BQ576" s="35"/>
      <c r="BR576" s="35"/>
      <c r="BS576" s="35"/>
      <c r="BT576" s="35"/>
      <c r="BU576" s="35"/>
      <c r="BV576" s="35"/>
      <c r="BW576" s="35"/>
      <c r="BX576" s="35"/>
      <c r="BY576" s="35"/>
      <c r="BZ576" s="35"/>
      <c r="CA576" s="35"/>
      <c r="CB576" s="35"/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  <c r="CP576" s="35"/>
      <c r="CQ576" s="35"/>
      <c r="CR576" s="35"/>
      <c r="CS576" s="35"/>
      <c r="CT576" s="35"/>
      <c r="CU576" s="35"/>
      <c r="CV576" s="35"/>
      <c r="CW576" s="35"/>
      <c r="CX576" s="35"/>
      <c r="CY576" s="35"/>
      <c r="CZ576" s="35"/>
      <c r="DA576" s="35"/>
      <c r="DB576" s="35"/>
      <c r="DC576" s="35"/>
      <c r="DD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35"/>
      <c r="BP577" s="35"/>
      <c r="BQ577" s="35"/>
      <c r="BR577" s="35"/>
      <c r="BS577" s="35"/>
      <c r="BT577" s="35"/>
      <c r="BU577" s="35"/>
      <c r="BV577" s="35"/>
      <c r="BW577" s="35"/>
      <c r="BX577" s="35"/>
      <c r="BY577" s="35"/>
      <c r="BZ577" s="35"/>
      <c r="CA577" s="35"/>
      <c r="CB577" s="35"/>
      <c r="CC577" s="35"/>
      <c r="CD577" s="35"/>
      <c r="CE577" s="35"/>
      <c r="CF577" s="35"/>
      <c r="CG577" s="35"/>
      <c r="CH577" s="35"/>
      <c r="CI577" s="35"/>
      <c r="CJ577" s="35"/>
      <c r="CK577" s="35"/>
      <c r="CL577" s="35"/>
      <c r="CM577" s="35"/>
      <c r="CN577" s="35"/>
      <c r="CO577" s="35"/>
      <c r="CP577" s="35"/>
      <c r="CQ577" s="35"/>
      <c r="CR577" s="35"/>
      <c r="CS577" s="35"/>
      <c r="CT577" s="35"/>
      <c r="CU577" s="35"/>
      <c r="CV577" s="35"/>
      <c r="CW577" s="35"/>
      <c r="CX577" s="35"/>
      <c r="CY577" s="35"/>
      <c r="CZ577" s="35"/>
      <c r="DA577" s="35"/>
      <c r="DB577" s="35"/>
      <c r="DC577" s="35"/>
      <c r="DD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  <c r="BL579" s="35"/>
      <c r="BM579" s="35"/>
      <c r="BN579" s="35"/>
      <c r="BO579" s="35"/>
      <c r="BP579" s="35"/>
      <c r="BQ579" s="35"/>
      <c r="BR579" s="35"/>
      <c r="BS579" s="35"/>
      <c r="BT579" s="35"/>
      <c r="BU579" s="35"/>
      <c r="BV579" s="35"/>
      <c r="BW579" s="35"/>
      <c r="BX579" s="35"/>
      <c r="BY579" s="35"/>
      <c r="BZ579" s="35"/>
      <c r="CA579" s="35"/>
      <c r="CB579" s="35"/>
      <c r="CC579" s="35"/>
      <c r="CD579" s="35"/>
      <c r="CE579" s="35"/>
      <c r="CF579" s="35"/>
      <c r="CG579" s="35"/>
      <c r="CH579" s="35"/>
      <c r="CI579" s="35"/>
      <c r="CJ579" s="35"/>
      <c r="CK579" s="35"/>
      <c r="CL579" s="35"/>
      <c r="CM579" s="35"/>
      <c r="CN579" s="35"/>
      <c r="CO579" s="35"/>
      <c r="CP579" s="35"/>
      <c r="CQ579" s="35"/>
      <c r="CR579" s="35"/>
      <c r="CS579" s="35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  <c r="BL583" s="35"/>
      <c r="BM583" s="35"/>
      <c r="BN583" s="35"/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/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  <c r="CP583" s="35"/>
      <c r="CQ583" s="35"/>
      <c r="CR583" s="35"/>
      <c r="CS583" s="35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  <c r="CP584" s="35"/>
      <c r="CQ584" s="35"/>
      <c r="CR584" s="35"/>
      <c r="CS584" s="35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  <c r="CP585" s="35"/>
      <c r="CQ585" s="35"/>
      <c r="CR585" s="35"/>
      <c r="CS585" s="35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  <c r="CP586" s="35"/>
      <c r="CQ586" s="35"/>
      <c r="CR586" s="35"/>
      <c r="CS586" s="35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  <c r="CP587" s="35"/>
      <c r="CQ587" s="35"/>
      <c r="CR587" s="35"/>
      <c r="CS587" s="35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/>
      <c r="BH594" s="35"/>
      <c r="BI594" s="35"/>
      <c r="BJ594" s="35"/>
      <c r="BK594" s="35"/>
      <c r="BL594" s="35"/>
      <c r="BM594" s="35"/>
      <c r="BN594" s="35"/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  <c r="CP595" s="35"/>
      <c r="CQ595" s="35"/>
      <c r="CR595" s="35"/>
      <c r="CS595" s="35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5"/>
      <c r="BG596" s="35"/>
      <c r="BH596" s="35"/>
      <c r="BI596" s="35"/>
      <c r="BJ596" s="35"/>
      <c r="BK596" s="35"/>
      <c r="BL596" s="35"/>
      <c r="BM596" s="35"/>
      <c r="BN596" s="35"/>
      <c r="BO596" s="35"/>
      <c r="BP596" s="35"/>
      <c r="BQ596" s="35"/>
      <c r="BR596" s="35"/>
      <c r="BS596" s="35"/>
      <c r="BT596" s="35"/>
      <c r="BU596" s="35"/>
      <c r="BV596" s="35"/>
      <c r="BW596" s="35"/>
      <c r="BX596" s="35"/>
      <c r="BY596" s="35"/>
      <c r="BZ596" s="35"/>
      <c r="CA596" s="35"/>
      <c r="CB596" s="35"/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  <c r="CP596" s="35"/>
      <c r="CQ596" s="35"/>
      <c r="CR596" s="35"/>
      <c r="CS596" s="35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  <c r="CP597" s="35"/>
      <c r="CQ597" s="35"/>
      <c r="CR597" s="35"/>
      <c r="CS597" s="35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  <c r="BU599" s="35"/>
      <c r="BV599" s="35"/>
      <c r="BW599" s="35"/>
      <c r="BX599" s="35"/>
      <c r="BY599" s="35"/>
      <c r="BZ599" s="35"/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  <c r="CP599" s="35"/>
      <c r="CQ599" s="35"/>
      <c r="CR599" s="35"/>
      <c r="CS599" s="35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/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  <c r="CP600" s="35"/>
      <c r="CQ600" s="35"/>
      <c r="CR600" s="35"/>
      <c r="CS600" s="35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5"/>
      <c r="BK601" s="35"/>
      <c r="BL601" s="35"/>
      <c r="BM601" s="35"/>
      <c r="BN601" s="35"/>
      <c r="BO601" s="35"/>
      <c r="BP601" s="35"/>
      <c r="BQ601" s="35"/>
      <c r="BR601" s="35"/>
      <c r="BS601" s="35"/>
      <c r="BT601" s="35"/>
      <c r="BU601" s="35"/>
      <c r="BV601" s="35"/>
      <c r="BW601" s="35"/>
      <c r="BX601" s="35"/>
      <c r="BY601" s="35"/>
      <c r="BZ601" s="35"/>
      <c r="CA601" s="35"/>
      <c r="CB601" s="35"/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  <c r="CP601" s="35"/>
      <c r="CQ601" s="35"/>
      <c r="CR601" s="35"/>
      <c r="CS601" s="35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  <c r="CP602" s="35"/>
      <c r="CQ602" s="35"/>
      <c r="CR602" s="35"/>
      <c r="CS602" s="35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  <c r="BL603" s="35"/>
      <c r="BM603" s="35"/>
      <c r="BN603" s="35"/>
      <c r="BO603" s="35"/>
      <c r="BP603" s="35"/>
      <c r="BQ603" s="35"/>
      <c r="BR603" s="35"/>
      <c r="BS603" s="35"/>
      <c r="BT603" s="35"/>
      <c r="BU603" s="35"/>
      <c r="BV603" s="35"/>
      <c r="BW603" s="35"/>
      <c r="BX603" s="35"/>
      <c r="BY603" s="35"/>
      <c r="BZ603" s="35"/>
      <c r="CA603" s="35"/>
      <c r="CB603" s="35"/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  <c r="CP603" s="35"/>
      <c r="CQ603" s="35"/>
      <c r="CR603" s="35"/>
      <c r="CS603" s="35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  <c r="CP604" s="35"/>
      <c r="CQ604" s="35"/>
      <c r="CR604" s="35"/>
      <c r="CS604" s="35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  <c r="CP605" s="35"/>
      <c r="CQ605" s="35"/>
      <c r="CR605" s="35"/>
      <c r="CS605" s="35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/>
      <c r="CA606" s="35"/>
      <c r="CB606" s="35"/>
      <c r="CC606" s="35"/>
      <c r="CD606" s="35"/>
      <c r="CE606" s="35"/>
      <c r="CF606" s="35"/>
      <c r="CG606" s="35"/>
      <c r="CH606" s="35"/>
      <c r="CI606" s="35"/>
      <c r="CJ606" s="35"/>
      <c r="CK606" s="35"/>
      <c r="CL606" s="35"/>
      <c r="CM606" s="35"/>
      <c r="CN606" s="35"/>
      <c r="CO606" s="35"/>
      <c r="CP606" s="35"/>
      <c r="CQ606" s="35"/>
      <c r="CR606" s="35"/>
      <c r="CS606" s="35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/>
      <c r="DD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  <c r="CP607" s="35"/>
      <c r="CQ607" s="35"/>
      <c r="CR607" s="35"/>
      <c r="CS607" s="35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  <c r="CP608" s="35"/>
      <c r="CQ608" s="35"/>
      <c r="CR608" s="35"/>
      <c r="CS608" s="35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/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  <c r="CP611" s="35"/>
      <c r="CQ611" s="35"/>
      <c r="CR611" s="35"/>
      <c r="CS611" s="35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/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  <c r="CP612" s="35"/>
      <c r="CQ612" s="35"/>
      <c r="CR612" s="35"/>
      <c r="CS612" s="35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5"/>
      <c r="BG613" s="35"/>
      <c r="BH613" s="35"/>
      <c r="BI613" s="35"/>
      <c r="BJ613" s="35"/>
      <c r="BK613" s="35"/>
      <c r="BL613" s="35"/>
      <c r="BM613" s="35"/>
      <c r="BN613" s="35"/>
      <c r="BO613" s="35"/>
      <c r="BP613" s="35"/>
      <c r="BQ613" s="35"/>
      <c r="BR613" s="35"/>
      <c r="BS613" s="35"/>
      <c r="BT613" s="35"/>
      <c r="BU613" s="35"/>
      <c r="BV613" s="35"/>
      <c r="BW613" s="35"/>
      <c r="BX613" s="35"/>
      <c r="BY613" s="35"/>
      <c r="BZ613" s="35"/>
      <c r="CA613" s="35"/>
      <c r="CB613" s="35"/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  <c r="CP613" s="35"/>
      <c r="CQ613" s="35"/>
      <c r="CR613" s="35"/>
      <c r="CS613" s="35"/>
      <c r="CT613" s="35"/>
      <c r="CU613" s="35"/>
      <c r="CV613" s="35"/>
      <c r="CW613" s="35"/>
      <c r="CX613" s="35"/>
      <c r="CY613" s="35"/>
      <c r="CZ613" s="35"/>
      <c r="DA613" s="35"/>
      <c r="DB613" s="35"/>
      <c r="DC613" s="35"/>
      <c r="DD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  <c r="CP614" s="35"/>
      <c r="CQ614" s="35"/>
      <c r="CR614" s="35"/>
      <c r="CS614" s="35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  <c r="CP615" s="35"/>
      <c r="CQ615" s="35"/>
      <c r="CR615" s="35"/>
      <c r="CS615" s="35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5"/>
      <c r="BG616" s="35"/>
      <c r="BH616" s="35"/>
      <c r="BI616" s="35"/>
      <c r="BJ616" s="35"/>
      <c r="BK616" s="35"/>
      <c r="BL616" s="35"/>
      <c r="BM616" s="35"/>
      <c r="BN616" s="35"/>
      <c r="BO616" s="35"/>
      <c r="BP616" s="35"/>
      <c r="BQ616" s="35"/>
      <c r="BR616" s="35"/>
      <c r="BS616" s="35"/>
      <c r="BT616" s="35"/>
      <c r="BU616" s="35"/>
      <c r="BV616" s="35"/>
      <c r="BW616" s="35"/>
      <c r="BX616" s="35"/>
      <c r="BY616" s="35"/>
      <c r="BZ616" s="35"/>
      <c r="CA616" s="35"/>
      <c r="CB616" s="35"/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  <c r="CP616" s="35"/>
      <c r="CQ616" s="35"/>
      <c r="CR616" s="35"/>
      <c r="CS616" s="35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/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  <c r="CP620" s="35"/>
      <c r="CQ620" s="35"/>
      <c r="CR620" s="35"/>
      <c r="CS620" s="35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  <c r="CP621" s="35"/>
      <c r="CQ621" s="35"/>
      <c r="CR621" s="35"/>
      <c r="CS621" s="35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/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  <c r="CP622" s="35"/>
      <c r="CQ622" s="35"/>
      <c r="CR622" s="35"/>
      <c r="CS622" s="35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  <c r="CP623" s="35"/>
      <c r="CQ623" s="35"/>
      <c r="CR623" s="35"/>
      <c r="CS623" s="35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  <c r="CP624" s="35"/>
      <c r="CQ624" s="35"/>
      <c r="CR624" s="35"/>
      <c r="CS624" s="35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  <c r="CP625" s="35"/>
      <c r="CQ625" s="35"/>
      <c r="CR625" s="35"/>
      <c r="CS625" s="35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/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  <c r="CP626" s="35"/>
      <c r="CQ626" s="35"/>
      <c r="CR626" s="35"/>
      <c r="CS626" s="35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  <c r="CP627" s="35"/>
      <c r="CQ627" s="35"/>
      <c r="CR627" s="35"/>
      <c r="CS627" s="35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/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  <c r="CP628" s="35"/>
      <c r="CQ628" s="35"/>
      <c r="CR628" s="35"/>
      <c r="CS628" s="35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5"/>
      <c r="BG629" s="35"/>
      <c r="BH629" s="35"/>
      <c r="BI629" s="35"/>
      <c r="BJ629" s="35"/>
      <c r="BK629" s="35"/>
      <c r="BL629" s="35"/>
      <c r="BM629" s="35"/>
      <c r="BN629" s="35"/>
      <c r="BO629" s="35"/>
      <c r="BP629" s="35"/>
      <c r="BQ629" s="35"/>
      <c r="BR629" s="35"/>
      <c r="BS629" s="35"/>
      <c r="BT629" s="35"/>
      <c r="BU629" s="35"/>
      <c r="BV629" s="35"/>
      <c r="BW629" s="35"/>
      <c r="BX629" s="35"/>
      <c r="BY629" s="35"/>
      <c r="BZ629" s="35"/>
      <c r="CA629" s="35"/>
      <c r="CB629" s="35"/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  <c r="CP629" s="35"/>
      <c r="CQ629" s="35"/>
      <c r="CR629" s="35"/>
      <c r="CS629" s="35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/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  <c r="CP630" s="35"/>
      <c r="CQ630" s="35"/>
      <c r="CR630" s="35"/>
      <c r="CS630" s="35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  <c r="CP636" s="35"/>
      <c r="CQ636" s="35"/>
      <c r="CR636" s="35"/>
      <c r="CS636" s="35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  <c r="CP637" s="35"/>
      <c r="CQ637" s="35"/>
      <c r="CR637" s="35"/>
      <c r="CS637" s="35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/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  <c r="CP638" s="35"/>
      <c r="CQ638" s="35"/>
      <c r="CR638" s="35"/>
      <c r="CS638" s="35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  <c r="BL639" s="35"/>
      <c r="BM639" s="35"/>
      <c r="BN639" s="35"/>
      <c r="BO639" s="35"/>
      <c r="BP639" s="35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/>
      <c r="CR639" s="35"/>
      <c r="CS639" s="35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  <c r="CP640" s="35"/>
      <c r="CQ640" s="35"/>
      <c r="CR640" s="35"/>
      <c r="CS640" s="35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/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  <c r="CP641" s="35"/>
      <c r="CQ641" s="35"/>
      <c r="CR641" s="35"/>
      <c r="CS641" s="35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/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  <c r="CP642" s="35"/>
      <c r="CQ642" s="35"/>
      <c r="CR642" s="35"/>
      <c r="CS642" s="35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  <c r="CP643" s="35"/>
      <c r="CQ643" s="35"/>
      <c r="CR643" s="35"/>
      <c r="CS643" s="35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35"/>
      <c r="BO644" s="35"/>
      <c r="BP644" s="35"/>
      <c r="BQ644" s="35"/>
      <c r="BR644" s="35"/>
      <c r="BS644" s="35"/>
      <c r="BT644" s="35"/>
      <c r="BU644" s="35"/>
      <c r="BV644" s="35"/>
      <c r="BW644" s="35"/>
      <c r="BX644" s="35"/>
      <c r="BY644" s="35"/>
      <c r="BZ644" s="35"/>
      <c r="CA644" s="35"/>
      <c r="CB644" s="35"/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  <c r="CP644" s="35"/>
      <c r="CQ644" s="35"/>
      <c r="CR644" s="35"/>
      <c r="CS644" s="35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  <c r="CP645" s="35"/>
      <c r="CQ645" s="35"/>
      <c r="CR645" s="35"/>
      <c r="CS645" s="35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  <c r="CP646" s="35"/>
      <c r="CQ646" s="35"/>
      <c r="CR646" s="35"/>
      <c r="CS646" s="35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  <c r="BL647" s="35"/>
      <c r="BM647" s="35"/>
      <c r="BN647" s="35"/>
      <c r="BO647" s="35"/>
      <c r="BP647" s="35"/>
      <c r="BQ647" s="35"/>
      <c r="BR647" s="35"/>
      <c r="BS647" s="35"/>
      <c r="BT647" s="35"/>
      <c r="BU647" s="35"/>
      <c r="BV647" s="35"/>
      <c r="BW647" s="35"/>
      <c r="BX647" s="35"/>
      <c r="BY647" s="35"/>
      <c r="BZ647" s="35"/>
      <c r="CA647" s="35"/>
      <c r="CB647" s="35"/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  <c r="CP647" s="35"/>
      <c r="CQ647" s="35"/>
      <c r="CR647" s="35"/>
      <c r="CS647" s="35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  <c r="CP648" s="35"/>
      <c r="CQ648" s="35"/>
      <c r="CR648" s="35"/>
      <c r="CS648" s="35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  <c r="CP649" s="35"/>
      <c r="CQ649" s="35"/>
      <c r="CR649" s="35"/>
      <c r="CS649" s="35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  <c r="CP650" s="35"/>
      <c r="CQ650" s="35"/>
      <c r="CR650" s="35"/>
      <c r="CS650" s="35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35"/>
      <c r="BP651" s="35"/>
      <c r="BQ651" s="35"/>
      <c r="BR651" s="35"/>
      <c r="BS651" s="35"/>
      <c r="BT651" s="35"/>
      <c r="BU651" s="35"/>
      <c r="BV651" s="35"/>
      <c r="BW651" s="35"/>
      <c r="BX651" s="35"/>
      <c r="BY651" s="35"/>
      <c r="BZ651" s="35"/>
      <c r="CA651" s="35"/>
      <c r="CB651" s="35"/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  <c r="CP651" s="35"/>
      <c r="CQ651" s="35"/>
      <c r="CR651" s="35"/>
      <c r="CS651" s="35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  <c r="CP652" s="35"/>
      <c r="CQ652" s="35"/>
      <c r="CR652" s="35"/>
      <c r="CS652" s="35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  <c r="BL653" s="35"/>
      <c r="BM653" s="35"/>
      <c r="BN653" s="35"/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/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  <c r="CP653" s="35"/>
      <c r="CQ653" s="35"/>
      <c r="CR653" s="35"/>
      <c r="CS653" s="35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  <c r="CP654" s="35"/>
      <c r="CQ654" s="35"/>
      <c r="CR654" s="35"/>
      <c r="CS654" s="35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  <c r="BL655" s="35"/>
      <c r="BM655" s="35"/>
      <c r="BN655" s="35"/>
      <c r="BO655" s="35"/>
      <c r="BP655" s="35"/>
      <c r="BQ655" s="35"/>
      <c r="BR655" s="35"/>
      <c r="BS655" s="35"/>
      <c r="BT655" s="35"/>
      <c r="BU655" s="35"/>
      <c r="BV655" s="35"/>
      <c r="BW655" s="35"/>
      <c r="BX655" s="35"/>
      <c r="BY655" s="35"/>
      <c r="BZ655" s="35"/>
      <c r="CA655" s="35"/>
      <c r="CB655" s="35"/>
      <c r="CC655" s="35"/>
      <c r="CD655" s="35"/>
      <c r="CE655" s="35"/>
      <c r="CF655" s="35"/>
      <c r="CG655" s="35"/>
      <c r="CH655" s="35"/>
      <c r="CI655" s="35"/>
      <c r="CJ655" s="35"/>
      <c r="CK655" s="35"/>
      <c r="CL655" s="35"/>
      <c r="CM655" s="35"/>
      <c r="CN655" s="35"/>
      <c r="CO655" s="35"/>
      <c r="CP655" s="35"/>
      <c r="CQ655" s="35"/>
      <c r="CR655" s="35"/>
      <c r="CS655" s="35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/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/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/>
      <c r="CL659" s="35"/>
      <c r="CM659" s="35"/>
      <c r="CN659" s="35"/>
      <c r="CO659" s="35"/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  <c r="CP660" s="35"/>
      <c r="CQ660" s="35"/>
      <c r="CR660" s="35"/>
      <c r="CS660" s="35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/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  <c r="CP661" s="35"/>
      <c r="CQ661" s="35"/>
      <c r="CR661" s="35"/>
      <c r="CS661" s="35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/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  <c r="CP663" s="35"/>
      <c r="CQ663" s="35"/>
      <c r="CR663" s="35"/>
      <c r="CS663" s="35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/>
      <c r="DD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  <c r="BL664" s="35"/>
      <c r="BM664" s="35"/>
      <c r="BN664" s="35"/>
      <c r="BO664" s="35"/>
      <c r="BP664" s="35"/>
      <c r="BQ664" s="35"/>
      <c r="BR664" s="35"/>
      <c r="BS664" s="35"/>
      <c r="BT664" s="35"/>
      <c r="BU664" s="35"/>
      <c r="BV664" s="35"/>
      <c r="BW664" s="35"/>
      <c r="BX664" s="35"/>
      <c r="BY664" s="35"/>
      <c r="BZ664" s="35"/>
      <c r="CA664" s="35"/>
      <c r="CB664" s="35"/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  <c r="CP664" s="35"/>
      <c r="CQ664" s="35"/>
      <c r="CR664" s="35"/>
      <c r="CS664" s="35"/>
      <c r="CT664" s="35"/>
      <c r="CU664" s="35"/>
      <c r="CV664" s="35"/>
      <c r="CW664" s="35"/>
      <c r="CX664" s="35"/>
      <c r="CY664" s="35"/>
      <c r="CZ664" s="35"/>
      <c r="DA664" s="35"/>
      <c r="DB664" s="35"/>
      <c r="DC664" s="35"/>
      <c r="DD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  <c r="CP665" s="35"/>
      <c r="CQ665" s="35"/>
      <c r="CR665" s="35"/>
      <c r="CS665" s="35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  <c r="CP666" s="35"/>
      <c r="CQ666" s="35"/>
      <c r="CR666" s="35"/>
      <c r="CS666" s="35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  <c r="CP667" s="35"/>
      <c r="CQ667" s="35"/>
      <c r="CR667" s="35"/>
      <c r="CS667" s="35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  <c r="CP671" s="35"/>
      <c r="CQ671" s="35"/>
      <c r="CR671" s="35"/>
      <c r="CS671" s="35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  <c r="CP672" s="35"/>
      <c r="CQ672" s="35"/>
      <c r="CR672" s="35"/>
      <c r="CS672" s="35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/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  <c r="CP673" s="35"/>
      <c r="CQ673" s="35"/>
      <c r="CR673" s="35"/>
      <c r="CS673" s="35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  <c r="BK674" s="35"/>
      <c r="BL674" s="35"/>
      <c r="BM674" s="35"/>
      <c r="BN674" s="35"/>
      <c r="BO674" s="35"/>
      <c r="BP674" s="35"/>
      <c r="BQ674" s="35"/>
      <c r="BR674" s="35"/>
      <c r="BS674" s="35"/>
      <c r="BT674" s="35"/>
      <c r="BU674" s="35"/>
      <c r="BV674" s="35"/>
      <c r="BW674" s="35"/>
      <c r="BX674" s="35"/>
      <c r="BY674" s="35"/>
      <c r="BZ674" s="35"/>
      <c r="CA674" s="35"/>
      <c r="CB674" s="35"/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  <c r="CP674" s="35"/>
      <c r="CQ674" s="35"/>
      <c r="CR674" s="35"/>
      <c r="CS674" s="35"/>
      <c r="CT674" s="35"/>
      <c r="CU674" s="35"/>
      <c r="CV674" s="35"/>
      <c r="CW674" s="35"/>
      <c r="CX674" s="35"/>
      <c r="CY674" s="35"/>
      <c r="CZ674" s="35"/>
      <c r="DA674" s="35"/>
      <c r="DB674" s="35"/>
      <c r="DC674" s="35"/>
      <c r="DD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  <c r="CP676" s="35"/>
      <c r="CQ676" s="35"/>
      <c r="CR676" s="35"/>
      <c r="CS676" s="35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  <c r="CP677" s="35"/>
      <c r="CQ677" s="35"/>
      <c r="CR677" s="35"/>
      <c r="CS677" s="35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  <c r="CP678" s="35"/>
      <c r="CQ678" s="35"/>
      <c r="CR678" s="35"/>
      <c r="CS678" s="35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  <c r="BU679" s="35"/>
      <c r="BV679" s="35"/>
      <c r="BW679" s="35"/>
      <c r="BX679" s="35"/>
      <c r="BY679" s="35"/>
      <c r="BZ679" s="35"/>
      <c r="CA679" s="35"/>
      <c r="CB679" s="35"/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  <c r="CN679" s="35"/>
      <c r="CO679" s="35"/>
      <c r="CP679" s="35"/>
      <c r="CQ679" s="35"/>
      <c r="CR679" s="35"/>
      <c r="CS679" s="35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  <c r="CP680" s="35"/>
      <c r="CQ680" s="35"/>
      <c r="CR680" s="35"/>
      <c r="CS680" s="35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  <c r="CP681" s="35"/>
      <c r="CQ681" s="35"/>
      <c r="CR681" s="35"/>
      <c r="CS681" s="35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  <c r="CP682" s="35"/>
      <c r="CQ682" s="35"/>
      <c r="CR682" s="35"/>
      <c r="CS682" s="35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  <c r="CP683" s="35"/>
      <c r="CQ683" s="35"/>
      <c r="CR683" s="35"/>
      <c r="CS683" s="35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  <c r="BK685" s="35"/>
      <c r="BL685" s="35"/>
      <c r="BM685" s="35"/>
      <c r="BN685" s="35"/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/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  <c r="CP685" s="35"/>
      <c r="CQ685" s="35"/>
      <c r="CR685" s="35"/>
      <c r="CS685" s="35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  <c r="CP686" s="35"/>
      <c r="CQ686" s="35"/>
      <c r="CR686" s="35"/>
      <c r="CS686" s="35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/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  <c r="CP687" s="35"/>
      <c r="CQ687" s="35"/>
      <c r="CR687" s="35"/>
      <c r="CS687" s="35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  <c r="CP688" s="35"/>
      <c r="CQ688" s="35"/>
      <c r="CR688" s="35"/>
      <c r="CS688" s="35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  <c r="CP689" s="35"/>
      <c r="CQ689" s="35"/>
      <c r="CR689" s="35"/>
      <c r="CS689" s="35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  <c r="CP690" s="35"/>
      <c r="CQ690" s="35"/>
      <c r="CR690" s="35"/>
      <c r="CS690" s="35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/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  <c r="CP691" s="35"/>
      <c r="CQ691" s="35"/>
      <c r="CR691" s="35"/>
      <c r="CS691" s="35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/>
      <c r="BH692" s="35"/>
      <c r="BI692" s="35"/>
      <c r="BJ692" s="35"/>
      <c r="BK692" s="35"/>
      <c r="BL692" s="35"/>
      <c r="BM692" s="35"/>
      <c r="BN692" s="35"/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/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  <c r="CP692" s="35"/>
      <c r="CQ692" s="35"/>
      <c r="CR692" s="35"/>
      <c r="CS692" s="35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  <c r="CP693" s="35"/>
      <c r="CQ693" s="35"/>
      <c r="CR693" s="35"/>
      <c r="CS693" s="35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  <c r="CP694" s="35"/>
      <c r="CQ694" s="35"/>
      <c r="CR694" s="35"/>
      <c r="CS694" s="35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/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  <c r="CP695" s="35"/>
      <c r="CQ695" s="35"/>
      <c r="CR695" s="35"/>
      <c r="CS695" s="35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  <c r="BA696" s="35"/>
      <c r="BB696" s="35"/>
      <c r="BC696" s="35"/>
      <c r="BD696" s="35"/>
      <c r="BE696" s="35"/>
      <c r="BF696" s="35"/>
      <c r="BG696" s="35"/>
      <c r="BH696" s="35"/>
      <c r="BI696" s="35"/>
      <c r="BJ696" s="35"/>
      <c r="BK696" s="35"/>
      <c r="BL696" s="35"/>
      <c r="BM696" s="35"/>
      <c r="BN696" s="35"/>
      <c r="BO696" s="35"/>
      <c r="BP696" s="35"/>
      <c r="BQ696" s="35"/>
      <c r="BR696" s="35"/>
      <c r="BS696" s="35"/>
      <c r="BT696" s="35"/>
      <c r="BU696" s="35"/>
      <c r="BV696" s="35"/>
      <c r="BW696" s="35"/>
      <c r="BX696" s="35"/>
      <c r="BY696" s="35"/>
      <c r="BZ696" s="35"/>
      <c r="CA696" s="35"/>
      <c r="CB696" s="35"/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  <c r="CP696" s="35"/>
      <c r="CQ696" s="35"/>
      <c r="CR696" s="35"/>
      <c r="CS696" s="35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  <c r="CP697" s="35"/>
      <c r="CQ697" s="35"/>
      <c r="CR697" s="35"/>
      <c r="CS697" s="35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  <c r="CP698" s="35"/>
      <c r="CQ698" s="35"/>
      <c r="CR698" s="35"/>
      <c r="CS698" s="35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  <c r="CP699" s="35"/>
      <c r="CQ699" s="35"/>
      <c r="CR699" s="35"/>
      <c r="CS699" s="35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/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  <c r="CP700" s="35"/>
      <c r="CQ700" s="35"/>
      <c r="CR700" s="35"/>
      <c r="CS700" s="35"/>
      <c r="CT700" s="35"/>
      <c r="CU700" s="35"/>
      <c r="CV700" s="35"/>
      <c r="CW700" s="35"/>
      <c r="CX700" s="35"/>
      <c r="CY700" s="35"/>
      <c r="CZ700" s="35"/>
      <c r="DA700" s="35"/>
      <c r="DB700" s="35"/>
      <c r="DC700" s="35"/>
      <c r="DD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/>
      <c r="BS701" s="35"/>
      <c r="BT701" s="35"/>
      <c r="BU701" s="35"/>
      <c r="BV701" s="35"/>
      <c r="BW701" s="35"/>
      <c r="BX701" s="35"/>
      <c r="BY701" s="35"/>
      <c r="BZ701" s="35"/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  <c r="CP701" s="35"/>
      <c r="CQ701" s="35"/>
      <c r="CR701" s="35"/>
      <c r="CS701" s="35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/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  <c r="CP702" s="35"/>
      <c r="CQ702" s="35"/>
      <c r="CR702" s="35"/>
      <c r="CS702" s="35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  <c r="BA703" s="35"/>
      <c r="BB703" s="35"/>
      <c r="BC703" s="35"/>
      <c r="BD703" s="35"/>
      <c r="BE703" s="35"/>
      <c r="BF703" s="35"/>
      <c r="BG703" s="35"/>
      <c r="BH703" s="35"/>
      <c r="BI703" s="35"/>
      <c r="BJ703" s="35"/>
      <c r="BK703" s="35"/>
      <c r="BL703" s="35"/>
      <c r="BM703" s="35"/>
      <c r="BN703" s="35"/>
      <c r="BO703" s="35"/>
      <c r="BP703" s="35"/>
      <c r="BQ703" s="35"/>
      <c r="BR703" s="35"/>
      <c r="BS703" s="35"/>
      <c r="BT703" s="35"/>
      <c r="BU703" s="35"/>
      <c r="BV703" s="35"/>
      <c r="BW703" s="35"/>
      <c r="BX703" s="35"/>
      <c r="BY703" s="35"/>
      <c r="BZ703" s="35"/>
      <c r="CA703" s="35"/>
      <c r="CB703" s="35"/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  <c r="CP703" s="35"/>
      <c r="CQ703" s="35"/>
      <c r="CR703" s="35"/>
      <c r="CS703" s="35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  <c r="CP704" s="35"/>
      <c r="CQ704" s="35"/>
      <c r="CR704" s="35"/>
      <c r="CS704" s="35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  <c r="CP705" s="35"/>
      <c r="CQ705" s="35"/>
      <c r="CR705" s="35"/>
      <c r="CS705" s="35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/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  <c r="CP706" s="35"/>
      <c r="CQ706" s="35"/>
      <c r="CR706" s="35"/>
      <c r="CS706" s="35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  <c r="CP707" s="35"/>
      <c r="CQ707" s="35"/>
      <c r="CR707" s="35"/>
      <c r="CS707" s="35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  <c r="CP708" s="35"/>
      <c r="CQ708" s="35"/>
      <c r="CR708" s="35"/>
      <c r="CS708" s="35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/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  <c r="CP709" s="35"/>
      <c r="CQ709" s="35"/>
      <c r="CR709" s="35"/>
      <c r="CS709" s="35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  <c r="CP710" s="35"/>
      <c r="CQ710" s="35"/>
      <c r="CR710" s="35"/>
      <c r="CS710" s="35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/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  <c r="CP711" s="35"/>
      <c r="CQ711" s="35"/>
      <c r="CR711" s="35"/>
      <c r="CS711" s="35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  <c r="CP712" s="35"/>
      <c r="CQ712" s="35"/>
      <c r="CR712" s="35"/>
      <c r="CS712" s="35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/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  <c r="CP713" s="35"/>
      <c r="CQ713" s="35"/>
      <c r="CR713" s="35"/>
      <c r="CS713" s="35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/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  <c r="CP714" s="35"/>
      <c r="CQ714" s="35"/>
      <c r="CR714" s="35"/>
      <c r="CS714" s="35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  <c r="CP715" s="35"/>
      <c r="CQ715" s="35"/>
      <c r="CR715" s="35"/>
      <c r="CS715" s="35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/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  <c r="CP716" s="35"/>
      <c r="CQ716" s="35"/>
      <c r="CR716" s="35"/>
      <c r="CS716" s="35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  <c r="CP717" s="35"/>
      <c r="CQ717" s="35"/>
      <c r="CR717" s="35"/>
      <c r="CS717" s="35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  <c r="CP718" s="35"/>
      <c r="CQ718" s="35"/>
      <c r="CR718" s="35"/>
      <c r="CS718" s="35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/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  <c r="CP719" s="35"/>
      <c r="CQ719" s="35"/>
      <c r="CR719" s="35"/>
      <c r="CS719" s="35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  <c r="CP720" s="35"/>
      <c r="CQ720" s="35"/>
      <c r="CR720" s="35"/>
      <c r="CS720" s="35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  <c r="CP721" s="35"/>
      <c r="CQ721" s="35"/>
      <c r="CR721" s="35"/>
      <c r="CS721" s="35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  <c r="BL722" s="35"/>
      <c r="BM722" s="35"/>
      <c r="BN722" s="35"/>
      <c r="BO722" s="35"/>
      <c r="BP722" s="35"/>
      <c r="BQ722" s="35"/>
      <c r="BR722" s="35"/>
      <c r="BS722" s="35"/>
      <c r="BT722" s="35"/>
      <c r="BU722" s="35"/>
      <c r="BV722" s="35"/>
      <c r="BW722" s="35"/>
      <c r="BX722" s="35"/>
      <c r="BY722" s="35"/>
      <c r="BZ722" s="35"/>
      <c r="CA722" s="35"/>
      <c r="CB722" s="35"/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  <c r="CP722" s="35"/>
      <c r="CQ722" s="35"/>
      <c r="CR722" s="35"/>
      <c r="CS722" s="35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/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  <c r="CP723" s="35"/>
      <c r="CQ723" s="35"/>
      <c r="CR723" s="35"/>
      <c r="CS723" s="35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  <c r="BA724" s="35"/>
      <c r="BB724" s="35"/>
      <c r="BC724" s="35"/>
      <c r="BD724" s="35"/>
      <c r="BE724" s="35"/>
      <c r="BF724" s="35"/>
      <c r="BG724" s="35"/>
      <c r="BH724" s="35"/>
      <c r="BI724" s="35"/>
      <c r="BJ724" s="35"/>
      <c r="BK724" s="35"/>
      <c r="BL724" s="35"/>
      <c r="BM724" s="35"/>
      <c r="BN724" s="35"/>
      <c r="BO724" s="35"/>
      <c r="BP724" s="35"/>
      <c r="BQ724" s="35"/>
      <c r="BR724" s="35"/>
      <c r="BS724" s="35"/>
      <c r="BT724" s="35"/>
      <c r="BU724" s="35"/>
      <c r="BV724" s="35"/>
      <c r="BW724" s="35"/>
      <c r="BX724" s="35"/>
      <c r="BY724" s="35"/>
      <c r="BZ724" s="35"/>
      <c r="CA724" s="35"/>
      <c r="CB724" s="35"/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  <c r="CP724" s="35"/>
      <c r="CQ724" s="35"/>
      <c r="CR724" s="35"/>
      <c r="CS724" s="35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/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  <c r="CP725" s="35"/>
      <c r="CQ725" s="35"/>
      <c r="CR725" s="35"/>
      <c r="CS725" s="35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  <c r="CP726" s="35"/>
      <c r="CQ726" s="35"/>
      <c r="CR726" s="35"/>
      <c r="CS726" s="35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  <c r="CP727" s="35"/>
      <c r="CQ727" s="35"/>
      <c r="CR727" s="35"/>
      <c r="CS727" s="35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  <c r="CP728" s="35"/>
      <c r="CQ728" s="35"/>
      <c r="CR728" s="35"/>
      <c r="CS728" s="35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  <c r="CP729" s="35"/>
      <c r="CQ729" s="35"/>
      <c r="CR729" s="35"/>
      <c r="CS729" s="35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/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  <c r="CP730" s="35"/>
      <c r="CQ730" s="35"/>
      <c r="CR730" s="35"/>
      <c r="CS730" s="35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  <c r="CP731" s="35"/>
      <c r="CQ731" s="35"/>
      <c r="CR731" s="35"/>
      <c r="CS731" s="35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35"/>
      <c r="BP732" s="35"/>
      <c r="BQ732" s="35"/>
      <c r="BR732" s="35"/>
      <c r="BS732" s="35"/>
      <c r="BT732" s="35"/>
      <c r="BU732" s="35"/>
      <c r="BV732" s="35"/>
      <c r="BW732" s="35"/>
      <c r="BX732" s="35"/>
      <c r="BY732" s="35"/>
      <c r="BZ732" s="35"/>
      <c r="CA732" s="35"/>
      <c r="CB732" s="35"/>
      <c r="CC732" s="35"/>
      <c r="CD732" s="35"/>
      <c r="CE732" s="35"/>
      <c r="CF732" s="35"/>
      <c r="CG732" s="35"/>
      <c r="CH732" s="35"/>
      <c r="CI732" s="35"/>
      <c r="CJ732" s="35"/>
      <c r="CK732" s="35"/>
      <c r="CL732" s="35"/>
      <c r="CM732" s="35"/>
      <c r="CN732" s="35"/>
      <c r="CO732" s="35"/>
      <c r="CP732" s="35"/>
      <c r="CQ732" s="35"/>
      <c r="CR732" s="35"/>
      <c r="CS732" s="35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  <c r="CP733" s="35"/>
      <c r="CQ733" s="35"/>
      <c r="CR733" s="35"/>
      <c r="CS733" s="35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  <c r="CP734" s="35"/>
      <c r="CQ734" s="35"/>
      <c r="CR734" s="35"/>
      <c r="CS734" s="35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  <c r="BA735" s="35"/>
      <c r="BB735" s="35"/>
      <c r="BC735" s="35"/>
      <c r="BD735" s="35"/>
      <c r="BE735" s="35"/>
      <c r="BF735" s="35"/>
      <c r="BG735" s="35"/>
      <c r="BH735" s="35"/>
      <c r="BI735" s="35"/>
      <c r="BJ735" s="35"/>
      <c r="BK735" s="35"/>
      <c r="BL735" s="35"/>
      <c r="BM735" s="35"/>
      <c r="BN735" s="35"/>
      <c r="BO735" s="35"/>
      <c r="BP735" s="35"/>
      <c r="BQ735" s="35"/>
      <c r="BR735" s="35"/>
      <c r="BS735" s="35"/>
      <c r="BT735" s="35"/>
      <c r="BU735" s="35"/>
      <c r="BV735" s="35"/>
      <c r="BW735" s="35"/>
      <c r="BX735" s="35"/>
      <c r="BY735" s="35"/>
      <c r="BZ735" s="35"/>
      <c r="CA735" s="35"/>
      <c r="CB735" s="35"/>
      <c r="CC735" s="35"/>
      <c r="CD735" s="35"/>
      <c r="CE735" s="35"/>
      <c r="CF735" s="35"/>
      <c r="CG735" s="35"/>
      <c r="CH735" s="35"/>
      <c r="CI735" s="35"/>
      <c r="CJ735" s="35"/>
      <c r="CK735" s="35"/>
      <c r="CL735" s="35"/>
      <c r="CM735" s="35"/>
      <c r="CN735" s="35"/>
      <c r="CO735" s="35"/>
      <c r="CP735" s="35"/>
      <c r="CQ735" s="35"/>
      <c r="CR735" s="35"/>
      <c r="CS735" s="35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  <c r="CP736" s="35"/>
      <c r="CQ736" s="35"/>
      <c r="CR736" s="35"/>
      <c r="CS736" s="35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/>
      <c r="BH737" s="35"/>
      <c r="BI737" s="35"/>
      <c r="BJ737" s="35"/>
      <c r="BK737" s="35"/>
      <c r="BL737" s="35"/>
      <c r="BM737" s="35"/>
      <c r="BN737" s="35"/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/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  <c r="CP737" s="35"/>
      <c r="CQ737" s="35"/>
      <c r="CR737" s="35"/>
      <c r="CS737" s="35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/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  <c r="CP738" s="35"/>
      <c r="CQ738" s="35"/>
      <c r="CR738" s="35"/>
      <c r="CS738" s="35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/>
      <c r="BH739" s="35"/>
      <c r="BI739" s="35"/>
      <c r="BJ739" s="35"/>
      <c r="BK739" s="35"/>
      <c r="BL739" s="35"/>
      <c r="BM739" s="35"/>
      <c r="BN739" s="35"/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/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  <c r="CP739" s="35"/>
      <c r="CQ739" s="35"/>
      <c r="CR739" s="35"/>
      <c r="CS739" s="35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  <c r="BA740" s="35"/>
      <c r="BB740" s="35"/>
      <c r="BC740" s="35"/>
      <c r="BD740" s="35"/>
      <c r="BE740" s="35"/>
      <c r="BF740" s="35"/>
      <c r="BG740" s="35"/>
      <c r="BH740" s="35"/>
      <c r="BI740" s="35"/>
      <c r="BJ740" s="35"/>
      <c r="BK740" s="35"/>
      <c r="BL740" s="35"/>
      <c r="BM740" s="35"/>
      <c r="BN740" s="35"/>
      <c r="BO740" s="35"/>
      <c r="BP740" s="35"/>
      <c r="BQ740" s="35"/>
      <c r="BR740" s="35"/>
      <c r="BS740" s="35"/>
      <c r="BT740" s="35"/>
      <c r="BU740" s="35"/>
      <c r="BV740" s="35"/>
      <c r="BW740" s="35"/>
      <c r="BX740" s="35"/>
      <c r="BY740" s="35"/>
      <c r="BZ740" s="35"/>
      <c r="CA740" s="35"/>
      <c r="CB740" s="35"/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  <c r="CP740" s="35"/>
      <c r="CQ740" s="35"/>
      <c r="CR740" s="35"/>
      <c r="CS740" s="35"/>
      <c r="CT740" s="35"/>
      <c r="CU740" s="35"/>
      <c r="CV740" s="35"/>
      <c r="CW740" s="35"/>
      <c r="CX740" s="35"/>
      <c r="CY740" s="35"/>
      <c r="CZ740" s="35"/>
      <c r="DA740" s="35"/>
      <c r="DB740" s="35"/>
      <c r="DC740" s="35"/>
      <c r="DD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  <c r="CP741" s="35"/>
      <c r="CQ741" s="35"/>
      <c r="CR741" s="35"/>
      <c r="CS741" s="35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/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  <c r="CP742" s="35"/>
      <c r="CQ742" s="35"/>
      <c r="CR742" s="35"/>
      <c r="CS742" s="35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  <c r="CP743" s="35"/>
      <c r="CQ743" s="35"/>
      <c r="CR743" s="35"/>
      <c r="CS743" s="35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/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  <c r="CP744" s="35"/>
      <c r="CQ744" s="35"/>
      <c r="CR744" s="35"/>
      <c r="CS744" s="35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  <c r="CP745" s="35"/>
      <c r="CQ745" s="35"/>
      <c r="CR745" s="35"/>
      <c r="CS745" s="35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  <c r="CP746" s="35"/>
      <c r="CQ746" s="35"/>
      <c r="CR746" s="35"/>
      <c r="CS746" s="35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/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  <c r="CP747" s="35"/>
      <c r="CQ747" s="35"/>
      <c r="CR747" s="35"/>
      <c r="CS747" s="35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  <c r="BA748" s="35"/>
      <c r="BB748" s="35"/>
      <c r="BC748" s="35"/>
      <c r="BD748" s="35"/>
      <c r="BE748" s="35"/>
      <c r="BF748" s="35"/>
      <c r="BG748" s="35"/>
      <c r="BH748" s="35"/>
      <c r="BI748" s="35"/>
      <c r="BJ748" s="35"/>
      <c r="BK748" s="35"/>
      <c r="BL748" s="35"/>
      <c r="BM748" s="35"/>
      <c r="BN748" s="35"/>
      <c r="BO748" s="35"/>
      <c r="BP748" s="35"/>
      <c r="BQ748" s="35"/>
      <c r="BR748" s="35"/>
      <c r="BS748" s="35"/>
      <c r="BT748" s="35"/>
      <c r="BU748" s="35"/>
      <c r="BV748" s="35"/>
      <c r="BW748" s="35"/>
      <c r="BX748" s="35"/>
      <c r="BY748" s="35"/>
      <c r="BZ748" s="35"/>
      <c r="CA748" s="35"/>
      <c r="CB748" s="35"/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  <c r="CP748" s="35"/>
      <c r="CQ748" s="35"/>
      <c r="CR748" s="35"/>
      <c r="CS748" s="35"/>
      <c r="CT748" s="35"/>
      <c r="CU748" s="35"/>
      <c r="CV748" s="35"/>
      <c r="CW748" s="35"/>
      <c r="CX748" s="35"/>
      <c r="CY748" s="35"/>
      <c r="CZ748" s="35"/>
      <c r="DA748" s="35"/>
      <c r="DB748" s="35"/>
      <c r="DC748" s="35"/>
      <c r="DD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  <c r="CP749" s="35"/>
      <c r="CQ749" s="35"/>
      <c r="CR749" s="35"/>
      <c r="CS749" s="35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  <c r="CP750" s="35"/>
      <c r="CQ750" s="35"/>
      <c r="CR750" s="35"/>
      <c r="CS750" s="35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  <c r="CP751" s="35"/>
      <c r="CQ751" s="35"/>
      <c r="CR751" s="35"/>
      <c r="CS751" s="35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/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  <c r="CP752" s="35"/>
      <c r="CQ752" s="35"/>
      <c r="CR752" s="35"/>
      <c r="CS752" s="35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  <c r="BL753" s="35"/>
      <c r="BM753" s="35"/>
      <c r="BN753" s="35"/>
      <c r="BO753" s="35"/>
      <c r="BP753" s="35"/>
      <c r="BQ753" s="35"/>
      <c r="BR753" s="35"/>
      <c r="BS753" s="35"/>
      <c r="BT753" s="35"/>
      <c r="BU753" s="35"/>
      <c r="BV753" s="35"/>
      <c r="BW753" s="35"/>
      <c r="BX753" s="35"/>
      <c r="BY753" s="35"/>
      <c r="BZ753" s="35"/>
      <c r="CA753" s="35"/>
      <c r="CB753" s="35"/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  <c r="CN753" s="35"/>
      <c r="CO753" s="35"/>
      <c r="CP753" s="35"/>
      <c r="CQ753" s="35"/>
      <c r="CR753" s="35"/>
      <c r="CS753" s="35"/>
      <c r="CT753" s="35"/>
      <c r="CU753" s="35"/>
      <c r="CV753" s="35"/>
      <c r="CW753" s="35"/>
      <c r="CX753" s="35"/>
      <c r="CY753" s="35"/>
      <c r="CZ753" s="35"/>
      <c r="DA753" s="35"/>
      <c r="DB753" s="35"/>
      <c r="DC753" s="35"/>
      <c r="DD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  <c r="CP754" s="35"/>
      <c r="CQ754" s="35"/>
      <c r="CR754" s="35"/>
      <c r="CS754" s="35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  <c r="CP755" s="35"/>
      <c r="CQ755" s="35"/>
      <c r="CR755" s="35"/>
      <c r="CS755" s="35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  <c r="CP756" s="35"/>
      <c r="CQ756" s="35"/>
      <c r="CR756" s="35"/>
      <c r="CS756" s="35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/>
      <c r="BH757" s="35"/>
      <c r="BI757" s="35"/>
      <c r="BJ757" s="35"/>
      <c r="BK757" s="35"/>
      <c r="BL757" s="35"/>
      <c r="BM757" s="35"/>
      <c r="BN757" s="35"/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/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  <c r="CP757" s="35"/>
      <c r="CQ757" s="35"/>
      <c r="CR757" s="35"/>
      <c r="CS757" s="35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  <c r="CP761" s="35"/>
      <c r="CQ761" s="35"/>
      <c r="CR761" s="35"/>
      <c r="CS761" s="35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/>
      <c r="BH762" s="35"/>
      <c r="BI762" s="35"/>
      <c r="BJ762" s="35"/>
      <c r="BK762" s="35"/>
      <c r="BL762" s="35"/>
      <c r="BM762" s="35"/>
      <c r="BN762" s="35"/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/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  <c r="CP762" s="35"/>
      <c r="CQ762" s="35"/>
      <c r="CR762" s="35"/>
      <c r="CS762" s="35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  <c r="BA764" s="35"/>
      <c r="BB764" s="35"/>
      <c r="BC764" s="35"/>
      <c r="BD764" s="35"/>
      <c r="BE764" s="35"/>
      <c r="BF764" s="35"/>
      <c r="BG764" s="35"/>
      <c r="BH764" s="35"/>
      <c r="BI764" s="35"/>
      <c r="BJ764" s="35"/>
      <c r="BK764" s="35"/>
      <c r="BL764" s="35"/>
      <c r="BM764" s="35"/>
      <c r="BN764" s="35"/>
      <c r="BO764" s="35"/>
      <c r="BP764" s="35"/>
      <c r="BQ764" s="35"/>
      <c r="BR764" s="35"/>
      <c r="BS764" s="35"/>
      <c r="BT764" s="35"/>
      <c r="BU764" s="35"/>
      <c r="BV764" s="35"/>
      <c r="BW764" s="35"/>
      <c r="BX764" s="35"/>
      <c r="BY764" s="35"/>
      <c r="BZ764" s="35"/>
      <c r="CA764" s="35"/>
      <c r="CB764" s="35"/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  <c r="CN764" s="35"/>
      <c r="CO764" s="35"/>
      <c r="CP764" s="35"/>
      <c r="CQ764" s="35"/>
      <c r="CR764" s="35"/>
      <c r="CS764" s="35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  <c r="BA766" s="35"/>
      <c r="BB766" s="35"/>
      <c r="BC766" s="35"/>
      <c r="BD766" s="35"/>
      <c r="BE766" s="35"/>
      <c r="BF766" s="35"/>
      <c r="BG766" s="35"/>
      <c r="BH766" s="35"/>
      <c r="BI766" s="35"/>
      <c r="BJ766" s="35"/>
      <c r="BK766" s="35"/>
      <c r="BL766" s="35"/>
      <c r="BM766" s="35"/>
      <c r="BN766" s="35"/>
      <c r="BO766" s="35"/>
      <c r="BP766" s="35"/>
      <c r="BQ766" s="35"/>
      <c r="BR766" s="35"/>
      <c r="BS766" s="35"/>
      <c r="BT766" s="35"/>
      <c r="BU766" s="35"/>
      <c r="BV766" s="35"/>
      <c r="BW766" s="35"/>
      <c r="BX766" s="35"/>
      <c r="BY766" s="35"/>
      <c r="BZ766" s="35"/>
      <c r="CA766" s="35"/>
      <c r="CB766" s="35"/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  <c r="CP766" s="35"/>
      <c r="CQ766" s="35"/>
      <c r="CR766" s="35"/>
      <c r="CS766" s="35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/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  <c r="CP767" s="35"/>
      <c r="CQ767" s="35"/>
      <c r="CR767" s="35"/>
      <c r="CS767" s="35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/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  <c r="CP768" s="35"/>
      <c r="CQ768" s="35"/>
      <c r="CR768" s="35"/>
      <c r="CS768" s="35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  <c r="CP769" s="35"/>
      <c r="CQ769" s="35"/>
      <c r="CR769" s="35"/>
      <c r="CS769" s="35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  <c r="CP770" s="35"/>
      <c r="CQ770" s="35"/>
      <c r="CR770" s="35"/>
      <c r="CS770" s="35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  <c r="BA771" s="35"/>
      <c r="BB771" s="35"/>
      <c r="BC771" s="35"/>
      <c r="BD771" s="35"/>
      <c r="BE771" s="35"/>
      <c r="BF771" s="35"/>
      <c r="BG771" s="35"/>
      <c r="BH771" s="35"/>
      <c r="BI771" s="35"/>
      <c r="BJ771" s="35"/>
      <c r="BK771" s="35"/>
      <c r="BL771" s="35"/>
      <c r="BM771" s="35"/>
      <c r="BN771" s="35"/>
      <c r="BO771" s="35"/>
      <c r="BP771" s="35"/>
      <c r="BQ771" s="35"/>
      <c r="BR771" s="35"/>
      <c r="BS771" s="35"/>
      <c r="BT771" s="35"/>
      <c r="BU771" s="35"/>
      <c r="BV771" s="35"/>
      <c r="BW771" s="35"/>
      <c r="BX771" s="35"/>
      <c r="BY771" s="35"/>
      <c r="BZ771" s="35"/>
      <c r="CA771" s="35"/>
      <c r="CB771" s="35"/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  <c r="CP771" s="35"/>
      <c r="CQ771" s="35"/>
      <c r="CR771" s="35"/>
      <c r="CS771" s="35"/>
      <c r="CT771" s="35"/>
      <c r="CU771" s="35"/>
      <c r="CV771" s="35"/>
      <c r="CW771" s="35"/>
      <c r="CX771" s="35"/>
      <c r="CY771" s="35"/>
      <c r="CZ771" s="35"/>
      <c r="DA771" s="35"/>
      <c r="DB771" s="35"/>
      <c r="DC771" s="35"/>
      <c r="DD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/>
      <c r="BH772" s="35"/>
      <c r="BI772" s="35"/>
      <c r="BJ772" s="35"/>
      <c r="BK772" s="35"/>
      <c r="BL772" s="35"/>
      <c r="BM772" s="35"/>
      <c r="BN772" s="35"/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/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  <c r="CP772" s="35"/>
      <c r="CQ772" s="35"/>
      <c r="CR772" s="35"/>
      <c r="CS772" s="35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  <c r="BA773" s="35"/>
      <c r="BB773" s="35"/>
      <c r="BC773" s="35"/>
      <c r="BD773" s="35"/>
      <c r="BE773" s="35"/>
      <c r="BF773" s="35"/>
      <c r="BG773" s="35"/>
      <c r="BH773" s="35"/>
      <c r="BI773" s="35"/>
      <c r="BJ773" s="35"/>
      <c r="BK773" s="35"/>
      <c r="BL773" s="35"/>
      <c r="BM773" s="35"/>
      <c r="BN773" s="35"/>
      <c r="BO773" s="35"/>
      <c r="BP773" s="35"/>
      <c r="BQ773" s="35"/>
      <c r="BR773" s="35"/>
      <c r="BS773" s="35"/>
      <c r="BT773" s="35"/>
      <c r="BU773" s="35"/>
      <c r="BV773" s="35"/>
      <c r="BW773" s="35"/>
      <c r="BX773" s="35"/>
      <c r="BY773" s="35"/>
      <c r="BZ773" s="35"/>
      <c r="CA773" s="35"/>
      <c r="CB773" s="35"/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  <c r="CP773" s="35"/>
      <c r="CQ773" s="35"/>
      <c r="CR773" s="35"/>
      <c r="CS773" s="35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  <c r="CP774" s="35"/>
      <c r="CQ774" s="35"/>
      <c r="CR774" s="35"/>
      <c r="CS774" s="35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35"/>
      <c r="BO775" s="35"/>
      <c r="BP775" s="35"/>
      <c r="BQ775" s="35"/>
      <c r="BR775" s="35"/>
      <c r="BS775" s="35"/>
      <c r="BT775" s="35"/>
      <c r="BU775" s="35"/>
      <c r="BV775" s="35"/>
      <c r="BW775" s="35"/>
      <c r="BX775" s="35"/>
      <c r="BY775" s="35"/>
      <c r="BZ775" s="35"/>
      <c r="CA775" s="35"/>
      <c r="CB775" s="35"/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  <c r="CP775" s="35"/>
      <c r="CQ775" s="35"/>
      <c r="CR775" s="35"/>
      <c r="CS775" s="35"/>
      <c r="CT775" s="35"/>
      <c r="CU775" s="35"/>
      <c r="CV775" s="35"/>
      <c r="CW775" s="35"/>
      <c r="CX775" s="35"/>
      <c r="CY775" s="35"/>
      <c r="CZ775" s="35"/>
      <c r="DA775" s="35"/>
      <c r="DB775" s="35"/>
      <c r="DC775" s="35"/>
      <c r="DD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  <c r="BA776" s="35"/>
      <c r="BB776" s="35"/>
      <c r="BC776" s="35"/>
      <c r="BD776" s="35"/>
      <c r="BE776" s="35"/>
      <c r="BF776" s="35"/>
      <c r="BG776" s="35"/>
      <c r="BH776" s="35"/>
      <c r="BI776" s="35"/>
      <c r="BJ776" s="35"/>
      <c r="BK776" s="35"/>
      <c r="BL776" s="35"/>
      <c r="BM776" s="35"/>
      <c r="BN776" s="35"/>
      <c r="BO776" s="35"/>
      <c r="BP776" s="35"/>
      <c r="BQ776" s="35"/>
      <c r="BR776" s="35"/>
      <c r="BS776" s="35"/>
      <c r="BT776" s="35"/>
      <c r="BU776" s="35"/>
      <c r="BV776" s="35"/>
      <c r="BW776" s="35"/>
      <c r="BX776" s="35"/>
      <c r="BY776" s="35"/>
      <c r="BZ776" s="35"/>
      <c r="CA776" s="35"/>
      <c r="CB776" s="35"/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  <c r="CP776" s="35"/>
      <c r="CQ776" s="35"/>
      <c r="CR776" s="35"/>
      <c r="CS776" s="35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  <c r="CP777" s="35"/>
      <c r="CQ777" s="35"/>
      <c r="CR777" s="35"/>
      <c r="CS777" s="35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/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  <c r="CP778" s="35"/>
      <c r="CQ778" s="35"/>
      <c r="CR778" s="35"/>
      <c r="CS778" s="35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  <c r="CP779" s="35"/>
      <c r="CQ779" s="35"/>
      <c r="CR779" s="35"/>
      <c r="CS779" s="35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/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  <c r="CP780" s="35"/>
      <c r="CQ780" s="35"/>
      <c r="CR780" s="35"/>
      <c r="CS780" s="35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  <c r="CP781" s="35"/>
      <c r="CQ781" s="35"/>
      <c r="CR781" s="35"/>
      <c r="CS781" s="35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/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  <c r="CP782" s="35"/>
      <c r="CQ782" s="35"/>
      <c r="CR782" s="35"/>
      <c r="CS782" s="35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  <c r="CP783" s="35"/>
      <c r="CQ783" s="35"/>
      <c r="CR783" s="35"/>
      <c r="CS783" s="35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/>
      <c r="BH784" s="35"/>
      <c r="BI784" s="35"/>
      <c r="BJ784" s="35"/>
      <c r="BK784" s="35"/>
      <c r="BL784" s="35"/>
      <c r="BM784" s="35"/>
      <c r="BN784" s="35"/>
      <c r="BO784" s="35"/>
      <c r="BP784" s="35"/>
      <c r="BQ784" s="35"/>
      <c r="BR784" s="35"/>
      <c r="BS784" s="35"/>
      <c r="BT784" s="35"/>
      <c r="BU784" s="35"/>
      <c r="BV784" s="35"/>
      <c r="BW784" s="35"/>
      <c r="BX784" s="35"/>
      <c r="BY784" s="35"/>
      <c r="BZ784" s="35"/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  <c r="CP784" s="35"/>
      <c r="CQ784" s="35"/>
      <c r="CR784" s="35"/>
      <c r="CS784" s="35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  <c r="BA785" s="35"/>
      <c r="BB785" s="35"/>
      <c r="BC785" s="35"/>
      <c r="BD785" s="35"/>
      <c r="BE785" s="35"/>
      <c r="BF785" s="35"/>
      <c r="BG785" s="35"/>
      <c r="BH785" s="35"/>
      <c r="BI785" s="35"/>
      <c r="BJ785" s="35"/>
      <c r="BK785" s="35"/>
      <c r="BL785" s="35"/>
      <c r="BM785" s="35"/>
      <c r="BN785" s="35"/>
      <c r="BO785" s="35"/>
      <c r="BP785" s="35"/>
      <c r="BQ785" s="35"/>
      <c r="BR785" s="35"/>
      <c r="BS785" s="35"/>
      <c r="BT785" s="35"/>
      <c r="BU785" s="35"/>
      <c r="BV785" s="35"/>
      <c r="BW785" s="35"/>
      <c r="BX785" s="35"/>
      <c r="BY785" s="35"/>
      <c r="BZ785" s="35"/>
      <c r="CA785" s="35"/>
      <c r="CB785" s="35"/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  <c r="CP785" s="35"/>
      <c r="CQ785" s="35"/>
      <c r="CR785" s="35"/>
      <c r="CS785" s="35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/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  <c r="CP786" s="35"/>
      <c r="CQ786" s="35"/>
      <c r="CR786" s="35"/>
      <c r="CS786" s="35"/>
      <c r="CT786" s="35"/>
      <c r="CU786" s="35"/>
      <c r="CV786" s="35"/>
      <c r="CW786" s="35"/>
      <c r="CX786" s="35"/>
      <c r="CY786" s="35"/>
      <c r="CZ786" s="35"/>
      <c r="DA786" s="35"/>
      <c r="DB786" s="35"/>
      <c r="DC786" s="35"/>
      <c r="DD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  <c r="CP787" s="35"/>
      <c r="CQ787" s="35"/>
      <c r="CR787" s="35"/>
      <c r="CS787" s="35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/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/>
      <c r="CN788" s="35"/>
      <c r="CO788" s="35"/>
      <c r="CP788" s="35"/>
      <c r="CQ788" s="35"/>
      <c r="CR788" s="35"/>
      <c r="CS788" s="35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/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  <c r="CP789" s="35"/>
      <c r="CQ789" s="35"/>
      <c r="CR789" s="35"/>
      <c r="CS789" s="35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  <c r="CP790" s="35"/>
      <c r="CQ790" s="35"/>
      <c r="CR790" s="35"/>
      <c r="CS790" s="35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/>
      <c r="BH791" s="35"/>
      <c r="BI791" s="35"/>
      <c r="BJ791" s="35"/>
      <c r="BK791" s="35"/>
      <c r="BL791" s="35"/>
      <c r="BM791" s="35"/>
      <c r="BN791" s="35"/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/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  <c r="CP791" s="35"/>
      <c r="CQ791" s="35"/>
      <c r="CR791" s="35"/>
      <c r="CS791" s="35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/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  <c r="CP792" s="35"/>
      <c r="CQ792" s="35"/>
      <c r="CR792" s="35"/>
      <c r="CS792" s="35"/>
      <c r="CT792" s="35"/>
      <c r="CU792" s="35"/>
      <c r="CV792" s="35"/>
      <c r="CW792" s="35"/>
      <c r="CX792" s="35"/>
      <c r="CY792" s="35"/>
      <c r="CZ792" s="35"/>
      <c r="DA792" s="35"/>
      <c r="DB792" s="35"/>
      <c r="DC792" s="35"/>
      <c r="DD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  <c r="CP793" s="35"/>
      <c r="CQ793" s="35"/>
      <c r="CR793" s="35"/>
      <c r="CS793" s="35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  <c r="BA794" s="35"/>
      <c r="BB794" s="35"/>
      <c r="BC794" s="35"/>
      <c r="BD794" s="35"/>
      <c r="BE794" s="35"/>
      <c r="BF794" s="35"/>
      <c r="BG794" s="35"/>
      <c r="BH794" s="35"/>
      <c r="BI794" s="35"/>
      <c r="BJ794" s="35"/>
      <c r="BK794" s="35"/>
      <c r="BL794" s="35"/>
      <c r="BM794" s="35"/>
      <c r="BN794" s="35"/>
      <c r="BO794" s="35"/>
      <c r="BP794" s="35"/>
      <c r="BQ794" s="35"/>
      <c r="BR794" s="35"/>
      <c r="BS794" s="35"/>
      <c r="BT794" s="35"/>
      <c r="BU794" s="35"/>
      <c r="BV794" s="3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  <c r="CP794" s="35"/>
      <c r="CQ794" s="35"/>
      <c r="CR794" s="35"/>
      <c r="CS794" s="35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  <c r="CP795" s="35"/>
      <c r="CQ795" s="35"/>
      <c r="CR795" s="35"/>
      <c r="CS795" s="35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/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  <c r="CP796" s="35"/>
      <c r="CQ796" s="35"/>
      <c r="CR796" s="35"/>
      <c r="CS796" s="35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  <c r="CP797" s="35"/>
      <c r="CQ797" s="35"/>
      <c r="CR797" s="35"/>
      <c r="CS797" s="35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  <c r="CP798" s="35"/>
      <c r="CQ798" s="35"/>
      <c r="CR798" s="35"/>
      <c r="CS798" s="35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  <c r="CP799" s="35"/>
      <c r="CQ799" s="35"/>
      <c r="CR799" s="35"/>
      <c r="CS799" s="35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  <c r="CP800" s="35"/>
      <c r="CQ800" s="35"/>
      <c r="CR800" s="35"/>
      <c r="CS800" s="35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/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  <c r="CP801" s="35"/>
      <c r="CQ801" s="35"/>
      <c r="CR801" s="35"/>
      <c r="CS801" s="35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/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  <c r="CP802" s="35"/>
      <c r="CQ802" s="35"/>
      <c r="CR802" s="35"/>
      <c r="CS802" s="35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  <c r="CP803" s="35"/>
      <c r="CQ803" s="35"/>
      <c r="CR803" s="35"/>
      <c r="CS803" s="35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  <c r="BA804" s="35"/>
      <c r="BB804" s="35"/>
      <c r="BC804" s="35"/>
      <c r="BD804" s="35"/>
      <c r="BE804" s="35"/>
      <c r="BF804" s="35"/>
      <c r="BG804" s="35"/>
      <c r="BH804" s="35"/>
      <c r="BI804" s="35"/>
      <c r="BJ804" s="35"/>
      <c r="BK804" s="35"/>
      <c r="BL804" s="35"/>
      <c r="BM804" s="35"/>
      <c r="BN804" s="35"/>
      <c r="BO804" s="35"/>
      <c r="BP804" s="35"/>
      <c r="BQ804" s="35"/>
      <c r="BR804" s="35"/>
      <c r="BS804" s="35"/>
      <c r="BT804" s="35"/>
      <c r="BU804" s="35"/>
      <c r="BV804" s="3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  <c r="CP804" s="35"/>
      <c r="CQ804" s="35"/>
      <c r="CR804" s="35"/>
      <c r="CS804" s="35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  <c r="BA805" s="35"/>
      <c r="BB805" s="35"/>
      <c r="BC805" s="35"/>
      <c r="BD805" s="35"/>
      <c r="BE805" s="35"/>
      <c r="BF805" s="35"/>
      <c r="BG805" s="35"/>
      <c r="BH805" s="35"/>
      <c r="BI805" s="35"/>
      <c r="BJ805" s="35"/>
      <c r="BK805" s="35"/>
      <c r="BL805" s="35"/>
      <c r="BM805" s="35"/>
      <c r="BN805" s="35"/>
      <c r="BO805" s="35"/>
      <c r="BP805" s="35"/>
      <c r="BQ805" s="35"/>
      <c r="BR805" s="35"/>
      <c r="BS805" s="35"/>
      <c r="BT805" s="35"/>
      <c r="BU805" s="35"/>
      <c r="BV805" s="3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  <c r="CG805" s="35"/>
      <c r="CH805" s="35"/>
      <c r="CI805" s="35"/>
      <c r="CJ805" s="35"/>
      <c r="CK805" s="35"/>
      <c r="CL805" s="35"/>
      <c r="CM805" s="35"/>
      <c r="CN805" s="35"/>
      <c r="CO805" s="35"/>
      <c r="CP805" s="35"/>
      <c r="CQ805" s="35"/>
      <c r="CR805" s="35"/>
      <c r="CS805" s="35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  <c r="CP806" s="35"/>
      <c r="CQ806" s="35"/>
      <c r="CR806" s="35"/>
      <c r="CS806" s="35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/>
      <c r="CA807" s="35"/>
      <c r="CB807" s="35"/>
      <c r="CC807" s="35"/>
      <c r="CD807" s="35"/>
      <c r="CE807" s="35"/>
      <c r="CF807" s="35"/>
      <c r="CG807" s="35"/>
      <c r="CH807" s="35"/>
      <c r="CI807" s="35"/>
      <c r="CJ807" s="35"/>
      <c r="CK807" s="35"/>
      <c r="CL807" s="35"/>
      <c r="CM807" s="35"/>
      <c r="CN807" s="35"/>
      <c r="CO807" s="35"/>
      <c r="CP807" s="35"/>
      <c r="CQ807" s="35"/>
      <c r="CR807" s="35"/>
      <c r="CS807" s="35"/>
      <c r="CT807" s="35"/>
      <c r="CU807" s="35"/>
      <c r="CV807" s="35"/>
      <c r="CW807" s="35"/>
      <c r="CX807" s="35"/>
      <c r="CY807" s="35"/>
      <c r="CZ807" s="35"/>
      <c r="DA807" s="35"/>
      <c r="DB807" s="35"/>
      <c r="DC807" s="35"/>
      <c r="DD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  <c r="CP808" s="35"/>
      <c r="CQ808" s="35"/>
      <c r="CR808" s="35"/>
      <c r="CS808" s="35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  <c r="CP809" s="35"/>
      <c r="CQ809" s="35"/>
      <c r="CR809" s="35"/>
      <c r="CS809" s="35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  <c r="CP810" s="35"/>
      <c r="CQ810" s="35"/>
      <c r="CR810" s="35"/>
      <c r="CS810" s="35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  <c r="CP811" s="35"/>
      <c r="CQ811" s="35"/>
      <c r="CR811" s="35"/>
      <c r="CS811" s="35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/>
      <c r="CN812" s="35"/>
      <c r="CO812" s="35"/>
      <c r="CP812" s="35"/>
      <c r="CQ812" s="35"/>
      <c r="CR812" s="35"/>
      <c r="CS812" s="35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  <c r="CP813" s="35"/>
      <c r="CQ813" s="35"/>
      <c r="CR813" s="35"/>
      <c r="CS813" s="35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  <c r="CN814" s="35"/>
      <c r="CO814" s="35"/>
      <c r="CP814" s="35"/>
      <c r="CQ814" s="35"/>
      <c r="CR814" s="35"/>
      <c r="CS814" s="35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  <c r="CP815" s="35"/>
      <c r="CQ815" s="35"/>
      <c r="CR815" s="35"/>
      <c r="CS815" s="35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  <c r="CP816" s="35"/>
      <c r="CQ816" s="35"/>
      <c r="CR816" s="35"/>
      <c r="CS816" s="35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  <c r="BA817" s="35"/>
      <c r="BB817" s="35"/>
      <c r="BC817" s="35"/>
      <c r="BD817" s="35"/>
      <c r="BE817" s="35"/>
      <c r="BF817" s="35"/>
      <c r="BG817" s="35"/>
      <c r="BH817" s="35"/>
      <c r="BI817" s="35"/>
      <c r="BJ817" s="35"/>
      <c r="BK817" s="35"/>
      <c r="BL817" s="35"/>
      <c r="BM817" s="35"/>
      <c r="BN817" s="35"/>
      <c r="BO817" s="35"/>
      <c r="BP817" s="35"/>
      <c r="BQ817" s="35"/>
      <c r="BR817" s="35"/>
      <c r="BS817" s="35"/>
      <c r="BT817" s="35"/>
      <c r="BU817" s="35"/>
      <c r="BV817" s="35"/>
      <c r="BW817" s="35"/>
      <c r="BX817" s="35"/>
      <c r="BY817" s="35"/>
      <c r="BZ817" s="35"/>
      <c r="CA817" s="35"/>
      <c r="CB817" s="35"/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  <c r="CP817" s="35"/>
      <c r="CQ817" s="35"/>
      <c r="CR817" s="35"/>
      <c r="CS817" s="35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/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  <c r="CP818" s="35"/>
      <c r="CQ818" s="35"/>
      <c r="CR818" s="35"/>
      <c r="CS818" s="35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/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  <c r="CP819" s="35"/>
      <c r="CQ819" s="35"/>
      <c r="CR819" s="35"/>
      <c r="CS819" s="35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  <c r="BA820" s="35"/>
      <c r="BB820" s="35"/>
      <c r="BC820" s="35"/>
      <c r="BD820" s="35"/>
      <c r="BE820" s="35"/>
      <c r="BF820" s="35"/>
      <c r="BG820" s="35"/>
      <c r="BH820" s="35"/>
      <c r="BI820" s="35"/>
      <c r="BJ820" s="35"/>
      <c r="BK820" s="35"/>
      <c r="BL820" s="35"/>
      <c r="BM820" s="35"/>
      <c r="BN820" s="35"/>
      <c r="BO820" s="35"/>
      <c r="BP820" s="35"/>
      <c r="BQ820" s="35"/>
      <c r="BR820" s="35"/>
      <c r="BS820" s="35"/>
      <c r="BT820" s="35"/>
      <c r="BU820" s="35"/>
      <c r="BV820" s="35"/>
      <c r="BW820" s="35"/>
      <c r="BX820" s="35"/>
      <c r="BY820" s="35"/>
      <c r="BZ820" s="35"/>
      <c r="CA820" s="35"/>
      <c r="CB820" s="35"/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  <c r="CN820" s="35"/>
      <c r="CO820" s="35"/>
      <c r="CP820" s="35"/>
      <c r="CQ820" s="35"/>
      <c r="CR820" s="35"/>
      <c r="CS820" s="35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/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  <c r="CP821" s="35"/>
      <c r="CQ821" s="35"/>
      <c r="CR821" s="35"/>
      <c r="CS821" s="35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  <c r="CP822" s="35"/>
      <c r="CQ822" s="35"/>
      <c r="CR822" s="35"/>
      <c r="CS822" s="35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  <c r="CP823" s="35"/>
      <c r="CQ823" s="35"/>
      <c r="CR823" s="35"/>
      <c r="CS823" s="35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/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  <c r="CP824" s="35"/>
      <c r="CQ824" s="35"/>
      <c r="CR824" s="35"/>
      <c r="CS824" s="35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  <c r="CP825" s="35"/>
      <c r="CQ825" s="35"/>
      <c r="CR825" s="35"/>
      <c r="CS825" s="35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/>
      <c r="BH826" s="35"/>
      <c r="BI826" s="35"/>
      <c r="BJ826" s="35"/>
      <c r="BK826" s="35"/>
      <c r="BL826" s="35"/>
      <c r="BM826" s="35"/>
      <c r="BN826" s="35"/>
      <c r="BO826" s="35"/>
      <c r="BP826" s="35"/>
      <c r="BQ826" s="35"/>
      <c r="BR826" s="35"/>
      <c r="BS826" s="35"/>
      <c r="BT826" s="35"/>
      <c r="BU826" s="35"/>
      <c r="BV826" s="35"/>
      <c r="BW826" s="35"/>
      <c r="BX826" s="35"/>
      <c r="BY826" s="35"/>
      <c r="BZ826" s="35"/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  <c r="CP826" s="35"/>
      <c r="CQ826" s="35"/>
      <c r="CR826" s="35"/>
      <c r="CS826" s="35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  <c r="CP827" s="35"/>
      <c r="CQ827" s="35"/>
      <c r="CR827" s="35"/>
      <c r="CS827" s="35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  <c r="CP828" s="35"/>
      <c r="CQ828" s="35"/>
      <c r="CR828" s="35"/>
      <c r="CS828" s="35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/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  <c r="CP829" s="35"/>
      <c r="CQ829" s="35"/>
      <c r="CR829" s="35"/>
      <c r="CS829" s="35"/>
      <c r="CT829" s="35"/>
      <c r="CU829" s="35"/>
      <c r="CV829" s="35"/>
      <c r="CW829" s="35"/>
      <c r="CX829" s="35"/>
      <c r="CY829" s="35"/>
      <c r="CZ829" s="35"/>
      <c r="DA829" s="35"/>
      <c r="DB829" s="35"/>
      <c r="DC829" s="35"/>
      <c r="DD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  <c r="CP830" s="35"/>
      <c r="CQ830" s="35"/>
      <c r="CR830" s="35"/>
      <c r="CS830" s="35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/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  <c r="CP831" s="35"/>
      <c r="CQ831" s="35"/>
      <c r="CR831" s="35"/>
      <c r="CS831" s="35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  <c r="CP832" s="35"/>
      <c r="CQ832" s="35"/>
      <c r="CR832" s="35"/>
      <c r="CS832" s="35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/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  <c r="CP833" s="35"/>
      <c r="CQ833" s="35"/>
      <c r="CR833" s="35"/>
      <c r="CS833" s="35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  <c r="CP834" s="35"/>
      <c r="CQ834" s="35"/>
      <c r="CR834" s="35"/>
      <c r="CS834" s="35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/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/>
      <c r="CP835" s="35"/>
      <c r="CQ835" s="35"/>
      <c r="CR835" s="35"/>
      <c r="CS835" s="35"/>
      <c r="CT835" s="35"/>
      <c r="CU835" s="35"/>
      <c r="CV835" s="35"/>
      <c r="CW835" s="35"/>
      <c r="CX835" s="35"/>
      <c r="CY835" s="35"/>
      <c r="CZ835" s="35"/>
      <c r="DA835" s="35"/>
      <c r="DB835" s="35"/>
      <c r="DC835" s="35"/>
      <c r="DD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  <c r="BA836" s="35"/>
      <c r="BB836" s="35"/>
      <c r="BC836" s="35"/>
      <c r="BD836" s="35"/>
      <c r="BE836" s="35"/>
      <c r="BF836" s="35"/>
      <c r="BG836" s="35"/>
      <c r="BH836" s="35"/>
      <c r="BI836" s="35"/>
      <c r="BJ836" s="35"/>
      <c r="BK836" s="35"/>
      <c r="BL836" s="35"/>
      <c r="BM836" s="35"/>
      <c r="BN836" s="35"/>
      <c r="BO836" s="35"/>
      <c r="BP836" s="35"/>
      <c r="BQ836" s="35"/>
      <c r="BR836" s="35"/>
      <c r="BS836" s="35"/>
      <c r="BT836" s="35"/>
      <c r="BU836" s="35"/>
      <c r="BV836" s="35"/>
      <c r="BW836" s="35"/>
      <c r="BX836" s="35"/>
      <c r="BY836" s="35"/>
      <c r="BZ836" s="35"/>
      <c r="CA836" s="35"/>
      <c r="CB836" s="35"/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  <c r="CP836" s="35"/>
      <c r="CQ836" s="35"/>
      <c r="CR836" s="35"/>
      <c r="CS836" s="35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/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  <c r="CP837" s="35"/>
      <c r="CQ837" s="35"/>
      <c r="CR837" s="35"/>
      <c r="CS837" s="35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35"/>
      <c r="BO838" s="35"/>
      <c r="BP838" s="35"/>
      <c r="BQ838" s="35"/>
      <c r="BR838" s="35"/>
      <c r="BS838" s="35"/>
      <c r="BT838" s="35"/>
      <c r="BU838" s="35"/>
      <c r="BV838" s="35"/>
      <c r="BW838" s="35"/>
      <c r="BX838" s="35"/>
      <c r="BY838" s="35"/>
      <c r="BZ838" s="35"/>
      <c r="CA838" s="35"/>
      <c r="CB838" s="35"/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  <c r="CP838" s="35"/>
      <c r="CQ838" s="35"/>
      <c r="CR838" s="35"/>
      <c r="CS838" s="35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  <c r="CP839" s="35"/>
      <c r="CQ839" s="35"/>
      <c r="CR839" s="35"/>
      <c r="CS839" s="35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  <c r="CP840" s="35"/>
      <c r="CQ840" s="35"/>
      <c r="CR840" s="35"/>
      <c r="CS840" s="35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  <c r="CP841" s="35"/>
      <c r="CQ841" s="35"/>
      <c r="CR841" s="35"/>
      <c r="CS841" s="35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  <c r="CP842" s="35"/>
      <c r="CQ842" s="35"/>
      <c r="CR842" s="35"/>
      <c r="CS842" s="35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  <c r="BA843" s="35"/>
      <c r="BB843" s="35"/>
      <c r="BC843" s="35"/>
      <c r="BD843" s="35"/>
      <c r="BE843" s="35"/>
      <c r="BF843" s="35"/>
      <c r="BG843" s="35"/>
      <c r="BH843" s="35"/>
      <c r="BI843" s="35"/>
      <c r="BJ843" s="35"/>
      <c r="BK843" s="35"/>
      <c r="BL843" s="35"/>
      <c r="BM843" s="35"/>
      <c r="BN843" s="35"/>
      <c r="BO843" s="35"/>
      <c r="BP843" s="35"/>
      <c r="BQ843" s="35"/>
      <c r="BR843" s="35"/>
      <c r="BS843" s="35"/>
      <c r="BT843" s="35"/>
      <c r="BU843" s="35"/>
      <c r="BV843" s="35"/>
      <c r="BW843" s="35"/>
      <c r="BX843" s="35"/>
      <c r="BY843" s="35"/>
      <c r="BZ843" s="35"/>
      <c r="CA843" s="35"/>
      <c r="CB843" s="35"/>
      <c r="CC843" s="35"/>
      <c r="CD843" s="35"/>
      <c r="CE843" s="35"/>
      <c r="CF843" s="35"/>
      <c r="CG843" s="35"/>
      <c r="CH843" s="35"/>
      <c r="CI843" s="35"/>
      <c r="CJ843" s="35"/>
      <c r="CK843" s="35"/>
      <c r="CL843" s="35"/>
      <c r="CM843" s="35"/>
      <c r="CN843" s="35"/>
      <c r="CO843" s="35"/>
      <c r="CP843" s="35"/>
      <c r="CQ843" s="35"/>
      <c r="CR843" s="35"/>
      <c r="CS843" s="35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/>
      <c r="BH844" s="35"/>
      <c r="BI844" s="35"/>
      <c r="BJ844" s="35"/>
      <c r="BK844" s="35"/>
      <c r="BL844" s="35"/>
      <c r="BM844" s="35"/>
      <c r="BN844" s="35"/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/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  <c r="CP844" s="35"/>
      <c r="CQ844" s="35"/>
      <c r="CR844" s="35"/>
      <c r="CS844" s="35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  <c r="CP845" s="35"/>
      <c r="CQ845" s="35"/>
      <c r="CR845" s="35"/>
      <c r="CS845" s="35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/>
      <c r="BH846" s="35"/>
      <c r="BI846" s="35"/>
      <c r="BJ846" s="35"/>
      <c r="BK846" s="35"/>
      <c r="BL846" s="35"/>
      <c r="BM846" s="35"/>
      <c r="BN846" s="35"/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/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  <c r="CP846" s="35"/>
      <c r="CQ846" s="35"/>
      <c r="CR846" s="35"/>
      <c r="CS846" s="35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  <c r="BA847" s="35"/>
      <c r="BB847" s="35"/>
      <c r="BC847" s="35"/>
      <c r="BD847" s="35"/>
      <c r="BE847" s="35"/>
      <c r="BF847" s="35"/>
      <c r="BG847" s="35"/>
      <c r="BH847" s="35"/>
      <c r="BI847" s="35"/>
      <c r="BJ847" s="35"/>
      <c r="BK847" s="35"/>
      <c r="BL847" s="35"/>
      <c r="BM847" s="35"/>
      <c r="BN847" s="35"/>
      <c r="BO847" s="35"/>
      <c r="BP847" s="35"/>
      <c r="BQ847" s="35"/>
      <c r="BR847" s="35"/>
      <c r="BS847" s="35"/>
      <c r="BT847" s="35"/>
      <c r="BU847" s="35"/>
      <c r="BV847" s="35"/>
      <c r="BW847" s="35"/>
      <c r="BX847" s="35"/>
      <c r="BY847" s="35"/>
      <c r="BZ847" s="35"/>
      <c r="CA847" s="35"/>
      <c r="CB847" s="35"/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  <c r="CP847" s="35"/>
      <c r="CQ847" s="35"/>
      <c r="CR847" s="35"/>
      <c r="CS847" s="35"/>
      <c r="CT847" s="35"/>
      <c r="CU847" s="35"/>
      <c r="CV847" s="35"/>
      <c r="CW847" s="35"/>
      <c r="CX847" s="35"/>
      <c r="CY847" s="35"/>
      <c r="CZ847" s="35"/>
      <c r="DA847" s="35"/>
      <c r="DB847" s="35"/>
      <c r="DC847" s="35"/>
      <c r="DD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/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  <c r="CP848" s="35"/>
      <c r="CQ848" s="35"/>
      <c r="CR848" s="35"/>
      <c r="CS848" s="35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/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  <c r="CP849" s="35"/>
      <c r="CQ849" s="35"/>
      <c r="CR849" s="35"/>
      <c r="CS849" s="35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35"/>
      <c r="BO850" s="35"/>
      <c r="BP850" s="35"/>
      <c r="BQ850" s="35"/>
      <c r="BR850" s="35"/>
      <c r="BS850" s="35"/>
      <c r="BT850" s="35"/>
      <c r="BU850" s="35"/>
      <c r="BV850" s="35"/>
      <c r="BW850" s="35"/>
      <c r="BX850" s="35"/>
      <c r="BY850" s="35"/>
      <c r="BZ850" s="35"/>
      <c r="CA850" s="35"/>
      <c r="CB850" s="35"/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  <c r="CN850" s="35"/>
      <c r="CO850" s="35"/>
      <c r="CP850" s="35"/>
      <c r="CQ850" s="35"/>
      <c r="CR850" s="35"/>
      <c r="CS850" s="35"/>
      <c r="CT850" s="35"/>
      <c r="CU850" s="35"/>
      <c r="CV850" s="35"/>
      <c r="CW850" s="35"/>
      <c r="CX850" s="35"/>
      <c r="CY850" s="35"/>
      <c r="CZ850" s="35"/>
      <c r="DA850" s="35"/>
      <c r="DB850" s="35"/>
      <c r="DC850" s="35"/>
      <c r="DD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  <c r="CP851" s="35"/>
      <c r="CQ851" s="35"/>
      <c r="CR851" s="35"/>
      <c r="CS851" s="35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  <c r="CP852" s="35"/>
      <c r="CQ852" s="35"/>
      <c r="CR852" s="35"/>
      <c r="CS852" s="35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  <c r="CP853" s="35"/>
      <c r="CQ853" s="35"/>
      <c r="CR853" s="35"/>
      <c r="CS853" s="35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  <c r="CP854" s="35"/>
      <c r="CQ854" s="35"/>
      <c r="CR854" s="35"/>
      <c r="CS854" s="35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  <c r="CP855" s="35"/>
      <c r="CQ855" s="35"/>
      <c r="CR855" s="35"/>
      <c r="CS855" s="35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  <c r="CP856" s="35"/>
      <c r="CQ856" s="35"/>
      <c r="CR856" s="35"/>
      <c r="CS856" s="35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  <c r="CP857" s="35"/>
      <c r="CQ857" s="35"/>
      <c r="CR857" s="35"/>
      <c r="CS857" s="35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/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  <c r="CP858" s="35"/>
      <c r="CQ858" s="35"/>
      <c r="CR858" s="35"/>
      <c r="CS858" s="35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  <c r="CP859" s="35"/>
      <c r="CQ859" s="35"/>
      <c r="CR859" s="35"/>
      <c r="CS859" s="35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  <c r="CP860" s="35"/>
      <c r="CQ860" s="35"/>
      <c r="CR860" s="35"/>
      <c r="CS860" s="35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  <c r="CP861" s="35"/>
      <c r="CQ861" s="35"/>
      <c r="CR861" s="35"/>
      <c r="CS861" s="35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  <c r="BA862" s="35"/>
      <c r="BB862" s="35"/>
      <c r="BC862" s="35"/>
      <c r="BD862" s="35"/>
      <c r="BE862" s="35"/>
      <c r="BF862" s="35"/>
      <c r="BG862" s="35"/>
      <c r="BH862" s="35"/>
      <c r="BI862" s="35"/>
      <c r="BJ862" s="35"/>
      <c r="BK862" s="35"/>
      <c r="BL862" s="35"/>
      <c r="BM862" s="35"/>
      <c r="BN862" s="35"/>
      <c r="BO862" s="35"/>
      <c r="BP862" s="35"/>
      <c r="BQ862" s="35"/>
      <c r="BR862" s="35"/>
      <c r="BS862" s="35"/>
      <c r="BT862" s="35"/>
      <c r="BU862" s="35"/>
      <c r="BV862" s="35"/>
      <c r="BW862" s="35"/>
      <c r="BX862" s="35"/>
      <c r="BY862" s="35"/>
      <c r="BZ862" s="35"/>
      <c r="CA862" s="35"/>
      <c r="CB862" s="35"/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  <c r="CP862" s="35"/>
      <c r="CQ862" s="35"/>
      <c r="CR862" s="35"/>
      <c r="CS862" s="35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  <c r="CP863" s="35"/>
      <c r="CQ863" s="35"/>
      <c r="CR863" s="35"/>
      <c r="CS863" s="35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  <c r="CP864" s="35"/>
      <c r="CQ864" s="35"/>
      <c r="CR864" s="35"/>
      <c r="CS864" s="35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/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  <c r="CP865" s="35"/>
      <c r="CQ865" s="35"/>
      <c r="CR865" s="35"/>
      <c r="CS865" s="35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  <c r="BA866" s="35"/>
      <c r="BB866" s="35"/>
      <c r="BC866" s="35"/>
      <c r="BD866" s="35"/>
      <c r="BE866" s="35"/>
      <c r="BF866" s="35"/>
      <c r="BG866" s="35"/>
      <c r="BH866" s="35"/>
      <c r="BI866" s="35"/>
      <c r="BJ866" s="35"/>
      <c r="BK866" s="35"/>
      <c r="BL866" s="35"/>
      <c r="BM866" s="35"/>
      <c r="BN866" s="35"/>
      <c r="BO866" s="35"/>
      <c r="BP866" s="35"/>
      <c r="BQ866" s="35"/>
      <c r="BR866" s="35"/>
      <c r="BS866" s="35"/>
      <c r="BT866" s="35"/>
      <c r="BU866" s="35"/>
      <c r="BV866" s="35"/>
      <c r="BW866" s="35"/>
      <c r="BX866" s="35"/>
      <c r="BY866" s="35"/>
      <c r="BZ866" s="35"/>
      <c r="CA866" s="35"/>
      <c r="CB866" s="35"/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  <c r="CP866" s="35"/>
      <c r="CQ866" s="35"/>
      <c r="CR866" s="35"/>
      <c r="CS866" s="35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  <c r="CP867" s="35"/>
      <c r="CQ867" s="35"/>
      <c r="CR867" s="35"/>
      <c r="CS867" s="35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  <c r="BA868" s="35"/>
      <c r="BB868" s="35"/>
      <c r="BC868" s="35"/>
      <c r="BD868" s="35"/>
      <c r="BE868" s="35"/>
      <c r="BF868" s="35"/>
      <c r="BG868" s="35"/>
      <c r="BH868" s="35"/>
      <c r="BI868" s="35"/>
      <c r="BJ868" s="35"/>
      <c r="BK868" s="35"/>
      <c r="BL868" s="35"/>
      <c r="BM868" s="35"/>
      <c r="BN868" s="35"/>
      <c r="BO868" s="35"/>
      <c r="BP868" s="35"/>
      <c r="BQ868" s="35"/>
      <c r="BR868" s="35"/>
      <c r="BS868" s="35"/>
      <c r="BT868" s="35"/>
      <c r="BU868" s="35"/>
      <c r="BV868" s="35"/>
      <c r="BW868" s="35"/>
      <c r="BX868" s="35"/>
      <c r="BY868" s="35"/>
      <c r="BZ868" s="35"/>
      <c r="CA868" s="35"/>
      <c r="CB868" s="35"/>
      <c r="CC868" s="35"/>
      <c r="CD868" s="35"/>
      <c r="CE868" s="35"/>
      <c r="CF868" s="35"/>
      <c r="CG868" s="35"/>
      <c r="CH868" s="35"/>
      <c r="CI868" s="35"/>
      <c r="CJ868" s="35"/>
      <c r="CK868" s="35"/>
      <c r="CL868" s="35"/>
      <c r="CM868" s="35"/>
      <c r="CN868" s="35"/>
      <c r="CO868" s="35"/>
      <c r="CP868" s="35"/>
      <c r="CQ868" s="35"/>
      <c r="CR868" s="35"/>
      <c r="CS868" s="35"/>
      <c r="CT868" s="35"/>
      <c r="CU868" s="35"/>
      <c r="CV868" s="35"/>
      <c r="CW868" s="35"/>
      <c r="CX868" s="35"/>
      <c r="CY868" s="35"/>
      <c r="CZ868" s="35"/>
      <c r="DA868" s="35"/>
      <c r="DB868" s="35"/>
      <c r="DC868" s="35"/>
      <c r="DD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  <c r="BA869" s="35"/>
      <c r="BB869" s="35"/>
      <c r="BC869" s="35"/>
      <c r="BD869" s="35"/>
      <c r="BE869" s="35"/>
      <c r="BF869" s="35"/>
      <c r="BG869" s="35"/>
      <c r="BH869" s="35"/>
      <c r="BI869" s="35"/>
      <c r="BJ869" s="35"/>
      <c r="BK869" s="35"/>
      <c r="BL869" s="35"/>
      <c r="BM869" s="35"/>
      <c r="BN869" s="35"/>
      <c r="BO869" s="35"/>
      <c r="BP869" s="35"/>
      <c r="BQ869" s="35"/>
      <c r="BR869" s="35"/>
      <c r="BS869" s="35"/>
      <c r="BT869" s="35"/>
      <c r="BU869" s="35"/>
      <c r="BV869" s="35"/>
      <c r="BW869" s="35"/>
      <c r="BX869" s="35"/>
      <c r="BY869" s="35"/>
      <c r="BZ869" s="35"/>
      <c r="CA869" s="35"/>
      <c r="CB869" s="35"/>
      <c r="CC869" s="35"/>
      <c r="CD869" s="35"/>
      <c r="CE869" s="35"/>
      <c r="CF869" s="35"/>
      <c r="CG869" s="35"/>
      <c r="CH869" s="35"/>
      <c r="CI869" s="35"/>
      <c r="CJ869" s="35"/>
      <c r="CK869" s="35"/>
      <c r="CL869" s="35"/>
      <c r="CM869" s="35"/>
      <c r="CN869" s="35"/>
      <c r="CO869" s="35"/>
      <c r="CP869" s="35"/>
      <c r="CQ869" s="35"/>
      <c r="CR869" s="35"/>
      <c r="CS869" s="35"/>
      <c r="CT869" s="35"/>
      <c r="CU869" s="35"/>
      <c r="CV869" s="35"/>
      <c r="CW869" s="35"/>
      <c r="CX869" s="35"/>
      <c r="CY869" s="35"/>
      <c r="CZ869" s="35"/>
      <c r="DA869" s="35"/>
      <c r="DB869" s="35"/>
      <c r="DC869" s="35"/>
      <c r="DD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  <c r="BA870" s="35"/>
      <c r="BB870" s="35"/>
      <c r="BC870" s="35"/>
      <c r="BD870" s="35"/>
      <c r="BE870" s="35"/>
      <c r="BF870" s="35"/>
      <c r="BG870" s="35"/>
      <c r="BH870" s="35"/>
      <c r="BI870" s="35"/>
      <c r="BJ870" s="35"/>
      <c r="BK870" s="35"/>
      <c r="BL870" s="35"/>
      <c r="BM870" s="35"/>
      <c r="BN870" s="35"/>
      <c r="BO870" s="35"/>
      <c r="BP870" s="35"/>
      <c r="BQ870" s="35"/>
      <c r="BR870" s="35"/>
      <c r="BS870" s="35"/>
      <c r="BT870" s="35"/>
      <c r="BU870" s="35"/>
      <c r="BV870" s="35"/>
      <c r="BW870" s="35"/>
      <c r="BX870" s="35"/>
      <c r="BY870" s="35"/>
      <c r="BZ870" s="35"/>
      <c r="CA870" s="35"/>
      <c r="CB870" s="35"/>
      <c r="CC870" s="35"/>
      <c r="CD870" s="35"/>
      <c r="CE870" s="35"/>
      <c r="CF870" s="35"/>
      <c r="CG870" s="35"/>
      <c r="CH870" s="35"/>
      <c r="CI870" s="35"/>
      <c r="CJ870" s="35"/>
      <c r="CK870" s="35"/>
      <c r="CL870" s="35"/>
      <c r="CM870" s="35"/>
      <c r="CN870" s="35"/>
      <c r="CO870" s="35"/>
      <c r="CP870" s="35"/>
      <c r="CQ870" s="35"/>
      <c r="CR870" s="35"/>
      <c r="CS870" s="35"/>
      <c r="CT870" s="35"/>
      <c r="CU870" s="35"/>
      <c r="CV870" s="35"/>
      <c r="CW870" s="35"/>
      <c r="CX870" s="35"/>
      <c r="CY870" s="35"/>
      <c r="CZ870" s="35"/>
      <c r="DA870" s="35"/>
      <c r="DB870" s="35"/>
      <c r="DC870" s="35"/>
      <c r="DD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  <c r="BA871" s="35"/>
      <c r="BB871" s="35"/>
      <c r="BC871" s="35"/>
      <c r="BD871" s="35"/>
      <c r="BE871" s="35"/>
      <c r="BF871" s="35"/>
      <c r="BG871" s="35"/>
      <c r="BH871" s="35"/>
      <c r="BI871" s="35"/>
      <c r="BJ871" s="35"/>
      <c r="BK871" s="35"/>
      <c r="BL871" s="35"/>
      <c r="BM871" s="35"/>
      <c r="BN871" s="35"/>
      <c r="BO871" s="35"/>
      <c r="BP871" s="35"/>
      <c r="BQ871" s="35"/>
      <c r="BR871" s="35"/>
      <c r="BS871" s="35"/>
      <c r="BT871" s="35"/>
      <c r="BU871" s="35"/>
      <c r="BV871" s="35"/>
      <c r="BW871" s="35"/>
      <c r="BX871" s="35"/>
      <c r="BY871" s="35"/>
      <c r="BZ871" s="35"/>
      <c r="CA871" s="35"/>
      <c r="CB871" s="35"/>
      <c r="CC871" s="35"/>
      <c r="CD871" s="35"/>
      <c r="CE871" s="35"/>
      <c r="CF871" s="35"/>
      <c r="CG871" s="35"/>
      <c r="CH871" s="35"/>
      <c r="CI871" s="35"/>
      <c r="CJ871" s="35"/>
      <c r="CK871" s="35"/>
      <c r="CL871" s="35"/>
      <c r="CM871" s="35"/>
      <c r="CN871" s="35"/>
      <c r="CO871" s="35"/>
      <c r="CP871" s="35"/>
      <c r="CQ871" s="35"/>
      <c r="CR871" s="35"/>
      <c r="CS871" s="35"/>
      <c r="CT871" s="35"/>
      <c r="CU871" s="35"/>
      <c r="CV871" s="35"/>
      <c r="CW871" s="35"/>
      <c r="CX871" s="35"/>
      <c r="CY871" s="35"/>
      <c r="CZ871" s="35"/>
      <c r="DA871" s="35"/>
      <c r="DB871" s="35"/>
      <c r="DC871" s="35"/>
      <c r="DD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  <c r="BA872" s="35"/>
      <c r="BB872" s="35"/>
      <c r="BC872" s="35"/>
      <c r="BD872" s="35"/>
      <c r="BE872" s="35"/>
      <c r="BF872" s="35"/>
      <c r="BG872" s="35"/>
      <c r="BH872" s="35"/>
      <c r="BI872" s="35"/>
      <c r="BJ872" s="35"/>
      <c r="BK872" s="35"/>
      <c r="BL872" s="35"/>
      <c r="BM872" s="35"/>
      <c r="BN872" s="35"/>
      <c r="BO872" s="35"/>
      <c r="BP872" s="35"/>
      <c r="BQ872" s="35"/>
      <c r="BR872" s="35"/>
      <c r="BS872" s="35"/>
      <c r="BT872" s="35"/>
      <c r="BU872" s="35"/>
      <c r="BV872" s="35"/>
      <c r="BW872" s="35"/>
      <c r="BX872" s="35"/>
      <c r="BY872" s="35"/>
      <c r="BZ872" s="35"/>
      <c r="CA872" s="35"/>
      <c r="CB872" s="35"/>
      <c r="CC872" s="35"/>
      <c r="CD872" s="35"/>
      <c r="CE872" s="35"/>
      <c r="CF872" s="35"/>
      <c r="CG872" s="35"/>
      <c r="CH872" s="35"/>
      <c r="CI872" s="35"/>
      <c r="CJ872" s="35"/>
      <c r="CK872" s="35"/>
      <c r="CL872" s="35"/>
      <c r="CM872" s="35"/>
      <c r="CN872" s="35"/>
      <c r="CO872" s="35"/>
      <c r="CP872" s="35"/>
      <c r="CQ872" s="35"/>
      <c r="CR872" s="35"/>
      <c r="CS872" s="35"/>
      <c r="CT872" s="35"/>
      <c r="CU872" s="35"/>
      <c r="CV872" s="35"/>
      <c r="CW872" s="35"/>
      <c r="CX872" s="35"/>
      <c r="CY872" s="35"/>
      <c r="CZ872" s="35"/>
      <c r="DA872" s="35"/>
      <c r="DB872" s="35"/>
      <c r="DC872" s="35"/>
      <c r="DD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  <c r="BA873" s="35"/>
      <c r="BB873" s="35"/>
      <c r="BC873" s="35"/>
      <c r="BD873" s="35"/>
      <c r="BE873" s="35"/>
      <c r="BF873" s="35"/>
      <c r="BG873" s="35"/>
      <c r="BH873" s="35"/>
      <c r="BI873" s="35"/>
      <c r="BJ873" s="35"/>
      <c r="BK873" s="35"/>
      <c r="BL873" s="35"/>
      <c r="BM873" s="35"/>
      <c r="BN873" s="35"/>
      <c r="BO873" s="35"/>
      <c r="BP873" s="35"/>
      <c r="BQ873" s="35"/>
      <c r="BR873" s="35"/>
      <c r="BS873" s="35"/>
      <c r="BT873" s="35"/>
      <c r="BU873" s="35"/>
      <c r="BV873" s="35"/>
      <c r="BW873" s="35"/>
      <c r="BX873" s="35"/>
      <c r="BY873" s="35"/>
      <c r="BZ873" s="35"/>
      <c r="CA873" s="35"/>
      <c r="CB873" s="35"/>
      <c r="CC873" s="35"/>
      <c r="CD873" s="35"/>
      <c r="CE873" s="35"/>
      <c r="CF873" s="35"/>
      <c r="CG873" s="35"/>
      <c r="CH873" s="35"/>
      <c r="CI873" s="35"/>
      <c r="CJ873" s="35"/>
      <c r="CK873" s="35"/>
      <c r="CL873" s="35"/>
      <c r="CM873" s="35"/>
      <c r="CN873" s="35"/>
      <c r="CO873" s="35"/>
      <c r="CP873" s="35"/>
      <c r="CQ873" s="35"/>
      <c r="CR873" s="35"/>
      <c r="CS873" s="35"/>
      <c r="CT873" s="35"/>
      <c r="CU873" s="35"/>
      <c r="CV873" s="35"/>
      <c r="CW873" s="35"/>
      <c r="CX873" s="35"/>
      <c r="CY873" s="35"/>
      <c r="CZ873" s="35"/>
      <c r="DA873" s="35"/>
      <c r="DB873" s="35"/>
      <c r="DC873" s="35"/>
      <c r="DD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  <c r="BA874" s="35"/>
      <c r="BB874" s="35"/>
      <c r="BC874" s="35"/>
      <c r="BD874" s="35"/>
      <c r="BE874" s="35"/>
      <c r="BF874" s="35"/>
      <c r="BG874" s="35"/>
      <c r="BH874" s="35"/>
      <c r="BI874" s="35"/>
      <c r="BJ874" s="35"/>
      <c r="BK874" s="35"/>
      <c r="BL874" s="35"/>
      <c r="BM874" s="35"/>
      <c r="BN874" s="35"/>
      <c r="BO874" s="35"/>
      <c r="BP874" s="35"/>
      <c r="BQ874" s="35"/>
      <c r="BR874" s="35"/>
      <c r="BS874" s="35"/>
      <c r="BT874" s="35"/>
      <c r="BU874" s="35"/>
      <c r="BV874" s="35"/>
      <c r="BW874" s="35"/>
      <c r="BX874" s="35"/>
      <c r="BY874" s="35"/>
      <c r="BZ874" s="35"/>
      <c r="CA874" s="35"/>
      <c r="CB874" s="35"/>
      <c r="CC874" s="35"/>
      <c r="CD874" s="35"/>
      <c r="CE874" s="35"/>
      <c r="CF874" s="35"/>
      <c r="CG874" s="35"/>
      <c r="CH874" s="35"/>
      <c r="CI874" s="35"/>
      <c r="CJ874" s="35"/>
      <c r="CK874" s="35"/>
      <c r="CL874" s="35"/>
      <c r="CM874" s="35"/>
      <c r="CN874" s="35"/>
      <c r="CO874" s="35"/>
      <c r="CP874" s="35"/>
      <c r="CQ874" s="35"/>
      <c r="CR874" s="35"/>
      <c r="CS874" s="35"/>
      <c r="CT874" s="35"/>
      <c r="CU874" s="35"/>
      <c r="CV874" s="35"/>
      <c r="CW874" s="35"/>
      <c r="CX874" s="35"/>
      <c r="CY874" s="35"/>
      <c r="CZ874" s="35"/>
      <c r="DA874" s="35"/>
      <c r="DB874" s="35"/>
      <c r="DC874" s="35"/>
      <c r="DD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  <c r="BA875" s="35"/>
      <c r="BB875" s="35"/>
      <c r="BC875" s="35"/>
      <c r="BD875" s="35"/>
      <c r="BE875" s="35"/>
      <c r="BF875" s="35"/>
      <c r="BG875" s="35"/>
      <c r="BH875" s="35"/>
      <c r="BI875" s="35"/>
      <c r="BJ875" s="35"/>
      <c r="BK875" s="35"/>
      <c r="BL875" s="35"/>
      <c r="BM875" s="35"/>
      <c r="BN875" s="35"/>
      <c r="BO875" s="35"/>
      <c r="BP875" s="35"/>
      <c r="BQ875" s="35"/>
      <c r="BR875" s="35"/>
      <c r="BS875" s="35"/>
      <c r="BT875" s="35"/>
      <c r="BU875" s="35"/>
      <c r="BV875" s="35"/>
      <c r="BW875" s="35"/>
      <c r="BX875" s="35"/>
      <c r="BY875" s="35"/>
      <c r="BZ875" s="35"/>
      <c r="CA875" s="35"/>
      <c r="CB875" s="35"/>
      <c r="CC875" s="35"/>
      <c r="CD875" s="35"/>
      <c r="CE875" s="35"/>
      <c r="CF875" s="35"/>
      <c r="CG875" s="35"/>
      <c r="CH875" s="35"/>
      <c r="CI875" s="35"/>
      <c r="CJ875" s="35"/>
      <c r="CK875" s="35"/>
      <c r="CL875" s="35"/>
      <c r="CM875" s="35"/>
      <c r="CN875" s="35"/>
      <c r="CO875" s="35"/>
      <c r="CP875" s="35"/>
      <c r="CQ875" s="35"/>
      <c r="CR875" s="35"/>
      <c r="CS875" s="35"/>
      <c r="CT875" s="35"/>
      <c r="CU875" s="35"/>
      <c r="CV875" s="35"/>
      <c r="CW875" s="35"/>
      <c r="CX875" s="35"/>
      <c r="CY875" s="35"/>
      <c r="CZ875" s="35"/>
      <c r="DA875" s="35"/>
      <c r="DB875" s="35"/>
      <c r="DC875" s="35"/>
      <c r="DD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  <c r="BA876" s="35"/>
      <c r="BB876" s="35"/>
      <c r="BC876" s="35"/>
      <c r="BD876" s="35"/>
      <c r="BE876" s="35"/>
      <c r="BF876" s="35"/>
      <c r="BG876" s="35"/>
      <c r="BH876" s="35"/>
      <c r="BI876" s="35"/>
      <c r="BJ876" s="35"/>
      <c r="BK876" s="35"/>
      <c r="BL876" s="35"/>
      <c r="BM876" s="35"/>
      <c r="BN876" s="35"/>
      <c r="BO876" s="35"/>
      <c r="BP876" s="35"/>
      <c r="BQ876" s="35"/>
      <c r="BR876" s="35"/>
      <c r="BS876" s="35"/>
      <c r="BT876" s="35"/>
      <c r="BU876" s="35"/>
      <c r="BV876" s="35"/>
      <c r="BW876" s="35"/>
      <c r="BX876" s="35"/>
      <c r="BY876" s="35"/>
      <c r="BZ876" s="35"/>
      <c r="CA876" s="35"/>
      <c r="CB876" s="35"/>
      <c r="CC876" s="35"/>
      <c r="CD876" s="35"/>
      <c r="CE876" s="35"/>
      <c r="CF876" s="35"/>
      <c r="CG876" s="35"/>
      <c r="CH876" s="35"/>
      <c r="CI876" s="35"/>
      <c r="CJ876" s="35"/>
      <c r="CK876" s="35"/>
      <c r="CL876" s="35"/>
      <c r="CM876" s="35"/>
      <c r="CN876" s="35"/>
      <c r="CO876" s="35"/>
      <c r="CP876" s="35"/>
      <c r="CQ876" s="35"/>
      <c r="CR876" s="35"/>
      <c r="CS876" s="35"/>
      <c r="CT876" s="35"/>
      <c r="CU876" s="35"/>
      <c r="CV876" s="35"/>
      <c r="CW876" s="35"/>
      <c r="CX876" s="35"/>
      <c r="CY876" s="35"/>
      <c r="CZ876" s="35"/>
      <c r="DA876" s="35"/>
      <c r="DB876" s="35"/>
      <c r="DC876" s="35"/>
      <c r="DD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  <c r="BA877" s="35"/>
      <c r="BB877" s="35"/>
      <c r="BC877" s="35"/>
      <c r="BD877" s="35"/>
      <c r="BE877" s="35"/>
      <c r="BF877" s="35"/>
      <c r="BG877" s="35"/>
      <c r="BH877" s="35"/>
      <c r="BI877" s="35"/>
      <c r="BJ877" s="35"/>
      <c r="BK877" s="35"/>
      <c r="BL877" s="35"/>
      <c r="BM877" s="35"/>
      <c r="BN877" s="35"/>
      <c r="BO877" s="35"/>
      <c r="BP877" s="35"/>
      <c r="BQ877" s="35"/>
      <c r="BR877" s="35"/>
      <c r="BS877" s="35"/>
      <c r="BT877" s="35"/>
      <c r="BU877" s="35"/>
      <c r="BV877" s="35"/>
      <c r="BW877" s="35"/>
      <c r="BX877" s="35"/>
      <c r="BY877" s="35"/>
      <c r="BZ877" s="35"/>
      <c r="CA877" s="35"/>
      <c r="CB877" s="35"/>
      <c r="CC877" s="35"/>
      <c r="CD877" s="35"/>
      <c r="CE877" s="35"/>
      <c r="CF877" s="35"/>
      <c r="CG877" s="35"/>
      <c r="CH877" s="35"/>
      <c r="CI877" s="35"/>
      <c r="CJ877" s="35"/>
      <c r="CK877" s="35"/>
      <c r="CL877" s="35"/>
      <c r="CM877" s="35"/>
      <c r="CN877" s="35"/>
      <c r="CO877" s="35"/>
      <c r="CP877" s="35"/>
      <c r="CQ877" s="35"/>
      <c r="CR877" s="35"/>
      <c r="CS877" s="35"/>
      <c r="CT877" s="35"/>
      <c r="CU877" s="35"/>
      <c r="CV877" s="35"/>
      <c r="CW877" s="35"/>
      <c r="CX877" s="35"/>
      <c r="CY877" s="35"/>
      <c r="CZ877" s="35"/>
      <c r="DA877" s="35"/>
      <c r="DB877" s="35"/>
      <c r="DC877" s="35"/>
      <c r="DD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  <c r="BA878" s="35"/>
      <c r="BB878" s="35"/>
      <c r="BC878" s="35"/>
      <c r="BD878" s="35"/>
      <c r="BE878" s="35"/>
      <c r="BF878" s="35"/>
      <c r="BG878" s="35"/>
      <c r="BH878" s="35"/>
      <c r="BI878" s="35"/>
      <c r="BJ878" s="35"/>
      <c r="BK878" s="35"/>
      <c r="BL878" s="35"/>
      <c r="BM878" s="35"/>
      <c r="BN878" s="35"/>
      <c r="BO878" s="35"/>
      <c r="BP878" s="35"/>
      <c r="BQ878" s="35"/>
      <c r="BR878" s="35"/>
      <c r="BS878" s="35"/>
      <c r="BT878" s="35"/>
      <c r="BU878" s="35"/>
      <c r="BV878" s="35"/>
      <c r="BW878" s="35"/>
      <c r="BX878" s="35"/>
      <c r="BY878" s="35"/>
      <c r="BZ878" s="35"/>
      <c r="CA878" s="35"/>
      <c r="CB878" s="35"/>
      <c r="CC878" s="35"/>
      <c r="CD878" s="35"/>
      <c r="CE878" s="35"/>
      <c r="CF878" s="35"/>
      <c r="CG878" s="35"/>
      <c r="CH878" s="35"/>
      <c r="CI878" s="35"/>
      <c r="CJ878" s="35"/>
      <c r="CK878" s="35"/>
      <c r="CL878" s="35"/>
      <c r="CM878" s="35"/>
      <c r="CN878" s="35"/>
      <c r="CO878" s="35"/>
      <c r="CP878" s="35"/>
      <c r="CQ878" s="35"/>
      <c r="CR878" s="35"/>
      <c r="CS878" s="35"/>
      <c r="CT878" s="35"/>
      <c r="CU878" s="35"/>
      <c r="CV878" s="35"/>
      <c r="CW878" s="35"/>
      <c r="CX878" s="35"/>
      <c r="CY878" s="35"/>
      <c r="CZ878" s="35"/>
      <c r="DA878" s="35"/>
      <c r="DB878" s="35"/>
      <c r="DC878" s="35"/>
      <c r="DD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  <c r="BA879" s="35"/>
      <c r="BB879" s="35"/>
      <c r="BC879" s="35"/>
      <c r="BD879" s="35"/>
      <c r="BE879" s="35"/>
      <c r="BF879" s="35"/>
      <c r="BG879" s="35"/>
      <c r="BH879" s="35"/>
      <c r="BI879" s="35"/>
      <c r="BJ879" s="35"/>
      <c r="BK879" s="35"/>
      <c r="BL879" s="35"/>
      <c r="BM879" s="35"/>
      <c r="BN879" s="35"/>
      <c r="BO879" s="35"/>
      <c r="BP879" s="35"/>
      <c r="BQ879" s="35"/>
      <c r="BR879" s="35"/>
      <c r="BS879" s="35"/>
      <c r="BT879" s="35"/>
      <c r="BU879" s="35"/>
      <c r="BV879" s="35"/>
      <c r="BW879" s="35"/>
      <c r="BX879" s="35"/>
      <c r="BY879" s="35"/>
      <c r="BZ879" s="35"/>
      <c r="CA879" s="35"/>
      <c r="CB879" s="35"/>
      <c r="CC879" s="35"/>
      <c r="CD879" s="35"/>
      <c r="CE879" s="35"/>
      <c r="CF879" s="35"/>
      <c r="CG879" s="35"/>
      <c r="CH879" s="35"/>
      <c r="CI879" s="35"/>
      <c r="CJ879" s="35"/>
      <c r="CK879" s="35"/>
      <c r="CL879" s="35"/>
      <c r="CM879" s="35"/>
      <c r="CN879" s="35"/>
      <c r="CO879" s="35"/>
      <c r="CP879" s="35"/>
      <c r="CQ879" s="35"/>
      <c r="CR879" s="35"/>
      <c r="CS879" s="35"/>
      <c r="CT879" s="35"/>
      <c r="CU879" s="35"/>
      <c r="CV879" s="35"/>
      <c r="CW879" s="35"/>
      <c r="CX879" s="35"/>
      <c r="CY879" s="35"/>
      <c r="CZ879" s="35"/>
      <c r="DA879" s="35"/>
      <c r="DB879" s="35"/>
      <c r="DC879" s="35"/>
      <c r="DD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  <c r="BA880" s="35"/>
      <c r="BB880" s="35"/>
      <c r="BC880" s="35"/>
      <c r="BD880" s="35"/>
      <c r="BE880" s="35"/>
      <c r="BF880" s="35"/>
      <c r="BG880" s="35"/>
      <c r="BH880" s="35"/>
      <c r="BI880" s="35"/>
      <c r="BJ880" s="35"/>
      <c r="BK880" s="35"/>
      <c r="BL880" s="35"/>
      <c r="BM880" s="35"/>
      <c r="BN880" s="35"/>
      <c r="BO880" s="35"/>
      <c r="BP880" s="35"/>
      <c r="BQ880" s="35"/>
      <c r="BR880" s="35"/>
      <c r="BS880" s="35"/>
      <c r="BT880" s="35"/>
      <c r="BU880" s="35"/>
      <c r="BV880" s="35"/>
      <c r="BW880" s="35"/>
      <c r="BX880" s="35"/>
      <c r="BY880" s="35"/>
      <c r="BZ880" s="35"/>
      <c r="CA880" s="35"/>
      <c r="CB880" s="35"/>
      <c r="CC880" s="35"/>
      <c r="CD880" s="35"/>
      <c r="CE880" s="35"/>
      <c r="CF880" s="35"/>
      <c r="CG880" s="35"/>
      <c r="CH880" s="35"/>
      <c r="CI880" s="35"/>
      <c r="CJ880" s="35"/>
      <c r="CK880" s="35"/>
      <c r="CL880" s="35"/>
      <c r="CM880" s="35"/>
      <c r="CN880" s="35"/>
      <c r="CO880" s="35"/>
      <c r="CP880" s="35"/>
      <c r="CQ880" s="35"/>
      <c r="CR880" s="35"/>
      <c r="CS880" s="35"/>
      <c r="CT880" s="35"/>
      <c r="CU880" s="35"/>
      <c r="CV880" s="35"/>
      <c r="CW880" s="35"/>
      <c r="CX880" s="35"/>
      <c r="CY880" s="35"/>
      <c r="CZ880" s="35"/>
      <c r="DA880" s="35"/>
      <c r="DB880" s="35"/>
      <c r="DC880" s="35"/>
      <c r="DD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  <c r="BA881" s="35"/>
      <c r="BB881" s="35"/>
      <c r="BC881" s="35"/>
      <c r="BD881" s="35"/>
      <c r="BE881" s="35"/>
      <c r="BF881" s="35"/>
      <c r="BG881" s="35"/>
      <c r="BH881" s="35"/>
      <c r="BI881" s="35"/>
      <c r="BJ881" s="35"/>
      <c r="BK881" s="35"/>
      <c r="BL881" s="35"/>
      <c r="BM881" s="35"/>
      <c r="BN881" s="35"/>
      <c r="BO881" s="35"/>
      <c r="BP881" s="35"/>
      <c r="BQ881" s="35"/>
      <c r="BR881" s="35"/>
      <c r="BS881" s="35"/>
      <c r="BT881" s="35"/>
      <c r="BU881" s="35"/>
      <c r="BV881" s="35"/>
      <c r="BW881" s="35"/>
      <c r="BX881" s="35"/>
      <c r="BY881" s="35"/>
      <c r="BZ881" s="35"/>
      <c r="CA881" s="35"/>
      <c r="CB881" s="35"/>
      <c r="CC881" s="35"/>
      <c r="CD881" s="35"/>
      <c r="CE881" s="35"/>
      <c r="CF881" s="35"/>
      <c r="CG881" s="35"/>
      <c r="CH881" s="35"/>
      <c r="CI881" s="35"/>
      <c r="CJ881" s="35"/>
      <c r="CK881" s="35"/>
      <c r="CL881" s="35"/>
      <c r="CM881" s="35"/>
      <c r="CN881" s="35"/>
      <c r="CO881" s="35"/>
      <c r="CP881" s="35"/>
      <c r="CQ881" s="35"/>
      <c r="CR881" s="35"/>
      <c r="CS881" s="35"/>
      <c r="CT881" s="35"/>
      <c r="CU881" s="35"/>
      <c r="CV881" s="35"/>
      <c r="CW881" s="35"/>
      <c r="CX881" s="35"/>
      <c r="CY881" s="35"/>
      <c r="CZ881" s="35"/>
      <c r="DA881" s="35"/>
      <c r="DB881" s="35"/>
      <c r="DC881" s="35"/>
      <c r="DD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  <c r="BA882" s="35"/>
      <c r="BB882" s="35"/>
      <c r="BC882" s="35"/>
      <c r="BD882" s="35"/>
      <c r="BE882" s="35"/>
      <c r="BF882" s="35"/>
      <c r="BG882" s="35"/>
      <c r="BH882" s="35"/>
      <c r="BI882" s="35"/>
      <c r="BJ882" s="35"/>
      <c r="BK882" s="35"/>
      <c r="BL882" s="35"/>
      <c r="BM882" s="35"/>
      <c r="BN882" s="35"/>
      <c r="BO882" s="35"/>
      <c r="BP882" s="35"/>
      <c r="BQ882" s="35"/>
      <c r="BR882" s="35"/>
      <c r="BS882" s="35"/>
      <c r="BT882" s="35"/>
      <c r="BU882" s="35"/>
      <c r="BV882" s="35"/>
      <c r="BW882" s="35"/>
      <c r="BX882" s="35"/>
      <c r="BY882" s="35"/>
      <c r="BZ882" s="35"/>
      <c r="CA882" s="35"/>
      <c r="CB882" s="35"/>
      <c r="CC882" s="35"/>
      <c r="CD882" s="35"/>
      <c r="CE882" s="35"/>
      <c r="CF882" s="35"/>
      <c r="CG882" s="35"/>
      <c r="CH882" s="35"/>
      <c r="CI882" s="35"/>
      <c r="CJ882" s="35"/>
      <c r="CK882" s="35"/>
      <c r="CL882" s="35"/>
      <c r="CM882" s="35"/>
      <c r="CN882" s="35"/>
      <c r="CO882" s="35"/>
      <c r="CP882" s="35"/>
      <c r="CQ882" s="35"/>
      <c r="CR882" s="35"/>
      <c r="CS882" s="35"/>
      <c r="CT882" s="35"/>
      <c r="CU882" s="35"/>
      <c r="CV882" s="35"/>
      <c r="CW882" s="35"/>
      <c r="CX882" s="35"/>
      <c r="CY882" s="35"/>
      <c r="CZ882" s="35"/>
      <c r="DA882" s="35"/>
      <c r="DB882" s="35"/>
      <c r="DC882" s="35"/>
      <c r="DD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  <c r="BA883" s="35"/>
      <c r="BB883" s="35"/>
      <c r="BC883" s="35"/>
      <c r="BD883" s="35"/>
      <c r="BE883" s="35"/>
      <c r="BF883" s="35"/>
      <c r="BG883" s="35"/>
      <c r="BH883" s="35"/>
      <c r="BI883" s="35"/>
      <c r="BJ883" s="35"/>
      <c r="BK883" s="35"/>
      <c r="BL883" s="35"/>
      <c r="BM883" s="35"/>
      <c r="BN883" s="35"/>
      <c r="BO883" s="35"/>
      <c r="BP883" s="35"/>
      <c r="BQ883" s="35"/>
      <c r="BR883" s="35"/>
      <c r="BS883" s="35"/>
      <c r="BT883" s="35"/>
      <c r="BU883" s="35"/>
      <c r="BV883" s="35"/>
      <c r="BW883" s="35"/>
      <c r="BX883" s="35"/>
      <c r="BY883" s="35"/>
      <c r="BZ883" s="35"/>
      <c r="CA883" s="35"/>
      <c r="CB883" s="35"/>
      <c r="CC883" s="35"/>
      <c r="CD883" s="35"/>
      <c r="CE883" s="35"/>
      <c r="CF883" s="35"/>
      <c r="CG883" s="35"/>
      <c r="CH883" s="35"/>
      <c r="CI883" s="35"/>
      <c r="CJ883" s="35"/>
      <c r="CK883" s="35"/>
      <c r="CL883" s="35"/>
      <c r="CM883" s="35"/>
      <c r="CN883" s="35"/>
      <c r="CO883" s="35"/>
      <c r="CP883" s="35"/>
      <c r="CQ883" s="35"/>
      <c r="CR883" s="35"/>
      <c r="CS883" s="35"/>
      <c r="CT883" s="35"/>
      <c r="CU883" s="35"/>
      <c r="CV883" s="35"/>
      <c r="CW883" s="35"/>
      <c r="CX883" s="35"/>
      <c r="CY883" s="35"/>
      <c r="CZ883" s="35"/>
      <c r="DA883" s="35"/>
      <c r="DB883" s="35"/>
      <c r="DC883" s="35"/>
      <c r="DD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  <c r="BA884" s="35"/>
      <c r="BB884" s="35"/>
      <c r="BC884" s="35"/>
      <c r="BD884" s="35"/>
      <c r="BE884" s="35"/>
      <c r="BF884" s="35"/>
      <c r="BG884" s="35"/>
      <c r="BH884" s="35"/>
      <c r="BI884" s="35"/>
      <c r="BJ884" s="35"/>
      <c r="BK884" s="35"/>
      <c r="BL884" s="35"/>
      <c r="BM884" s="35"/>
      <c r="BN884" s="35"/>
      <c r="BO884" s="35"/>
      <c r="BP884" s="35"/>
      <c r="BQ884" s="35"/>
      <c r="BR884" s="35"/>
      <c r="BS884" s="35"/>
      <c r="BT884" s="35"/>
      <c r="BU884" s="35"/>
      <c r="BV884" s="35"/>
      <c r="BW884" s="35"/>
      <c r="BX884" s="35"/>
      <c r="BY884" s="35"/>
      <c r="BZ884" s="35"/>
      <c r="CA884" s="35"/>
      <c r="CB884" s="35"/>
      <c r="CC884" s="35"/>
      <c r="CD884" s="35"/>
      <c r="CE884" s="35"/>
      <c r="CF884" s="35"/>
      <c r="CG884" s="35"/>
      <c r="CH884" s="35"/>
      <c r="CI884" s="35"/>
      <c r="CJ884" s="35"/>
      <c r="CK884" s="35"/>
      <c r="CL884" s="35"/>
      <c r="CM884" s="35"/>
      <c r="CN884" s="35"/>
      <c r="CO884" s="35"/>
      <c r="CP884" s="35"/>
      <c r="CQ884" s="35"/>
      <c r="CR884" s="35"/>
      <c r="CS884" s="35"/>
      <c r="CT884" s="35"/>
      <c r="CU884" s="35"/>
      <c r="CV884" s="35"/>
      <c r="CW884" s="35"/>
      <c r="CX884" s="35"/>
      <c r="CY884" s="35"/>
      <c r="CZ884" s="35"/>
      <c r="DA884" s="35"/>
      <c r="DB884" s="35"/>
      <c r="DC884" s="35"/>
      <c r="DD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  <c r="BA885" s="35"/>
      <c r="BB885" s="35"/>
      <c r="BC885" s="35"/>
      <c r="BD885" s="35"/>
      <c r="BE885" s="35"/>
      <c r="BF885" s="35"/>
      <c r="BG885" s="35"/>
      <c r="BH885" s="35"/>
      <c r="BI885" s="35"/>
      <c r="BJ885" s="35"/>
      <c r="BK885" s="35"/>
      <c r="BL885" s="35"/>
      <c r="BM885" s="35"/>
      <c r="BN885" s="35"/>
      <c r="BO885" s="35"/>
      <c r="BP885" s="35"/>
      <c r="BQ885" s="35"/>
      <c r="BR885" s="35"/>
      <c r="BS885" s="35"/>
      <c r="BT885" s="35"/>
      <c r="BU885" s="35"/>
      <c r="BV885" s="35"/>
      <c r="BW885" s="35"/>
      <c r="BX885" s="35"/>
      <c r="BY885" s="35"/>
      <c r="BZ885" s="35"/>
      <c r="CA885" s="35"/>
      <c r="CB885" s="35"/>
      <c r="CC885" s="35"/>
      <c r="CD885" s="35"/>
      <c r="CE885" s="35"/>
      <c r="CF885" s="35"/>
      <c r="CG885" s="35"/>
      <c r="CH885" s="35"/>
      <c r="CI885" s="35"/>
      <c r="CJ885" s="35"/>
      <c r="CK885" s="35"/>
      <c r="CL885" s="35"/>
      <c r="CM885" s="35"/>
      <c r="CN885" s="35"/>
      <c r="CO885" s="35"/>
      <c r="CP885" s="35"/>
      <c r="CQ885" s="35"/>
      <c r="CR885" s="35"/>
      <c r="CS885" s="35"/>
      <c r="CT885" s="35"/>
      <c r="CU885" s="35"/>
      <c r="CV885" s="35"/>
      <c r="CW885" s="35"/>
      <c r="CX885" s="35"/>
      <c r="CY885" s="35"/>
      <c r="CZ885" s="35"/>
      <c r="DA885" s="35"/>
      <c r="DB885" s="35"/>
      <c r="DC885" s="35"/>
      <c r="DD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  <c r="BA886" s="35"/>
      <c r="BB886" s="35"/>
      <c r="BC886" s="35"/>
      <c r="BD886" s="35"/>
      <c r="BE886" s="35"/>
      <c r="BF886" s="35"/>
      <c r="BG886" s="35"/>
      <c r="BH886" s="35"/>
      <c r="BI886" s="35"/>
      <c r="BJ886" s="35"/>
      <c r="BK886" s="35"/>
      <c r="BL886" s="35"/>
      <c r="BM886" s="35"/>
      <c r="BN886" s="35"/>
      <c r="BO886" s="35"/>
      <c r="BP886" s="35"/>
      <c r="BQ886" s="35"/>
      <c r="BR886" s="35"/>
      <c r="BS886" s="35"/>
      <c r="BT886" s="35"/>
      <c r="BU886" s="35"/>
      <c r="BV886" s="35"/>
      <c r="BW886" s="35"/>
      <c r="BX886" s="35"/>
      <c r="BY886" s="35"/>
      <c r="BZ886" s="35"/>
      <c r="CA886" s="35"/>
      <c r="CB886" s="35"/>
      <c r="CC886" s="35"/>
      <c r="CD886" s="35"/>
      <c r="CE886" s="35"/>
      <c r="CF886" s="35"/>
      <c r="CG886" s="35"/>
      <c r="CH886" s="35"/>
      <c r="CI886" s="35"/>
      <c r="CJ886" s="35"/>
      <c r="CK886" s="35"/>
      <c r="CL886" s="35"/>
      <c r="CM886" s="35"/>
      <c r="CN886" s="35"/>
      <c r="CO886" s="35"/>
      <c r="CP886" s="35"/>
      <c r="CQ886" s="35"/>
      <c r="CR886" s="35"/>
      <c r="CS886" s="35"/>
      <c r="CT886" s="35"/>
      <c r="CU886" s="35"/>
      <c r="CV886" s="35"/>
      <c r="CW886" s="35"/>
      <c r="CX886" s="35"/>
      <c r="CY886" s="35"/>
      <c r="CZ886" s="35"/>
      <c r="DA886" s="35"/>
      <c r="DB886" s="35"/>
      <c r="DC886" s="35"/>
      <c r="DD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  <c r="BA887" s="35"/>
      <c r="BB887" s="35"/>
      <c r="BC887" s="35"/>
      <c r="BD887" s="35"/>
      <c r="BE887" s="35"/>
      <c r="BF887" s="35"/>
      <c r="BG887" s="35"/>
      <c r="BH887" s="35"/>
      <c r="BI887" s="35"/>
      <c r="BJ887" s="35"/>
      <c r="BK887" s="35"/>
      <c r="BL887" s="35"/>
      <c r="BM887" s="35"/>
      <c r="BN887" s="35"/>
      <c r="BO887" s="35"/>
      <c r="BP887" s="35"/>
      <c r="BQ887" s="35"/>
      <c r="BR887" s="35"/>
      <c r="BS887" s="35"/>
      <c r="BT887" s="35"/>
      <c r="BU887" s="35"/>
      <c r="BV887" s="35"/>
      <c r="BW887" s="35"/>
      <c r="BX887" s="35"/>
      <c r="BY887" s="35"/>
      <c r="BZ887" s="35"/>
      <c r="CA887" s="35"/>
      <c r="CB887" s="35"/>
      <c r="CC887" s="35"/>
      <c r="CD887" s="35"/>
      <c r="CE887" s="35"/>
      <c r="CF887" s="35"/>
      <c r="CG887" s="35"/>
      <c r="CH887" s="35"/>
      <c r="CI887" s="35"/>
      <c r="CJ887" s="35"/>
      <c r="CK887" s="35"/>
      <c r="CL887" s="35"/>
      <c r="CM887" s="35"/>
      <c r="CN887" s="35"/>
      <c r="CO887" s="35"/>
      <c r="CP887" s="35"/>
      <c r="CQ887" s="35"/>
      <c r="CR887" s="35"/>
      <c r="CS887" s="35"/>
      <c r="CT887" s="35"/>
      <c r="CU887" s="35"/>
      <c r="CV887" s="35"/>
      <c r="CW887" s="35"/>
      <c r="CX887" s="35"/>
      <c r="CY887" s="35"/>
      <c r="CZ887" s="35"/>
      <c r="DA887" s="35"/>
      <c r="DB887" s="35"/>
      <c r="DC887" s="35"/>
      <c r="DD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  <c r="BA888" s="35"/>
      <c r="BB888" s="35"/>
      <c r="BC888" s="35"/>
      <c r="BD888" s="35"/>
      <c r="BE888" s="35"/>
      <c r="BF888" s="35"/>
      <c r="BG888" s="35"/>
      <c r="BH888" s="35"/>
      <c r="BI888" s="35"/>
      <c r="BJ888" s="35"/>
      <c r="BK888" s="35"/>
      <c r="BL888" s="35"/>
      <c r="BM888" s="35"/>
      <c r="BN888" s="35"/>
      <c r="BO888" s="35"/>
      <c r="BP888" s="35"/>
      <c r="BQ888" s="35"/>
      <c r="BR888" s="35"/>
      <c r="BS888" s="35"/>
      <c r="BT888" s="35"/>
      <c r="BU888" s="35"/>
      <c r="BV888" s="35"/>
      <c r="BW888" s="35"/>
      <c r="BX888" s="35"/>
      <c r="BY888" s="35"/>
      <c r="BZ888" s="35"/>
      <c r="CA888" s="35"/>
      <c r="CB888" s="35"/>
      <c r="CC888" s="35"/>
      <c r="CD888" s="35"/>
      <c r="CE888" s="35"/>
      <c r="CF888" s="35"/>
      <c r="CG888" s="35"/>
      <c r="CH888" s="35"/>
      <c r="CI888" s="35"/>
      <c r="CJ888" s="35"/>
      <c r="CK888" s="35"/>
      <c r="CL888" s="35"/>
      <c r="CM888" s="35"/>
      <c r="CN888" s="35"/>
      <c r="CO888" s="35"/>
      <c r="CP888" s="35"/>
      <c r="CQ888" s="35"/>
      <c r="CR888" s="35"/>
      <c r="CS888" s="35"/>
      <c r="CT888" s="35"/>
      <c r="CU888" s="35"/>
      <c r="CV888" s="35"/>
      <c r="CW888" s="35"/>
      <c r="CX888" s="35"/>
      <c r="CY888" s="35"/>
      <c r="CZ888" s="35"/>
      <c r="DA888" s="35"/>
      <c r="DB888" s="35"/>
      <c r="DC888" s="35"/>
      <c r="DD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  <c r="BA889" s="35"/>
      <c r="BB889" s="35"/>
      <c r="BC889" s="35"/>
      <c r="BD889" s="35"/>
      <c r="BE889" s="35"/>
      <c r="BF889" s="35"/>
      <c r="BG889" s="35"/>
      <c r="BH889" s="35"/>
      <c r="BI889" s="35"/>
      <c r="BJ889" s="35"/>
      <c r="BK889" s="35"/>
      <c r="BL889" s="35"/>
      <c r="BM889" s="35"/>
      <c r="BN889" s="35"/>
      <c r="BO889" s="35"/>
      <c r="BP889" s="35"/>
      <c r="BQ889" s="35"/>
      <c r="BR889" s="35"/>
      <c r="BS889" s="35"/>
      <c r="BT889" s="35"/>
      <c r="BU889" s="35"/>
      <c r="BV889" s="35"/>
      <c r="BW889" s="35"/>
      <c r="BX889" s="35"/>
      <c r="BY889" s="35"/>
      <c r="BZ889" s="35"/>
      <c r="CA889" s="35"/>
      <c r="CB889" s="35"/>
      <c r="CC889" s="35"/>
      <c r="CD889" s="35"/>
      <c r="CE889" s="35"/>
      <c r="CF889" s="35"/>
      <c r="CG889" s="35"/>
      <c r="CH889" s="35"/>
      <c r="CI889" s="35"/>
      <c r="CJ889" s="35"/>
      <c r="CK889" s="35"/>
      <c r="CL889" s="35"/>
      <c r="CM889" s="35"/>
      <c r="CN889" s="35"/>
      <c r="CO889" s="35"/>
      <c r="CP889" s="35"/>
      <c r="CQ889" s="35"/>
      <c r="CR889" s="35"/>
      <c r="CS889" s="35"/>
      <c r="CT889" s="35"/>
      <c r="CU889" s="35"/>
      <c r="CV889" s="35"/>
      <c r="CW889" s="35"/>
      <c r="CX889" s="35"/>
      <c r="CY889" s="35"/>
      <c r="CZ889" s="35"/>
      <c r="DA889" s="35"/>
      <c r="DB889" s="35"/>
      <c r="DC889" s="35"/>
      <c r="DD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  <c r="BA890" s="35"/>
      <c r="BB890" s="35"/>
      <c r="BC890" s="35"/>
      <c r="BD890" s="35"/>
      <c r="BE890" s="35"/>
      <c r="BF890" s="35"/>
      <c r="BG890" s="35"/>
      <c r="BH890" s="35"/>
      <c r="BI890" s="35"/>
      <c r="BJ890" s="35"/>
      <c r="BK890" s="35"/>
      <c r="BL890" s="35"/>
      <c r="BM890" s="35"/>
      <c r="BN890" s="35"/>
      <c r="BO890" s="35"/>
      <c r="BP890" s="35"/>
      <c r="BQ890" s="35"/>
      <c r="BR890" s="35"/>
      <c r="BS890" s="35"/>
      <c r="BT890" s="35"/>
      <c r="BU890" s="35"/>
      <c r="BV890" s="35"/>
      <c r="BW890" s="35"/>
      <c r="BX890" s="35"/>
      <c r="BY890" s="35"/>
      <c r="BZ890" s="35"/>
      <c r="CA890" s="35"/>
      <c r="CB890" s="35"/>
      <c r="CC890" s="35"/>
      <c r="CD890" s="35"/>
      <c r="CE890" s="35"/>
      <c r="CF890" s="35"/>
      <c r="CG890" s="35"/>
      <c r="CH890" s="35"/>
      <c r="CI890" s="35"/>
      <c r="CJ890" s="35"/>
      <c r="CK890" s="35"/>
      <c r="CL890" s="35"/>
      <c r="CM890" s="35"/>
      <c r="CN890" s="35"/>
      <c r="CO890" s="35"/>
      <c r="CP890" s="35"/>
      <c r="CQ890" s="35"/>
      <c r="CR890" s="35"/>
      <c r="CS890" s="35"/>
      <c r="CT890" s="35"/>
      <c r="CU890" s="35"/>
      <c r="CV890" s="35"/>
      <c r="CW890" s="35"/>
      <c r="CX890" s="35"/>
      <c r="CY890" s="35"/>
      <c r="CZ890" s="35"/>
      <c r="DA890" s="35"/>
      <c r="DB890" s="35"/>
      <c r="DC890" s="35"/>
      <c r="DD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  <c r="BA891" s="35"/>
      <c r="BB891" s="35"/>
      <c r="BC891" s="35"/>
      <c r="BD891" s="35"/>
      <c r="BE891" s="35"/>
      <c r="BF891" s="35"/>
      <c r="BG891" s="35"/>
      <c r="BH891" s="35"/>
      <c r="BI891" s="35"/>
      <c r="BJ891" s="35"/>
      <c r="BK891" s="35"/>
      <c r="BL891" s="35"/>
      <c r="BM891" s="35"/>
      <c r="BN891" s="35"/>
      <c r="BO891" s="35"/>
      <c r="BP891" s="35"/>
      <c r="BQ891" s="35"/>
      <c r="BR891" s="35"/>
      <c r="BS891" s="35"/>
      <c r="BT891" s="35"/>
      <c r="BU891" s="35"/>
      <c r="BV891" s="35"/>
      <c r="BW891" s="35"/>
      <c r="BX891" s="35"/>
      <c r="BY891" s="35"/>
      <c r="BZ891" s="35"/>
      <c r="CA891" s="35"/>
      <c r="CB891" s="35"/>
      <c r="CC891" s="35"/>
      <c r="CD891" s="35"/>
      <c r="CE891" s="35"/>
      <c r="CF891" s="35"/>
      <c r="CG891" s="35"/>
      <c r="CH891" s="35"/>
      <c r="CI891" s="35"/>
      <c r="CJ891" s="35"/>
      <c r="CK891" s="35"/>
      <c r="CL891" s="35"/>
      <c r="CM891" s="35"/>
      <c r="CN891" s="35"/>
      <c r="CO891" s="35"/>
      <c r="CP891" s="35"/>
      <c r="CQ891" s="35"/>
      <c r="CR891" s="35"/>
      <c r="CS891" s="35"/>
      <c r="CT891" s="35"/>
      <c r="CU891" s="35"/>
      <c r="CV891" s="35"/>
      <c r="CW891" s="35"/>
      <c r="CX891" s="35"/>
      <c r="CY891" s="35"/>
      <c r="CZ891" s="35"/>
      <c r="DA891" s="35"/>
      <c r="DB891" s="35"/>
      <c r="DC891" s="35"/>
      <c r="DD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  <c r="BA892" s="35"/>
      <c r="BB892" s="35"/>
      <c r="BC892" s="35"/>
      <c r="BD892" s="35"/>
      <c r="BE892" s="35"/>
      <c r="BF892" s="35"/>
      <c r="BG892" s="35"/>
      <c r="BH892" s="35"/>
      <c r="BI892" s="35"/>
      <c r="BJ892" s="35"/>
      <c r="BK892" s="35"/>
      <c r="BL892" s="35"/>
      <c r="BM892" s="35"/>
      <c r="BN892" s="35"/>
      <c r="BO892" s="35"/>
      <c r="BP892" s="35"/>
      <c r="BQ892" s="35"/>
      <c r="BR892" s="35"/>
      <c r="BS892" s="35"/>
      <c r="BT892" s="35"/>
      <c r="BU892" s="35"/>
      <c r="BV892" s="35"/>
      <c r="BW892" s="35"/>
      <c r="BX892" s="35"/>
      <c r="BY892" s="35"/>
      <c r="BZ892" s="35"/>
      <c r="CA892" s="35"/>
      <c r="CB892" s="35"/>
      <c r="CC892" s="35"/>
      <c r="CD892" s="35"/>
      <c r="CE892" s="35"/>
      <c r="CF892" s="35"/>
      <c r="CG892" s="35"/>
      <c r="CH892" s="35"/>
      <c r="CI892" s="35"/>
      <c r="CJ892" s="35"/>
      <c r="CK892" s="35"/>
      <c r="CL892" s="35"/>
      <c r="CM892" s="35"/>
      <c r="CN892" s="35"/>
      <c r="CO892" s="35"/>
      <c r="CP892" s="35"/>
      <c r="CQ892" s="35"/>
      <c r="CR892" s="35"/>
      <c r="CS892" s="35"/>
      <c r="CT892" s="35"/>
      <c r="CU892" s="35"/>
      <c r="CV892" s="35"/>
      <c r="CW892" s="35"/>
      <c r="CX892" s="35"/>
      <c r="CY892" s="35"/>
      <c r="CZ892" s="35"/>
      <c r="DA892" s="35"/>
      <c r="DB892" s="35"/>
      <c r="DC892" s="35"/>
      <c r="DD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  <c r="BA893" s="35"/>
      <c r="BB893" s="35"/>
      <c r="BC893" s="35"/>
      <c r="BD893" s="35"/>
      <c r="BE893" s="35"/>
      <c r="BF893" s="35"/>
      <c r="BG893" s="35"/>
      <c r="BH893" s="35"/>
      <c r="BI893" s="35"/>
      <c r="BJ893" s="35"/>
      <c r="BK893" s="35"/>
      <c r="BL893" s="35"/>
      <c r="BM893" s="35"/>
      <c r="BN893" s="35"/>
      <c r="BO893" s="35"/>
      <c r="BP893" s="35"/>
      <c r="BQ893" s="35"/>
      <c r="BR893" s="35"/>
      <c r="BS893" s="35"/>
      <c r="BT893" s="35"/>
      <c r="BU893" s="35"/>
      <c r="BV893" s="35"/>
      <c r="BW893" s="35"/>
      <c r="BX893" s="35"/>
      <c r="BY893" s="35"/>
      <c r="BZ893" s="35"/>
      <c r="CA893" s="35"/>
      <c r="CB893" s="35"/>
      <c r="CC893" s="35"/>
      <c r="CD893" s="35"/>
      <c r="CE893" s="35"/>
      <c r="CF893" s="35"/>
      <c r="CG893" s="35"/>
      <c r="CH893" s="35"/>
      <c r="CI893" s="35"/>
      <c r="CJ893" s="35"/>
      <c r="CK893" s="35"/>
      <c r="CL893" s="35"/>
      <c r="CM893" s="35"/>
      <c r="CN893" s="35"/>
      <c r="CO893" s="35"/>
      <c r="CP893" s="35"/>
      <c r="CQ893" s="35"/>
      <c r="CR893" s="35"/>
      <c r="CS893" s="35"/>
      <c r="CT893" s="35"/>
      <c r="CU893" s="35"/>
      <c r="CV893" s="35"/>
      <c r="CW893" s="35"/>
      <c r="CX893" s="35"/>
      <c r="CY893" s="35"/>
      <c r="CZ893" s="35"/>
      <c r="DA893" s="35"/>
      <c r="DB893" s="35"/>
      <c r="DC893" s="35"/>
      <c r="DD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  <c r="BA894" s="35"/>
      <c r="BB894" s="35"/>
      <c r="BC894" s="35"/>
      <c r="BD894" s="35"/>
      <c r="BE894" s="35"/>
      <c r="BF894" s="35"/>
      <c r="BG894" s="35"/>
      <c r="BH894" s="35"/>
      <c r="BI894" s="35"/>
      <c r="BJ894" s="35"/>
      <c r="BK894" s="35"/>
      <c r="BL894" s="35"/>
      <c r="BM894" s="35"/>
      <c r="BN894" s="35"/>
      <c r="BO894" s="35"/>
      <c r="BP894" s="35"/>
      <c r="BQ894" s="35"/>
      <c r="BR894" s="35"/>
      <c r="BS894" s="35"/>
      <c r="BT894" s="35"/>
      <c r="BU894" s="35"/>
      <c r="BV894" s="35"/>
      <c r="BW894" s="35"/>
      <c r="BX894" s="35"/>
      <c r="BY894" s="35"/>
      <c r="BZ894" s="35"/>
      <c r="CA894" s="35"/>
      <c r="CB894" s="35"/>
      <c r="CC894" s="35"/>
      <c r="CD894" s="35"/>
      <c r="CE894" s="35"/>
      <c r="CF894" s="35"/>
      <c r="CG894" s="35"/>
      <c r="CH894" s="35"/>
      <c r="CI894" s="35"/>
      <c r="CJ894" s="35"/>
      <c r="CK894" s="35"/>
      <c r="CL894" s="35"/>
      <c r="CM894" s="35"/>
      <c r="CN894" s="35"/>
      <c r="CO894" s="35"/>
      <c r="CP894" s="35"/>
      <c r="CQ894" s="35"/>
      <c r="CR894" s="35"/>
      <c r="CS894" s="35"/>
      <c r="CT894" s="35"/>
      <c r="CU894" s="35"/>
      <c r="CV894" s="35"/>
      <c r="CW894" s="35"/>
      <c r="CX894" s="35"/>
      <c r="CY894" s="35"/>
      <c r="CZ894" s="35"/>
      <c r="DA894" s="35"/>
      <c r="DB894" s="35"/>
      <c r="DC894" s="35"/>
      <c r="DD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  <c r="BA895" s="35"/>
      <c r="BB895" s="35"/>
      <c r="BC895" s="35"/>
      <c r="BD895" s="35"/>
      <c r="BE895" s="35"/>
      <c r="BF895" s="35"/>
      <c r="BG895" s="35"/>
      <c r="BH895" s="35"/>
      <c r="BI895" s="35"/>
      <c r="BJ895" s="35"/>
      <c r="BK895" s="35"/>
      <c r="BL895" s="35"/>
      <c r="BM895" s="35"/>
      <c r="BN895" s="35"/>
      <c r="BO895" s="35"/>
      <c r="BP895" s="35"/>
      <c r="BQ895" s="35"/>
      <c r="BR895" s="35"/>
      <c r="BS895" s="35"/>
      <c r="BT895" s="35"/>
      <c r="BU895" s="35"/>
      <c r="BV895" s="35"/>
      <c r="BW895" s="35"/>
      <c r="BX895" s="35"/>
      <c r="BY895" s="35"/>
      <c r="BZ895" s="35"/>
      <c r="CA895" s="35"/>
      <c r="CB895" s="35"/>
      <c r="CC895" s="35"/>
      <c r="CD895" s="35"/>
      <c r="CE895" s="35"/>
      <c r="CF895" s="35"/>
      <c r="CG895" s="35"/>
      <c r="CH895" s="35"/>
      <c r="CI895" s="35"/>
      <c r="CJ895" s="35"/>
      <c r="CK895" s="35"/>
      <c r="CL895" s="35"/>
      <c r="CM895" s="35"/>
      <c r="CN895" s="35"/>
      <c r="CO895" s="35"/>
      <c r="CP895" s="35"/>
      <c r="CQ895" s="35"/>
      <c r="CR895" s="35"/>
      <c r="CS895" s="35"/>
      <c r="CT895" s="35"/>
      <c r="CU895" s="35"/>
      <c r="CV895" s="35"/>
      <c r="CW895" s="35"/>
      <c r="CX895" s="35"/>
      <c r="CY895" s="35"/>
      <c r="CZ895" s="35"/>
      <c r="DA895" s="35"/>
      <c r="DB895" s="35"/>
      <c r="DC895" s="35"/>
      <c r="DD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  <c r="BA896" s="35"/>
      <c r="BB896" s="35"/>
      <c r="BC896" s="35"/>
      <c r="BD896" s="35"/>
      <c r="BE896" s="35"/>
      <c r="BF896" s="35"/>
      <c r="BG896" s="35"/>
      <c r="BH896" s="35"/>
      <c r="BI896" s="35"/>
      <c r="BJ896" s="35"/>
      <c r="BK896" s="35"/>
      <c r="BL896" s="35"/>
      <c r="BM896" s="35"/>
      <c r="BN896" s="35"/>
      <c r="BO896" s="35"/>
      <c r="BP896" s="35"/>
      <c r="BQ896" s="35"/>
      <c r="BR896" s="35"/>
      <c r="BS896" s="35"/>
      <c r="BT896" s="35"/>
      <c r="BU896" s="35"/>
      <c r="BV896" s="35"/>
      <c r="BW896" s="35"/>
      <c r="BX896" s="35"/>
      <c r="BY896" s="35"/>
      <c r="BZ896" s="35"/>
      <c r="CA896" s="35"/>
      <c r="CB896" s="35"/>
      <c r="CC896" s="35"/>
      <c r="CD896" s="35"/>
      <c r="CE896" s="35"/>
      <c r="CF896" s="35"/>
      <c r="CG896" s="35"/>
      <c r="CH896" s="35"/>
      <c r="CI896" s="35"/>
      <c r="CJ896" s="35"/>
      <c r="CK896" s="35"/>
      <c r="CL896" s="35"/>
      <c r="CM896" s="35"/>
      <c r="CN896" s="35"/>
      <c r="CO896" s="35"/>
      <c r="CP896" s="35"/>
      <c r="CQ896" s="35"/>
      <c r="CR896" s="35"/>
      <c r="CS896" s="35"/>
      <c r="CT896" s="35"/>
      <c r="CU896" s="35"/>
      <c r="CV896" s="35"/>
      <c r="CW896" s="35"/>
      <c r="CX896" s="35"/>
      <c r="CY896" s="35"/>
      <c r="CZ896" s="35"/>
      <c r="DA896" s="35"/>
      <c r="DB896" s="35"/>
      <c r="DC896" s="35"/>
      <c r="DD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  <c r="BA897" s="35"/>
      <c r="BB897" s="35"/>
      <c r="BC897" s="35"/>
      <c r="BD897" s="35"/>
      <c r="BE897" s="35"/>
      <c r="BF897" s="35"/>
      <c r="BG897" s="35"/>
      <c r="BH897" s="35"/>
      <c r="BI897" s="35"/>
      <c r="BJ897" s="35"/>
      <c r="BK897" s="35"/>
      <c r="BL897" s="35"/>
      <c r="BM897" s="35"/>
      <c r="BN897" s="35"/>
      <c r="BO897" s="35"/>
      <c r="BP897" s="35"/>
      <c r="BQ897" s="35"/>
      <c r="BR897" s="35"/>
      <c r="BS897" s="35"/>
      <c r="BT897" s="35"/>
      <c r="BU897" s="35"/>
      <c r="BV897" s="35"/>
      <c r="BW897" s="35"/>
      <c r="BX897" s="35"/>
      <c r="BY897" s="35"/>
      <c r="BZ897" s="35"/>
      <c r="CA897" s="35"/>
      <c r="CB897" s="35"/>
      <c r="CC897" s="35"/>
      <c r="CD897" s="35"/>
      <c r="CE897" s="35"/>
      <c r="CF897" s="35"/>
      <c r="CG897" s="35"/>
      <c r="CH897" s="35"/>
      <c r="CI897" s="35"/>
      <c r="CJ897" s="35"/>
      <c r="CK897" s="35"/>
      <c r="CL897" s="35"/>
      <c r="CM897" s="35"/>
      <c r="CN897" s="35"/>
      <c r="CO897" s="35"/>
      <c r="CP897" s="35"/>
      <c r="CQ897" s="35"/>
      <c r="CR897" s="35"/>
      <c r="CS897" s="35"/>
      <c r="CT897" s="35"/>
      <c r="CU897" s="35"/>
      <c r="CV897" s="35"/>
      <c r="CW897" s="35"/>
      <c r="CX897" s="35"/>
      <c r="CY897" s="35"/>
      <c r="CZ897" s="35"/>
      <c r="DA897" s="35"/>
      <c r="DB897" s="35"/>
      <c r="DC897" s="35"/>
      <c r="DD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  <c r="BA898" s="35"/>
      <c r="BB898" s="35"/>
      <c r="BC898" s="35"/>
      <c r="BD898" s="35"/>
      <c r="BE898" s="35"/>
      <c r="BF898" s="35"/>
      <c r="BG898" s="35"/>
      <c r="BH898" s="35"/>
      <c r="BI898" s="35"/>
      <c r="BJ898" s="35"/>
      <c r="BK898" s="35"/>
      <c r="BL898" s="35"/>
      <c r="BM898" s="35"/>
      <c r="BN898" s="35"/>
      <c r="BO898" s="35"/>
      <c r="BP898" s="35"/>
      <c r="BQ898" s="35"/>
      <c r="BR898" s="35"/>
      <c r="BS898" s="35"/>
      <c r="BT898" s="35"/>
      <c r="BU898" s="35"/>
      <c r="BV898" s="35"/>
      <c r="BW898" s="35"/>
      <c r="BX898" s="35"/>
      <c r="BY898" s="35"/>
      <c r="BZ898" s="35"/>
      <c r="CA898" s="35"/>
      <c r="CB898" s="35"/>
      <c r="CC898" s="35"/>
      <c r="CD898" s="35"/>
      <c r="CE898" s="35"/>
      <c r="CF898" s="35"/>
      <c r="CG898" s="35"/>
      <c r="CH898" s="35"/>
      <c r="CI898" s="35"/>
      <c r="CJ898" s="35"/>
      <c r="CK898" s="35"/>
      <c r="CL898" s="35"/>
      <c r="CM898" s="35"/>
      <c r="CN898" s="35"/>
      <c r="CO898" s="35"/>
      <c r="CP898" s="35"/>
      <c r="CQ898" s="35"/>
      <c r="CR898" s="35"/>
      <c r="CS898" s="35"/>
      <c r="CT898" s="35"/>
      <c r="CU898" s="35"/>
      <c r="CV898" s="35"/>
      <c r="CW898" s="35"/>
      <c r="CX898" s="35"/>
      <c r="CY898" s="35"/>
      <c r="CZ898" s="35"/>
      <c r="DA898" s="35"/>
      <c r="DB898" s="35"/>
      <c r="DC898" s="35"/>
      <c r="DD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  <c r="BA899" s="35"/>
      <c r="BB899" s="35"/>
      <c r="BC899" s="35"/>
      <c r="BD899" s="35"/>
      <c r="BE899" s="35"/>
      <c r="BF899" s="35"/>
      <c r="BG899" s="35"/>
      <c r="BH899" s="35"/>
      <c r="BI899" s="35"/>
      <c r="BJ899" s="35"/>
      <c r="BK899" s="35"/>
      <c r="BL899" s="35"/>
      <c r="BM899" s="35"/>
      <c r="BN899" s="35"/>
      <c r="BO899" s="35"/>
      <c r="BP899" s="35"/>
      <c r="BQ899" s="35"/>
      <c r="BR899" s="35"/>
      <c r="BS899" s="35"/>
      <c r="BT899" s="35"/>
      <c r="BU899" s="35"/>
      <c r="BV899" s="35"/>
      <c r="BW899" s="35"/>
      <c r="BX899" s="35"/>
      <c r="BY899" s="35"/>
      <c r="BZ899" s="35"/>
      <c r="CA899" s="35"/>
      <c r="CB899" s="35"/>
      <c r="CC899" s="35"/>
      <c r="CD899" s="35"/>
      <c r="CE899" s="35"/>
      <c r="CF899" s="35"/>
      <c r="CG899" s="35"/>
      <c r="CH899" s="35"/>
      <c r="CI899" s="35"/>
      <c r="CJ899" s="35"/>
      <c r="CK899" s="35"/>
      <c r="CL899" s="35"/>
      <c r="CM899" s="35"/>
      <c r="CN899" s="35"/>
      <c r="CO899" s="35"/>
      <c r="CP899" s="35"/>
      <c r="CQ899" s="35"/>
      <c r="CR899" s="35"/>
      <c r="CS899" s="35"/>
      <c r="CT899" s="35"/>
      <c r="CU899" s="35"/>
      <c r="CV899" s="35"/>
      <c r="CW899" s="35"/>
      <c r="CX899" s="35"/>
      <c r="CY899" s="35"/>
      <c r="CZ899" s="35"/>
      <c r="DA899" s="35"/>
      <c r="DB899" s="35"/>
      <c r="DC899" s="35"/>
      <c r="DD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  <c r="BA900" s="35"/>
      <c r="BB900" s="35"/>
      <c r="BC900" s="35"/>
      <c r="BD900" s="35"/>
      <c r="BE900" s="35"/>
      <c r="BF900" s="35"/>
      <c r="BG900" s="35"/>
      <c r="BH900" s="35"/>
      <c r="BI900" s="35"/>
      <c r="BJ900" s="35"/>
      <c r="BK900" s="35"/>
      <c r="BL900" s="35"/>
      <c r="BM900" s="35"/>
      <c r="BN900" s="35"/>
      <c r="BO900" s="35"/>
      <c r="BP900" s="35"/>
      <c r="BQ900" s="35"/>
      <c r="BR900" s="35"/>
      <c r="BS900" s="35"/>
      <c r="BT900" s="35"/>
      <c r="BU900" s="35"/>
      <c r="BV900" s="35"/>
      <c r="BW900" s="35"/>
      <c r="BX900" s="35"/>
      <c r="BY900" s="35"/>
      <c r="BZ900" s="35"/>
      <c r="CA900" s="35"/>
      <c r="CB900" s="35"/>
      <c r="CC900" s="35"/>
      <c r="CD900" s="35"/>
      <c r="CE900" s="35"/>
      <c r="CF900" s="35"/>
      <c r="CG900" s="35"/>
      <c r="CH900" s="35"/>
      <c r="CI900" s="35"/>
      <c r="CJ900" s="35"/>
      <c r="CK900" s="35"/>
      <c r="CL900" s="35"/>
      <c r="CM900" s="35"/>
      <c r="CN900" s="35"/>
      <c r="CO900" s="35"/>
      <c r="CP900" s="35"/>
      <c r="CQ900" s="35"/>
      <c r="CR900" s="35"/>
      <c r="CS900" s="35"/>
      <c r="CT900" s="35"/>
      <c r="CU900" s="35"/>
      <c r="CV900" s="35"/>
      <c r="CW900" s="35"/>
      <c r="CX900" s="35"/>
      <c r="CY900" s="35"/>
      <c r="CZ900" s="35"/>
      <c r="DA900" s="35"/>
      <c r="DB900" s="35"/>
      <c r="DC900" s="35"/>
      <c r="DD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  <c r="BA901" s="35"/>
      <c r="BB901" s="35"/>
      <c r="BC901" s="35"/>
      <c r="BD901" s="35"/>
      <c r="BE901" s="35"/>
      <c r="BF901" s="35"/>
      <c r="BG901" s="35"/>
      <c r="BH901" s="35"/>
      <c r="BI901" s="35"/>
      <c r="BJ901" s="35"/>
      <c r="BK901" s="35"/>
      <c r="BL901" s="35"/>
      <c r="BM901" s="35"/>
      <c r="BN901" s="35"/>
      <c r="BO901" s="35"/>
      <c r="BP901" s="35"/>
      <c r="BQ901" s="35"/>
      <c r="BR901" s="35"/>
      <c r="BS901" s="35"/>
      <c r="BT901" s="35"/>
      <c r="BU901" s="35"/>
      <c r="BV901" s="35"/>
      <c r="BW901" s="35"/>
      <c r="BX901" s="35"/>
      <c r="BY901" s="35"/>
      <c r="BZ901" s="35"/>
      <c r="CA901" s="35"/>
      <c r="CB901" s="35"/>
      <c r="CC901" s="35"/>
      <c r="CD901" s="35"/>
      <c r="CE901" s="35"/>
      <c r="CF901" s="35"/>
      <c r="CG901" s="35"/>
      <c r="CH901" s="35"/>
      <c r="CI901" s="35"/>
      <c r="CJ901" s="35"/>
      <c r="CK901" s="35"/>
      <c r="CL901" s="35"/>
      <c r="CM901" s="35"/>
      <c r="CN901" s="35"/>
      <c r="CO901" s="35"/>
      <c r="CP901" s="35"/>
      <c r="CQ901" s="35"/>
      <c r="CR901" s="35"/>
      <c r="CS901" s="35"/>
      <c r="CT901" s="35"/>
      <c r="CU901" s="35"/>
      <c r="CV901" s="35"/>
      <c r="CW901" s="35"/>
      <c r="CX901" s="35"/>
      <c r="CY901" s="35"/>
      <c r="CZ901" s="35"/>
      <c r="DA901" s="35"/>
      <c r="DB901" s="35"/>
      <c r="DC901" s="35"/>
      <c r="DD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  <c r="BA902" s="35"/>
      <c r="BB902" s="35"/>
      <c r="BC902" s="35"/>
      <c r="BD902" s="35"/>
      <c r="BE902" s="35"/>
      <c r="BF902" s="35"/>
      <c r="BG902" s="35"/>
      <c r="BH902" s="35"/>
      <c r="BI902" s="35"/>
      <c r="BJ902" s="35"/>
      <c r="BK902" s="35"/>
      <c r="BL902" s="35"/>
      <c r="BM902" s="35"/>
      <c r="BN902" s="35"/>
      <c r="BO902" s="35"/>
      <c r="BP902" s="35"/>
      <c r="BQ902" s="35"/>
      <c r="BR902" s="35"/>
      <c r="BS902" s="35"/>
      <c r="BT902" s="35"/>
      <c r="BU902" s="35"/>
      <c r="BV902" s="35"/>
      <c r="BW902" s="35"/>
      <c r="BX902" s="35"/>
      <c r="BY902" s="35"/>
      <c r="BZ902" s="35"/>
      <c r="CA902" s="35"/>
      <c r="CB902" s="35"/>
      <c r="CC902" s="35"/>
      <c r="CD902" s="35"/>
      <c r="CE902" s="35"/>
      <c r="CF902" s="35"/>
      <c r="CG902" s="35"/>
      <c r="CH902" s="35"/>
      <c r="CI902" s="35"/>
      <c r="CJ902" s="35"/>
      <c r="CK902" s="35"/>
      <c r="CL902" s="35"/>
      <c r="CM902" s="35"/>
      <c r="CN902" s="35"/>
      <c r="CO902" s="35"/>
      <c r="CP902" s="35"/>
      <c r="CQ902" s="35"/>
      <c r="CR902" s="35"/>
      <c r="CS902" s="35"/>
      <c r="CT902" s="35"/>
      <c r="CU902" s="35"/>
      <c r="CV902" s="35"/>
      <c r="CW902" s="35"/>
      <c r="CX902" s="35"/>
      <c r="CY902" s="35"/>
      <c r="CZ902" s="35"/>
      <c r="DA902" s="35"/>
      <c r="DB902" s="35"/>
      <c r="DC902" s="35"/>
      <c r="DD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  <c r="BA903" s="35"/>
      <c r="BB903" s="35"/>
      <c r="BC903" s="35"/>
      <c r="BD903" s="35"/>
      <c r="BE903" s="35"/>
      <c r="BF903" s="35"/>
      <c r="BG903" s="35"/>
      <c r="BH903" s="35"/>
      <c r="BI903" s="35"/>
      <c r="BJ903" s="35"/>
      <c r="BK903" s="35"/>
      <c r="BL903" s="35"/>
      <c r="BM903" s="35"/>
      <c r="BN903" s="35"/>
      <c r="BO903" s="35"/>
      <c r="BP903" s="35"/>
      <c r="BQ903" s="35"/>
      <c r="BR903" s="35"/>
      <c r="BS903" s="35"/>
      <c r="BT903" s="35"/>
      <c r="BU903" s="35"/>
      <c r="BV903" s="35"/>
      <c r="BW903" s="35"/>
      <c r="BX903" s="35"/>
      <c r="BY903" s="35"/>
      <c r="BZ903" s="35"/>
      <c r="CA903" s="35"/>
      <c r="CB903" s="35"/>
      <c r="CC903" s="35"/>
      <c r="CD903" s="35"/>
      <c r="CE903" s="35"/>
      <c r="CF903" s="35"/>
      <c r="CG903" s="35"/>
      <c r="CH903" s="35"/>
      <c r="CI903" s="35"/>
      <c r="CJ903" s="35"/>
      <c r="CK903" s="35"/>
      <c r="CL903" s="35"/>
      <c r="CM903" s="35"/>
      <c r="CN903" s="35"/>
      <c r="CO903" s="35"/>
      <c r="CP903" s="35"/>
      <c r="CQ903" s="35"/>
      <c r="CR903" s="35"/>
      <c r="CS903" s="35"/>
      <c r="CT903" s="35"/>
      <c r="CU903" s="35"/>
      <c r="CV903" s="35"/>
      <c r="CW903" s="35"/>
      <c r="CX903" s="35"/>
      <c r="CY903" s="35"/>
      <c r="CZ903" s="35"/>
      <c r="DA903" s="35"/>
      <c r="DB903" s="35"/>
      <c r="DC903" s="35"/>
      <c r="DD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  <c r="BA904" s="35"/>
      <c r="BB904" s="35"/>
      <c r="BC904" s="35"/>
      <c r="BD904" s="35"/>
      <c r="BE904" s="35"/>
      <c r="BF904" s="35"/>
      <c r="BG904" s="35"/>
      <c r="BH904" s="35"/>
      <c r="BI904" s="35"/>
      <c r="BJ904" s="35"/>
      <c r="BK904" s="35"/>
      <c r="BL904" s="35"/>
      <c r="BM904" s="35"/>
      <c r="BN904" s="35"/>
      <c r="BO904" s="35"/>
      <c r="BP904" s="35"/>
      <c r="BQ904" s="35"/>
      <c r="BR904" s="35"/>
      <c r="BS904" s="35"/>
      <c r="BT904" s="35"/>
      <c r="BU904" s="35"/>
      <c r="BV904" s="35"/>
      <c r="BW904" s="35"/>
      <c r="BX904" s="35"/>
      <c r="BY904" s="35"/>
      <c r="BZ904" s="35"/>
      <c r="CA904" s="35"/>
      <c r="CB904" s="35"/>
      <c r="CC904" s="35"/>
      <c r="CD904" s="35"/>
      <c r="CE904" s="35"/>
      <c r="CF904" s="35"/>
      <c r="CG904" s="35"/>
      <c r="CH904" s="35"/>
      <c r="CI904" s="35"/>
      <c r="CJ904" s="35"/>
      <c r="CK904" s="35"/>
      <c r="CL904" s="35"/>
      <c r="CM904" s="35"/>
      <c r="CN904" s="35"/>
      <c r="CO904" s="35"/>
      <c r="CP904" s="35"/>
      <c r="CQ904" s="35"/>
      <c r="CR904" s="35"/>
      <c r="CS904" s="35"/>
      <c r="CT904" s="35"/>
      <c r="CU904" s="35"/>
      <c r="CV904" s="35"/>
      <c r="CW904" s="35"/>
      <c r="CX904" s="35"/>
      <c r="CY904" s="35"/>
      <c r="CZ904" s="35"/>
      <c r="DA904" s="35"/>
      <c r="DB904" s="35"/>
      <c r="DC904" s="35"/>
      <c r="DD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  <c r="BA905" s="35"/>
      <c r="BB905" s="35"/>
      <c r="BC905" s="35"/>
      <c r="BD905" s="35"/>
      <c r="BE905" s="35"/>
      <c r="BF905" s="35"/>
      <c r="BG905" s="35"/>
      <c r="BH905" s="35"/>
      <c r="BI905" s="35"/>
      <c r="BJ905" s="35"/>
      <c r="BK905" s="35"/>
      <c r="BL905" s="35"/>
      <c r="BM905" s="35"/>
      <c r="BN905" s="35"/>
      <c r="BO905" s="35"/>
      <c r="BP905" s="35"/>
      <c r="BQ905" s="35"/>
      <c r="BR905" s="35"/>
      <c r="BS905" s="35"/>
      <c r="BT905" s="35"/>
      <c r="BU905" s="35"/>
      <c r="BV905" s="35"/>
      <c r="BW905" s="35"/>
      <c r="BX905" s="35"/>
      <c r="BY905" s="35"/>
      <c r="BZ905" s="35"/>
      <c r="CA905" s="35"/>
      <c r="CB905" s="35"/>
      <c r="CC905" s="35"/>
      <c r="CD905" s="35"/>
      <c r="CE905" s="35"/>
      <c r="CF905" s="35"/>
      <c r="CG905" s="35"/>
      <c r="CH905" s="35"/>
      <c r="CI905" s="35"/>
      <c r="CJ905" s="35"/>
      <c r="CK905" s="35"/>
      <c r="CL905" s="35"/>
      <c r="CM905" s="35"/>
      <c r="CN905" s="35"/>
      <c r="CO905" s="35"/>
      <c r="CP905" s="35"/>
      <c r="CQ905" s="35"/>
      <c r="CR905" s="35"/>
      <c r="CS905" s="35"/>
      <c r="CT905" s="35"/>
      <c r="CU905" s="35"/>
      <c r="CV905" s="35"/>
      <c r="CW905" s="35"/>
      <c r="CX905" s="35"/>
      <c r="CY905" s="35"/>
      <c r="CZ905" s="35"/>
      <c r="DA905" s="35"/>
      <c r="DB905" s="35"/>
      <c r="DC905" s="35"/>
      <c r="DD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  <c r="BA906" s="35"/>
      <c r="BB906" s="35"/>
      <c r="BC906" s="35"/>
      <c r="BD906" s="35"/>
      <c r="BE906" s="35"/>
      <c r="BF906" s="35"/>
      <c r="BG906" s="35"/>
      <c r="BH906" s="35"/>
      <c r="BI906" s="35"/>
      <c r="BJ906" s="35"/>
      <c r="BK906" s="35"/>
      <c r="BL906" s="35"/>
      <c r="BM906" s="35"/>
      <c r="BN906" s="35"/>
      <c r="BO906" s="35"/>
      <c r="BP906" s="35"/>
      <c r="BQ906" s="35"/>
      <c r="BR906" s="35"/>
      <c r="BS906" s="35"/>
      <c r="BT906" s="35"/>
      <c r="BU906" s="35"/>
      <c r="BV906" s="35"/>
      <c r="BW906" s="35"/>
      <c r="BX906" s="35"/>
      <c r="BY906" s="35"/>
      <c r="BZ906" s="35"/>
      <c r="CA906" s="35"/>
      <c r="CB906" s="35"/>
      <c r="CC906" s="35"/>
      <c r="CD906" s="35"/>
      <c r="CE906" s="35"/>
      <c r="CF906" s="35"/>
      <c r="CG906" s="35"/>
      <c r="CH906" s="35"/>
      <c r="CI906" s="35"/>
      <c r="CJ906" s="35"/>
      <c r="CK906" s="35"/>
      <c r="CL906" s="35"/>
      <c r="CM906" s="35"/>
      <c r="CN906" s="35"/>
      <c r="CO906" s="35"/>
      <c r="CP906" s="35"/>
      <c r="CQ906" s="35"/>
      <c r="CR906" s="35"/>
      <c r="CS906" s="35"/>
      <c r="CT906" s="35"/>
      <c r="CU906" s="35"/>
      <c r="CV906" s="35"/>
      <c r="CW906" s="35"/>
      <c r="CX906" s="35"/>
      <c r="CY906" s="35"/>
      <c r="CZ906" s="35"/>
      <c r="DA906" s="35"/>
      <c r="DB906" s="35"/>
      <c r="DC906" s="35"/>
      <c r="DD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  <c r="BA907" s="35"/>
      <c r="BB907" s="35"/>
      <c r="BC907" s="35"/>
      <c r="BD907" s="35"/>
      <c r="BE907" s="35"/>
      <c r="BF907" s="35"/>
      <c r="BG907" s="35"/>
      <c r="BH907" s="35"/>
      <c r="BI907" s="35"/>
      <c r="BJ907" s="35"/>
      <c r="BK907" s="35"/>
      <c r="BL907" s="35"/>
      <c r="BM907" s="35"/>
      <c r="BN907" s="35"/>
      <c r="BO907" s="35"/>
      <c r="BP907" s="35"/>
      <c r="BQ907" s="35"/>
      <c r="BR907" s="35"/>
      <c r="BS907" s="35"/>
      <c r="BT907" s="35"/>
      <c r="BU907" s="35"/>
      <c r="BV907" s="35"/>
      <c r="BW907" s="35"/>
      <c r="BX907" s="35"/>
      <c r="BY907" s="35"/>
      <c r="BZ907" s="35"/>
      <c r="CA907" s="35"/>
      <c r="CB907" s="35"/>
      <c r="CC907" s="35"/>
      <c r="CD907" s="35"/>
      <c r="CE907" s="35"/>
      <c r="CF907" s="35"/>
      <c r="CG907" s="35"/>
      <c r="CH907" s="35"/>
      <c r="CI907" s="35"/>
      <c r="CJ907" s="35"/>
      <c r="CK907" s="35"/>
      <c r="CL907" s="35"/>
      <c r="CM907" s="35"/>
      <c r="CN907" s="35"/>
      <c r="CO907" s="35"/>
      <c r="CP907" s="35"/>
      <c r="CQ907" s="35"/>
      <c r="CR907" s="35"/>
      <c r="CS907" s="35"/>
      <c r="CT907" s="35"/>
      <c r="CU907" s="35"/>
      <c r="CV907" s="35"/>
      <c r="CW907" s="35"/>
      <c r="CX907" s="35"/>
      <c r="CY907" s="35"/>
      <c r="CZ907" s="35"/>
      <c r="DA907" s="35"/>
      <c r="DB907" s="35"/>
      <c r="DC907" s="35"/>
      <c r="DD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  <c r="BA908" s="35"/>
      <c r="BB908" s="35"/>
      <c r="BC908" s="35"/>
      <c r="BD908" s="35"/>
      <c r="BE908" s="35"/>
      <c r="BF908" s="35"/>
      <c r="BG908" s="35"/>
      <c r="BH908" s="35"/>
      <c r="BI908" s="35"/>
      <c r="BJ908" s="35"/>
      <c r="BK908" s="35"/>
      <c r="BL908" s="35"/>
      <c r="BM908" s="35"/>
      <c r="BN908" s="35"/>
      <c r="BO908" s="35"/>
      <c r="BP908" s="35"/>
      <c r="BQ908" s="35"/>
      <c r="BR908" s="35"/>
      <c r="BS908" s="35"/>
      <c r="BT908" s="35"/>
      <c r="BU908" s="35"/>
      <c r="BV908" s="35"/>
      <c r="BW908" s="35"/>
      <c r="BX908" s="35"/>
      <c r="BY908" s="35"/>
      <c r="BZ908" s="35"/>
      <c r="CA908" s="35"/>
      <c r="CB908" s="35"/>
      <c r="CC908" s="35"/>
      <c r="CD908" s="35"/>
      <c r="CE908" s="35"/>
      <c r="CF908" s="35"/>
      <c r="CG908" s="35"/>
      <c r="CH908" s="35"/>
      <c r="CI908" s="35"/>
      <c r="CJ908" s="35"/>
      <c r="CK908" s="35"/>
      <c r="CL908" s="35"/>
      <c r="CM908" s="35"/>
      <c r="CN908" s="35"/>
      <c r="CO908" s="35"/>
      <c r="CP908" s="35"/>
      <c r="CQ908" s="35"/>
      <c r="CR908" s="35"/>
      <c r="CS908" s="35"/>
      <c r="CT908" s="35"/>
      <c r="CU908" s="35"/>
      <c r="CV908" s="35"/>
      <c r="CW908" s="35"/>
      <c r="CX908" s="35"/>
      <c r="CY908" s="35"/>
      <c r="CZ908" s="35"/>
      <c r="DA908" s="35"/>
      <c r="DB908" s="35"/>
      <c r="DC908" s="35"/>
      <c r="DD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/>
      <c r="BO909" s="35"/>
      <c r="BP909" s="35"/>
      <c r="BQ909" s="35"/>
      <c r="BR909" s="35"/>
      <c r="BS909" s="35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5"/>
      <c r="CF909" s="35"/>
      <c r="CG909" s="35"/>
      <c r="CH909" s="35"/>
      <c r="CI909" s="35"/>
      <c r="CJ909" s="35"/>
      <c r="CK909" s="35"/>
      <c r="CL909" s="35"/>
      <c r="CM909" s="35"/>
      <c r="CN909" s="35"/>
      <c r="CO909" s="35"/>
      <c r="CP909" s="35"/>
      <c r="CQ909" s="35"/>
      <c r="CR909" s="35"/>
      <c r="CS909" s="35"/>
      <c r="CT909" s="35"/>
      <c r="CU909" s="35"/>
      <c r="CV909" s="35"/>
      <c r="CW909" s="35"/>
      <c r="CX909" s="35"/>
      <c r="CY909" s="35"/>
      <c r="CZ909" s="35"/>
      <c r="DA909" s="35"/>
      <c r="DB909" s="35"/>
      <c r="DC909" s="35"/>
      <c r="DD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/>
      <c r="BO910" s="35"/>
      <c r="BP910" s="35"/>
      <c r="BQ910" s="35"/>
      <c r="BR910" s="35"/>
      <c r="BS910" s="35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5"/>
      <c r="CF910" s="35"/>
      <c r="CG910" s="35"/>
      <c r="CH910" s="35"/>
      <c r="CI910" s="35"/>
      <c r="CJ910" s="35"/>
      <c r="CK910" s="35"/>
      <c r="CL910" s="35"/>
      <c r="CM910" s="35"/>
      <c r="CN910" s="35"/>
      <c r="CO910" s="35"/>
      <c r="CP910" s="35"/>
      <c r="CQ910" s="35"/>
      <c r="CR910" s="35"/>
      <c r="CS910" s="35"/>
      <c r="CT910" s="35"/>
      <c r="CU910" s="35"/>
      <c r="CV910" s="35"/>
      <c r="CW910" s="35"/>
      <c r="CX910" s="35"/>
      <c r="CY910" s="35"/>
      <c r="CZ910" s="35"/>
      <c r="DA910" s="35"/>
      <c r="DB910" s="35"/>
      <c r="DC910" s="35"/>
      <c r="DD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/>
      <c r="BO911" s="35"/>
      <c r="BP911" s="35"/>
      <c r="BQ911" s="35"/>
      <c r="BR911" s="35"/>
      <c r="BS911" s="35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5"/>
      <c r="CF911" s="35"/>
      <c r="CG911" s="35"/>
      <c r="CH911" s="35"/>
      <c r="CI911" s="35"/>
      <c r="CJ911" s="35"/>
      <c r="CK911" s="35"/>
      <c r="CL911" s="35"/>
      <c r="CM911" s="35"/>
      <c r="CN911" s="35"/>
      <c r="CO911" s="35"/>
      <c r="CP911" s="35"/>
      <c r="CQ911" s="35"/>
      <c r="CR911" s="35"/>
      <c r="CS911" s="35"/>
      <c r="CT911" s="35"/>
      <c r="CU911" s="35"/>
      <c r="CV911" s="35"/>
      <c r="CW911" s="35"/>
      <c r="CX911" s="35"/>
      <c r="CY911" s="35"/>
      <c r="CZ911" s="35"/>
      <c r="DA911" s="35"/>
      <c r="DB911" s="35"/>
      <c r="DC911" s="35"/>
      <c r="DD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/>
      <c r="BO912" s="35"/>
      <c r="BP912" s="35"/>
      <c r="BQ912" s="35"/>
      <c r="BR912" s="35"/>
      <c r="BS912" s="35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5"/>
      <c r="CF912" s="35"/>
      <c r="CG912" s="35"/>
      <c r="CH912" s="35"/>
      <c r="CI912" s="35"/>
      <c r="CJ912" s="35"/>
      <c r="CK912" s="35"/>
      <c r="CL912" s="35"/>
      <c r="CM912" s="35"/>
      <c r="CN912" s="35"/>
      <c r="CO912" s="35"/>
      <c r="CP912" s="35"/>
      <c r="CQ912" s="35"/>
      <c r="CR912" s="35"/>
      <c r="CS912" s="35"/>
      <c r="CT912" s="35"/>
      <c r="CU912" s="35"/>
      <c r="CV912" s="35"/>
      <c r="CW912" s="35"/>
      <c r="CX912" s="35"/>
      <c r="CY912" s="35"/>
      <c r="CZ912" s="35"/>
      <c r="DA912" s="35"/>
      <c r="DB912" s="35"/>
      <c r="DC912" s="35"/>
      <c r="DD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K913" s="35"/>
      <c r="BL913" s="35"/>
      <c r="BM913" s="35"/>
      <c r="BN913" s="35"/>
      <c r="BO913" s="35"/>
      <c r="BP913" s="35"/>
      <c r="BQ913" s="35"/>
      <c r="BR913" s="35"/>
      <c r="BS913" s="35"/>
      <c r="BT913" s="35"/>
      <c r="BU913" s="35"/>
      <c r="BV913" s="35"/>
      <c r="BW913" s="35"/>
      <c r="BX913" s="35"/>
      <c r="BY913" s="35"/>
      <c r="BZ913" s="35"/>
      <c r="CA913" s="35"/>
      <c r="CB913" s="35"/>
      <c r="CC913" s="35"/>
      <c r="CD913" s="35"/>
      <c r="CE913" s="35"/>
      <c r="CF913" s="35"/>
      <c r="CG913" s="35"/>
      <c r="CH913" s="35"/>
      <c r="CI913" s="35"/>
      <c r="CJ913" s="35"/>
      <c r="CK913" s="35"/>
      <c r="CL913" s="35"/>
      <c r="CM913" s="35"/>
      <c r="CN913" s="35"/>
      <c r="CO913" s="35"/>
      <c r="CP913" s="35"/>
      <c r="CQ913" s="35"/>
      <c r="CR913" s="35"/>
      <c r="CS913" s="35"/>
      <c r="CT913" s="35"/>
      <c r="CU913" s="35"/>
      <c r="CV913" s="35"/>
      <c r="CW913" s="35"/>
      <c r="CX913" s="35"/>
      <c r="CY913" s="35"/>
      <c r="CZ913" s="35"/>
      <c r="DA913" s="35"/>
      <c r="DB913" s="35"/>
      <c r="DC913" s="35"/>
      <c r="DD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  <c r="BA914" s="35"/>
      <c r="BB914" s="35"/>
      <c r="BC914" s="35"/>
      <c r="BD914" s="35"/>
      <c r="BE914" s="35"/>
      <c r="BF914" s="35"/>
      <c r="BG914" s="35"/>
      <c r="BH914" s="35"/>
      <c r="BI914" s="35"/>
      <c r="BJ914" s="35"/>
      <c r="BK914" s="35"/>
      <c r="BL914" s="35"/>
      <c r="BM914" s="35"/>
      <c r="BN914" s="35"/>
      <c r="BO914" s="35"/>
      <c r="BP914" s="35"/>
      <c r="BQ914" s="35"/>
      <c r="BR914" s="35"/>
      <c r="BS914" s="35"/>
      <c r="BT914" s="35"/>
      <c r="BU914" s="35"/>
      <c r="BV914" s="35"/>
      <c r="BW914" s="35"/>
      <c r="BX914" s="35"/>
      <c r="BY914" s="35"/>
      <c r="BZ914" s="35"/>
      <c r="CA914" s="35"/>
      <c r="CB914" s="35"/>
      <c r="CC914" s="35"/>
      <c r="CD914" s="35"/>
      <c r="CE914" s="35"/>
      <c r="CF914" s="35"/>
      <c r="CG914" s="35"/>
      <c r="CH914" s="35"/>
      <c r="CI914" s="35"/>
      <c r="CJ914" s="35"/>
      <c r="CK914" s="35"/>
      <c r="CL914" s="35"/>
      <c r="CM914" s="35"/>
      <c r="CN914" s="35"/>
      <c r="CO914" s="35"/>
      <c r="CP914" s="35"/>
      <c r="CQ914" s="35"/>
      <c r="CR914" s="35"/>
      <c r="CS914" s="35"/>
      <c r="CT914" s="35"/>
      <c r="CU914" s="35"/>
      <c r="CV914" s="35"/>
      <c r="CW914" s="35"/>
      <c r="CX914" s="35"/>
      <c r="CY914" s="35"/>
      <c r="CZ914" s="35"/>
      <c r="DA914" s="35"/>
      <c r="DB914" s="35"/>
      <c r="DC914" s="35"/>
      <c r="DD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  <c r="BU915" s="35"/>
      <c r="BV915" s="35"/>
      <c r="BW915" s="35"/>
      <c r="BX915" s="35"/>
      <c r="BY915" s="35"/>
      <c r="BZ915" s="35"/>
      <c r="CA915" s="35"/>
      <c r="CB915" s="35"/>
      <c r="CC915" s="35"/>
      <c r="CD915" s="35"/>
      <c r="CE915" s="35"/>
      <c r="CF915" s="35"/>
      <c r="CG915" s="35"/>
      <c r="CH915" s="35"/>
      <c r="CI915" s="35"/>
      <c r="CJ915" s="35"/>
      <c r="CK915" s="35"/>
      <c r="CL915" s="35"/>
      <c r="CM915" s="35"/>
      <c r="CN915" s="35"/>
      <c r="CO915" s="35"/>
      <c r="CP915" s="35"/>
      <c r="CQ915" s="35"/>
      <c r="CR915" s="35"/>
      <c r="CS915" s="35"/>
      <c r="CT915" s="35"/>
      <c r="CU915" s="35"/>
      <c r="CV915" s="35"/>
      <c r="CW915" s="35"/>
      <c r="CX915" s="35"/>
      <c r="CY915" s="35"/>
      <c r="CZ915" s="35"/>
      <c r="DA915" s="35"/>
      <c r="DB915" s="35"/>
      <c r="DC915" s="35"/>
      <c r="DD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  <c r="BN916" s="35"/>
      <c r="BO916" s="35"/>
      <c r="BP916" s="35"/>
      <c r="BQ916" s="35"/>
      <c r="BR916" s="35"/>
      <c r="BS916" s="35"/>
      <c r="BT916" s="35"/>
      <c r="BU916" s="35"/>
      <c r="BV916" s="35"/>
      <c r="BW916" s="35"/>
      <c r="BX916" s="35"/>
      <c r="BY916" s="35"/>
      <c r="BZ916" s="35"/>
      <c r="CA916" s="35"/>
      <c r="CB916" s="35"/>
      <c r="CC916" s="35"/>
      <c r="CD916" s="35"/>
      <c r="CE916" s="35"/>
      <c r="CF916" s="35"/>
      <c r="CG916" s="35"/>
      <c r="CH916" s="35"/>
      <c r="CI916" s="35"/>
      <c r="CJ916" s="35"/>
      <c r="CK916" s="35"/>
      <c r="CL916" s="35"/>
      <c r="CM916" s="35"/>
      <c r="CN916" s="35"/>
      <c r="CO916" s="35"/>
      <c r="CP916" s="35"/>
      <c r="CQ916" s="35"/>
      <c r="CR916" s="35"/>
      <c r="CS916" s="35"/>
      <c r="CT916" s="35"/>
      <c r="CU916" s="35"/>
      <c r="CV916" s="35"/>
      <c r="CW916" s="35"/>
      <c r="CX916" s="35"/>
      <c r="CY916" s="35"/>
      <c r="CZ916" s="35"/>
      <c r="DA916" s="35"/>
      <c r="DB916" s="35"/>
      <c r="DC916" s="35"/>
      <c r="DD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K917" s="35"/>
      <c r="BL917" s="35"/>
      <c r="BM917" s="35"/>
      <c r="BN917" s="35"/>
      <c r="BO917" s="35"/>
      <c r="BP917" s="35"/>
      <c r="BQ917" s="35"/>
      <c r="BR917" s="35"/>
      <c r="BS917" s="35"/>
      <c r="BT917" s="35"/>
      <c r="BU917" s="35"/>
      <c r="BV917" s="35"/>
      <c r="BW917" s="35"/>
      <c r="BX917" s="35"/>
      <c r="BY917" s="35"/>
      <c r="BZ917" s="35"/>
      <c r="CA917" s="35"/>
      <c r="CB917" s="35"/>
      <c r="CC917" s="35"/>
      <c r="CD917" s="35"/>
      <c r="CE917" s="35"/>
      <c r="CF917" s="35"/>
      <c r="CG917" s="35"/>
      <c r="CH917" s="35"/>
      <c r="CI917" s="35"/>
      <c r="CJ917" s="35"/>
      <c r="CK917" s="35"/>
      <c r="CL917" s="35"/>
      <c r="CM917" s="35"/>
      <c r="CN917" s="35"/>
      <c r="CO917" s="35"/>
      <c r="CP917" s="35"/>
      <c r="CQ917" s="35"/>
      <c r="CR917" s="35"/>
      <c r="CS917" s="35"/>
      <c r="CT917" s="35"/>
      <c r="CU917" s="35"/>
      <c r="CV917" s="35"/>
      <c r="CW917" s="35"/>
      <c r="CX917" s="35"/>
      <c r="CY917" s="35"/>
      <c r="CZ917" s="35"/>
      <c r="DA917" s="35"/>
      <c r="DB917" s="35"/>
      <c r="DC917" s="35"/>
      <c r="DD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K918" s="35"/>
      <c r="BL918" s="35"/>
      <c r="BM918" s="35"/>
      <c r="BN918" s="35"/>
      <c r="BO918" s="35"/>
      <c r="BP918" s="35"/>
      <c r="BQ918" s="35"/>
      <c r="BR918" s="35"/>
      <c r="BS918" s="35"/>
      <c r="BT918" s="35"/>
      <c r="BU918" s="35"/>
      <c r="BV918" s="35"/>
      <c r="BW918" s="35"/>
      <c r="BX918" s="35"/>
      <c r="BY918" s="35"/>
      <c r="BZ918" s="35"/>
      <c r="CA918" s="35"/>
      <c r="CB918" s="35"/>
      <c r="CC918" s="35"/>
      <c r="CD918" s="35"/>
      <c r="CE918" s="35"/>
      <c r="CF918" s="35"/>
      <c r="CG918" s="35"/>
      <c r="CH918" s="35"/>
      <c r="CI918" s="35"/>
      <c r="CJ918" s="35"/>
      <c r="CK918" s="35"/>
      <c r="CL918" s="35"/>
      <c r="CM918" s="35"/>
      <c r="CN918" s="35"/>
      <c r="CO918" s="35"/>
      <c r="CP918" s="35"/>
      <c r="CQ918" s="35"/>
      <c r="CR918" s="35"/>
      <c r="CS918" s="35"/>
      <c r="CT918" s="35"/>
      <c r="CU918" s="35"/>
      <c r="CV918" s="35"/>
      <c r="CW918" s="35"/>
      <c r="CX918" s="35"/>
      <c r="CY918" s="35"/>
      <c r="CZ918" s="35"/>
      <c r="DA918" s="35"/>
      <c r="DB918" s="35"/>
      <c r="DC918" s="35"/>
      <c r="DD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K919" s="35"/>
      <c r="BL919" s="35"/>
      <c r="BM919" s="35"/>
      <c r="BN919" s="35"/>
      <c r="BO919" s="35"/>
      <c r="BP919" s="35"/>
      <c r="BQ919" s="35"/>
      <c r="BR919" s="35"/>
      <c r="BS919" s="35"/>
      <c r="BT919" s="35"/>
      <c r="BU919" s="35"/>
      <c r="BV919" s="35"/>
      <c r="BW919" s="35"/>
      <c r="BX919" s="35"/>
      <c r="BY919" s="35"/>
      <c r="BZ919" s="35"/>
      <c r="CA919" s="35"/>
      <c r="CB919" s="35"/>
      <c r="CC919" s="35"/>
      <c r="CD919" s="35"/>
      <c r="CE919" s="35"/>
      <c r="CF919" s="35"/>
      <c r="CG919" s="35"/>
      <c r="CH919" s="35"/>
      <c r="CI919" s="35"/>
      <c r="CJ919" s="35"/>
      <c r="CK919" s="35"/>
      <c r="CL919" s="35"/>
      <c r="CM919" s="35"/>
      <c r="CN919" s="35"/>
      <c r="CO919" s="35"/>
      <c r="CP919" s="35"/>
      <c r="CQ919" s="35"/>
      <c r="CR919" s="35"/>
      <c r="CS919" s="35"/>
      <c r="CT919" s="35"/>
      <c r="CU919" s="35"/>
      <c r="CV919" s="35"/>
      <c r="CW919" s="35"/>
      <c r="CX919" s="35"/>
      <c r="CY919" s="35"/>
      <c r="CZ919" s="35"/>
      <c r="DA919" s="35"/>
      <c r="DB919" s="35"/>
      <c r="DC919" s="35"/>
      <c r="DD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K920" s="35"/>
      <c r="BL920" s="35"/>
      <c r="BM920" s="35"/>
      <c r="BN920" s="35"/>
      <c r="BO920" s="35"/>
      <c r="BP920" s="35"/>
      <c r="BQ920" s="35"/>
      <c r="BR920" s="35"/>
      <c r="BS920" s="35"/>
      <c r="BT920" s="35"/>
      <c r="BU920" s="35"/>
      <c r="BV920" s="35"/>
      <c r="BW920" s="35"/>
      <c r="BX920" s="35"/>
      <c r="BY920" s="35"/>
      <c r="BZ920" s="35"/>
      <c r="CA920" s="35"/>
      <c r="CB920" s="35"/>
      <c r="CC920" s="35"/>
      <c r="CD920" s="35"/>
      <c r="CE920" s="35"/>
      <c r="CF920" s="35"/>
      <c r="CG920" s="35"/>
      <c r="CH920" s="35"/>
      <c r="CI920" s="35"/>
      <c r="CJ920" s="35"/>
      <c r="CK920" s="35"/>
      <c r="CL920" s="35"/>
      <c r="CM920" s="35"/>
      <c r="CN920" s="35"/>
      <c r="CO920" s="35"/>
      <c r="CP920" s="35"/>
      <c r="CQ920" s="35"/>
      <c r="CR920" s="35"/>
      <c r="CS920" s="35"/>
      <c r="CT920" s="35"/>
      <c r="CU920" s="35"/>
      <c r="CV920" s="35"/>
      <c r="CW920" s="35"/>
      <c r="CX920" s="35"/>
      <c r="CY920" s="35"/>
      <c r="CZ920" s="35"/>
      <c r="DA920" s="35"/>
      <c r="DB920" s="35"/>
      <c r="DC920" s="35"/>
      <c r="DD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  <c r="BN921" s="35"/>
      <c r="BO921" s="35"/>
      <c r="BP921" s="35"/>
      <c r="BQ921" s="35"/>
      <c r="BR921" s="35"/>
      <c r="BS921" s="35"/>
      <c r="BT921" s="35"/>
      <c r="BU921" s="35"/>
      <c r="BV921" s="35"/>
      <c r="BW921" s="35"/>
      <c r="BX921" s="35"/>
      <c r="BY921" s="35"/>
      <c r="BZ921" s="35"/>
      <c r="CA921" s="35"/>
      <c r="CB921" s="35"/>
      <c r="CC921" s="35"/>
      <c r="CD921" s="35"/>
      <c r="CE921" s="35"/>
      <c r="CF921" s="35"/>
      <c r="CG921" s="35"/>
      <c r="CH921" s="35"/>
      <c r="CI921" s="35"/>
      <c r="CJ921" s="35"/>
      <c r="CK921" s="35"/>
      <c r="CL921" s="35"/>
      <c r="CM921" s="35"/>
      <c r="CN921" s="35"/>
      <c r="CO921" s="35"/>
      <c r="CP921" s="35"/>
      <c r="CQ921" s="35"/>
      <c r="CR921" s="35"/>
      <c r="CS921" s="35"/>
      <c r="CT921" s="35"/>
      <c r="CU921" s="35"/>
      <c r="CV921" s="35"/>
      <c r="CW921" s="35"/>
      <c r="CX921" s="35"/>
      <c r="CY921" s="35"/>
      <c r="CZ921" s="35"/>
      <c r="DA921" s="35"/>
      <c r="DB921" s="35"/>
      <c r="DC921" s="35"/>
      <c r="DD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  <c r="BN922" s="35"/>
      <c r="BO922" s="35"/>
      <c r="BP922" s="35"/>
      <c r="BQ922" s="35"/>
      <c r="BR922" s="35"/>
      <c r="BS922" s="35"/>
      <c r="BT922" s="35"/>
      <c r="BU922" s="35"/>
      <c r="BV922" s="35"/>
      <c r="BW922" s="35"/>
      <c r="BX922" s="35"/>
      <c r="BY922" s="35"/>
      <c r="BZ922" s="35"/>
      <c r="CA922" s="35"/>
      <c r="CB922" s="35"/>
      <c r="CC922" s="35"/>
      <c r="CD922" s="35"/>
      <c r="CE922" s="35"/>
      <c r="CF922" s="35"/>
      <c r="CG922" s="35"/>
      <c r="CH922" s="35"/>
      <c r="CI922" s="35"/>
      <c r="CJ922" s="35"/>
      <c r="CK922" s="35"/>
      <c r="CL922" s="35"/>
      <c r="CM922" s="35"/>
      <c r="CN922" s="35"/>
      <c r="CO922" s="35"/>
      <c r="CP922" s="35"/>
      <c r="CQ922" s="35"/>
      <c r="CR922" s="35"/>
      <c r="CS922" s="35"/>
      <c r="CT922" s="35"/>
      <c r="CU922" s="35"/>
      <c r="CV922" s="35"/>
      <c r="CW922" s="35"/>
      <c r="CX922" s="35"/>
      <c r="CY922" s="35"/>
      <c r="CZ922" s="35"/>
      <c r="DA922" s="35"/>
      <c r="DB922" s="35"/>
      <c r="DC922" s="35"/>
      <c r="DD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  <c r="BN923" s="35"/>
      <c r="BO923" s="35"/>
      <c r="BP923" s="35"/>
      <c r="BQ923" s="35"/>
      <c r="BR923" s="35"/>
      <c r="BS923" s="35"/>
      <c r="BT923" s="35"/>
      <c r="BU923" s="35"/>
      <c r="BV923" s="35"/>
      <c r="BW923" s="35"/>
      <c r="BX923" s="35"/>
      <c r="BY923" s="35"/>
      <c r="BZ923" s="35"/>
      <c r="CA923" s="35"/>
      <c r="CB923" s="35"/>
      <c r="CC923" s="35"/>
      <c r="CD923" s="35"/>
      <c r="CE923" s="35"/>
      <c r="CF923" s="35"/>
      <c r="CG923" s="35"/>
      <c r="CH923" s="35"/>
      <c r="CI923" s="35"/>
      <c r="CJ923" s="35"/>
      <c r="CK923" s="35"/>
      <c r="CL923" s="35"/>
      <c r="CM923" s="35"/>
      <c r="CN923" s="35"/>
      <c r="CO923" s="35"/>
      <c r="CP923" s="35"/>
      <c r="CQ923" s="35"/>
      <c r="CR923" s="35"/>
      <c r="CS923" s="35"/>
      <c r="CT923" s="35"/>
      <c r="CU923" s="35"/>
      <c r="CV923" s="35"/>
      <c r="CW923" s="35"/>
      <c r="CX923" s="35"/>
      <c r="CY923" s="35"/>
      <c r="CZ923" s="35"/>
      <c r="DA923" s="35"/>
      <c r="DB923" s="35"/>
      <c r="DC923" s="35"/>
      <c r="DD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  <c r="BA924" s="35"/>
      <c r="BB924" s="35"/>
      <c r="BC924" s="35"/>
      <c r="BD924" s="35"/>
      <c r="BE924" s="35"/>
      <c r="BF924" s="35"/>
      <c r="BG924" s="35"/>
      <c r="BH924" s="35"/>
      <c r="BI924" s="35"/>
      <c r="BJ924" s="35"/>
      <c r="BK924" s="35"/>
      <c r="BL924" s="35"/>
      <c r="BM924" s="35"/>
      <c r="BN924" s="35"/>
      <c r="BO924" s="35"/>
      <c r="BP924" s="35"/>
      <c r="BQ924" s="35"/>
      <c r="BR924" s="35"/>
      <c r="BS924" s="35"/>
      <c r="BT924" s="35"/>
      <c r="BU924" s="35"/>
      <c r="BV924" s="35"/>
      <c r="BW924" s="35"/>
      <c r="BX924" s="35"/>
      <c r="BY924" s="35"/>
      <c r="BZ924" s="35"/>
      <c r="CA924" s="35"/>
      <c r="CB924" s="35"/>
      <c r="CC924" s="35"/>
      <c r="CD924" s="35"/>
      <c r="CE924" s="35"/>
      <c r="CF924" s="35"/>
      <c r="CG924" s="35"/>
      <c r="CH924" s="35"/>
      <c r="CI924" s="35"/>
      <c r="CJ924" s="35"/>
      <c r="CK924" s="35"/>
      <c r="CL924" s="35"/>
      <c r="CM924" s="35"/>
      <c r="CN924" s="35"/>
      <c r="CO924" s="35"/>
      <c r="CP924" s="35"/>
      <c r="CQ924" s="35"/>
      <c r="CR924" s="35"/>
      <c r="CS924" s="35"/>
      <c r="CT924" s="35"/>
      <c r="CU924" s="35"/>
      <c r="CV924" s="35"/>
      <c r="CW924" s="35"/>
      <c r="CX924" s="35"/>
      <c r="CY924" s="35"/>
      <c r="CZ924" s="35"/>
      <c r="DA924" s="35"/>
      <c r="DB924" s="35"/>
      <c r="DC924" s="35"/>
      <c r="DD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  <c r="BN925" s="35"/>
      <c r="BO925" s="35"/>
      <c r="BP925" s="35"/>
      <c r="BQ925" s="35"/>
      <c r="BR925" s="35"/>
      <c r="BS925" s="35"/>
      <c r="BT925" s="35"/>
      <c r="BU925" s="35"/>
      <c r="BV925" s="35"/>
      <c r="BW925" s="35"/>
      <c r="BX925" s="35"/>
      <c r="BY925" s="35"/>
      <c r="BZ925" s="35"/>
      <c r="CA925" s="35"/>
      <c r="CB925" s="35"/>
      <c r="CC925" s="35"/>
      <c r="CD925" s="35"/>
      <c r="CE925" s="35"/>
      <c r="CF925" s="35"/>
      <c r="CG925" s="35"/>
      <c r="CH925" s="35"/>
      <c r="CI925" s="35"/>
      <c r="CJ925" s="35"/>
      <c r="CK925" s="35"/>
      <c r="CL925" s="35"/>
      <c r="CM925" s="35"/>
      <c r="CN925" s="35"/>
      <c r="CO925" s="35"/>
      <c r="CP925" s="35"/>
      <c r="CQ925" s="35"/>
      <c r="CR925" s="35"/>
      <c r="CS925" s="35"/>
      <c r="CT925" s="35"/>
      <c r="CU925" s="35"/>
      <c r="CV925" s="35"/>
      <c r="CW925" s="35"/>
      <c r="CX925" s="35"/>
      <c r="CY925" s="35"/>
      <c r="CZ925" s="35"/>
      <c r="DA925" s="35"/>
      <c r="DB925" s="35"/>
      <c r="DC925" s="35"/>
      <c r="DD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  <c r="BA926" s="35"/>
      <c r="BB926" s="35"/>
      <c r="BC926" s="35"/>
      <c r="BD926" s="35"/>
      <c r="BE926" s="35"/>
      <c r="BF926" s="35"/>
      <c r="BG926" s="35"/>
      <c r="BH926" s="35"/>
      <c r="BI926" s="35"/>
      <c r="BJ926" s="35"/>
      <c r="BK926" s="35"/>
      <c r="BL926" s="35"/>
      <c r="BM926" s="35"/>
      <c r="BN926" s="35"/>
      <c r="BO926" s="35"/>
      <c r="BP926" s="35"/>
      <c r="BQ926" s="35"/>
      <c r="BR926" s="35"/>
      <c r="BS926" s="35"/>
      <c r="BT926" s="35"/>
      <c r="BU926" s="35"/>
      <c r="BV926" s="35"/>
      <c r="BW926" s="35"/>
      <c r="BX926" s="35"/>
      <c r="BY926" s="35"/>
      <c r="BZ926" s="35"/>
      <c r="CA926" s="35"/>
      <c r="CB926" s="35"/>
      <c r="CC926" s="35"/>
      <c r="CD926" s="35"/>
      <c r="CE926" s="35"/>
      <c r="CF926" s="35"/>
      <c r="CG926" s="35"/>
      <c r="CH926" s="35"/>
      <c r="CI926" s="35"/>
      <c r="CJ926" s="35"/>
      <c r="CK926" s="35"/>
      <c r="CL926" s="35"/>
      <c r="CM926" s="35"/>
      <c r="CN926" s="35"/>
      <c r="CO926" s="35"/>
      <c r="CP926" s="35"/>
      <c r="CQ926" s="35"/>
      <c r="CR926" s="35"/>
      <c r="CS926" s="35"/>
      <c r="CT926" s="35"/>
      <c r="CU926" s="35"/>
      <c r="CV926" s="35"/>
      <c r="CW926" s="35"/>
      <c r="CX926" s="35"/>
      <c r="CY926" s="35"/>
      <c r="CZ926" s="35"/>
      <c r="DA926" s="35"/>
      <c r="DB926" s="35"/>
      <c r="DC926" s="35"/>
      <c r="DD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K927" s="35"/>
      <c r="BL927" s="35"/>
      <c r="BM927" s="35"/>
      <c r="BN927" s="35"/>
      <c r="BO927" s="35"/>
      <c r="BP927" s="35"/>
      <c r="BQ927" s="35"/>
      <c r="BR927" s="35"/>
      <c r="BS927" s="35"/>
      <c r="BT927" s="35"/>
      <c r="BU927" s="35"/>
      <c r="BV927" s="35"/>
      <c r="BW927" s="35"/>
      <c r="BX927" s="35"/>
      <c r="BY927" s="35"/>
      <c r="BZ927" s="35"/>
      <c r="CA927" s="35"/>
      <c r="CB927" s="35"/>
      <c r="CC927" s="35"/>
      <c r="CD927" s="35"/>
      <c r="CE927" s="35"/>
      <c r="CF927" s="35"/>
      <c r="CG927" s="35"/>
      <c r="CH927" s="35"/>
      <c r="CI927" s="35"/>
      <c r="CJ927" s="35"/>
      <c r="CK927" s="35"/>
      <c r="CL927" s="35"/>
      <c r="CM927" s="35"/>
      <c r="CN927" s="35"/>
      <c r="CO927" s="35"/>
      <c r="CP927" s="35"/>
      <c r="CQ927" s="35"/>
      <c r="CR927" s="35"/>
      <c r="CS927" s="35"/>
      <c r="CT927" s="35"/>
      <c r="CU927" s="35"/>
      <c r="CV927" s="35"/>
      <c r="CW927" s="35"/>
      <c r="CX927" s="35"/>
      <c r="CY927" s="35"/>
      <c r="CZ927" s="35"/>
      <c r="DA927" s="35"/>
      <c r="DB927" s="35"/>
      <c r="DC927" s="35"/>
      <c r="DD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  <c r="BN928" s="35"/>
      <c r="BO928" s="35"/>
      <c r="BP928" s="35"/>
      <c r="BQ928" s="35"/>
      <c r="BR928" s="35"/>
      <c r="BS928" s="35"/>
      <c r="BT928" s="35"/>
      <c r="BU928" s="35"/>
      <c r="BV928" s="35"/>
      <c r="BW928" s="35"/>
      <c r="BX928" s="35"/>
      <c r="BY928" s="35"/>
      <c r="BZ928" s="35"/>
      <c r="CA928" s="35"/>
      <c r="CB928" s="35"/>
      <c r="CC928" s="35"/>
      <c r="CD928" s="35"/>
      <c r="CE928" s="35"/>
      <c r="CF928" s="35"/>
      <c r="CG928" s="35"/>
      <c r="CH928" s="35"/>
      <c r="CI928" s="35"/>
      <c r="CJ928" s="35"/>
      <c r="CK928" s="35"/>
      <c r="CL928" s="35"/>
      <c r="CM928" s="35"/>
      <c r="CN928" s="35"/>
      <c r="CO928" s="35"/>
      <c r="CP928" s="35"/>
      <c r="CQ928" s="35"/>
      <c r="CR928" s="35"/>
      <c r="CS928" s="35"/>
      <c r="CT928" s="35"/>
      <c r="CU928" s="35"/>
      <c r="CV928" s="35"/>
      <c r="CW928" s="35"/>
      <c r="CX928" s="35"/>
      <c r="CY928" s="35"/>
      <c r="CZ928" s="35"/>
      <c r="DA928" s="35"/>
      <c r="DB928" s="35"/>
      <c r="DC928" s="35"/>
      <c r="DD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K929" s="35"/>
      <c r="BL929" s="35"/>
      <c r="BM929" s="35"/>
      <c r="BN929" s="35"/>
      <c r="BO929" s="35"/>
      <c r="BP929" s="35"/>
      <c r="BQ929" s="35"/>
      <c r="BR929" s="35"/>
      <c r="BS929" s="35"/>
      <c r="BT929" s="35"/>
      <c r="BU929" s="35"/>
      <c r="BV929" s="35"/>
      <c r="BW929" s="35"/>
      <c r="BX929" s="35"/>
      <c r="BY929" s="35"/>
      <c r="BZ929" s="35"/>
      <c r="CA929" s="35"/>
      <c r="CB929" s="35"/>
      <c r="CC929" s="35"/>
      <c r="CD929" s="35"/>
      <c r="CE929" s="35"/>
      <c r="CF929" s="35"/>
      <c r="CG929" s="35"/>
      <c r="CH929" s="35"/>
      <c r="CI929" s="35"/>
      <c r="CJ929" s="35"/>
      <c r="CK929" s="35"/>
      <c r="CL929" s="35"/>
      <c r="CM929" s="35"/>
      <c r="CN929" s="35"/>
      <c r="CO929" s="35"/>
      <c r="CP929" s="35"/>
      <c r="CQ929" s="35"/>
      <c r="CR929" s="35"/>
      <c r="CS929" s="35"/>
      <c r="CT929" s="35"/>
      <c r="CU929" s="35"/>
      <c r="CV929" s="35"/>
      <c r="CW929" s="35"/>
      <c r="CX929" s="35"/>
      <c r="CY929" s="35"/>
      <c r="CZ929" s="35"/>
      <c r="DA929" s="35"/>
      <c r="DB929" s="35"/>
      <c r="DC929" s="35"/>
      <c r="DD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  <c r="BA930" s="35"/>
      <c r="BB930" s="35"/>
      <c r="BC930" s="35"/>
      <c r="BD930" s="35"/>
      <c r="BE930" s="35"/>
      <c r="BF930" s="35"/>
      <c r="BG930" s="35"/>
      <c r="BH930" s="35"/>
      <c r="BI930" s="35"/>
      <c r="BJ930" s="35"/>
      <c r="BK930" s="35"/>
      <c r="BL930" s="35"/>
      <c r="BM930" s="35"/>
      <c r="BN930" s="35"/>
      <c r="BO930" s="35"/>
      <c r="BP930" s="35"/>
      <c r="BQ930" s="35"/>
      <c r="BR930" s="35"/>
      <c r="BS930" s="35"/>
      <c r="BT930" s="35"/>
      <c r="BU930" s="35"/>
      <c r="BV930" s="35"/>
      <c r="BW930" s="35"/>
      <c r="BX930" s="35"/>
      <c r="BY930" s="35"/>
      <c r="BZ930" s="35"/>
      <c r="CA930" s="35"/>
      <c r="CB930" s="35"/>
      <c r="CC930" s="35"/>
      <c r="CD930" s="35"/>
      <c r="CE930" s="35"/>
      <c r="CF930" s="35"/>
      <c r="CG930" s="35"/>
      <c r="CH930" s="35"/>
      <c r="CI930" s="35"/>
      <c r="CJ930" s="35"/>
      <c r="CK930" s="35"/>
      <c r="CL930" s="35"/>
      <c r="CM930" s="35"/>
      <c r="CN930" s="35"/>
      <c r="CO930" s="35"/>
      <c r="CP930" s="35"/>
      <c r="CQ930" s="35"/>
      <c r="CR930" s="35"/>
      <c r="CS930" s="35"/>
      <c r="CT930" s="35"/>
      <c r="CU930" s="35"/>
      <c r="CV930" s="35"/>
      <c r="CW930" s="35"/>
      <c r="CX930" s="35"/>
      <c r="CY930" s="35"/>
      <c r="CZ930" s="35"/>
      <c r="DA930" s="35"/>
      <c r="DB930" s="35"/>
      <c r="DC930" s="35"/>
      <c r="DD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  <c r="BA931" s="35"/>
      <c r="BB931" s="35"/>
      <c r="BC931" s="35"/>
      <c r="BD931" s="35"/>
      <c r="BE931" s="35"/>
      <c r="BF931" s="35"/>
      <c r="BG931" s="35"/>
      <c r="BH931" s="35"/>
      <c r="BI931" s="35"/>
      <c r="BJ931" s="35"/>
      <c r="BK931" s="35"/>
      <c r="BL931" s="35"/>
      <c r="BM931" s="35"/>
      <c r="BN931" s="35"/>
      <c r="BO931" s="35"/>
      <c r="BP931" s="35"/>
      <c r="BQ931" s="35"/>
      <c r="BR931" s="35"/>
      <c r="BS931" s="35"/>
      <c r="BT931" s="35"/>
      <c r="BU931" s="35"/>
      <c r="BV931" s="35"/>
      <c r="BW931" s="35"/>
      <c r="BX931" s="35"/>
      <c r="BY931" s="35"/>
      <c r="BZ931" s="35"/>
      <c r="CA931" s="35"/>
      <c r="CB931" s="35"/>
      <c r="CC931" s="35"/>
      <c r="CD931" s="35"/>
      <c r="CE931" s="35"/>
      <c r="CF931" s="35"/>
      <c r="CG931" s="35"/>
      <c r="CH931" s="35"/>
      <c r="CI931" s="35"/>
      <c r="CJ931" s="35"/>
      <c r="CK931" s="35"/>
      <c r="CL931" s="35"/>
      <c r="CM931" s="35"/>
      <c r="CN931" s="35"/>
      <c r="CO931" s="35"/>
      <c r="CP931" s="35"/>
      <c r="CQ931" s="35"/>
      <c r="CR931" s="35"/>
      <c r="CS931" s="35"/>
      <c r="CT931" s="35"/>
      <c r="CU931" s="35"/>
      <c r="CV931" s="35"/>
      <c r="CW931" s="35"/>
      <c r="CX931" s="35"/>
      <c r="CY931" s="35"/>
      <c r="CZ931" s="35"/>
      <c r="DA931" s="35"/>
      <c r="DB931" s="35"/>
      <c r="DC931" s="35"/>
      <c r="DD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  <c r="BN932" s="35"/>
      <c r="BO932" s="35"/>
      <c r="BP932" s="35"/>
      <c r="BQ932" s="35"/>
      <c r="BR932" s="35"/>
      <c r="BS932" s="35"/>
      <c r="BT932" s="35"/>
      <c r="BU932" s="35"/>
      <c r="BV932" s="35"/>
      <c r="BW932" s="35"/>
      <c r="BX932" s="35"/>
      <c r="BY932" s="35"/>
      <c r="BZ932" s="35"/>
      <c r="CA932" s="35"/>
      <c r="CB932" s="35"/>
      <c r="CC932" s="35"/>
      <c r="CD932" s="35"/>
      <c r="CE932" s="35"/>
      <c r="CF932" s="35"/>
      <c r="CG932" s="35"/>
      <c r="CH932" s="35"/>
      <c r="CI932" s="35"/>
      <c r="CJ932" s="35"/>
      <c r="CK932" s="35"/>
      <c r="CL932" s="35"/>
      <c r="CM932" s="35"/>
      <c r="CN932" s="35"/>
      <c r="CO932" s="35"/>
      <c r="CP932" s="35"/>
      <c r="CQ932" s="35"/>
      <c r="CR932" s="35"/>
      <c r="CS932" s="35"/>
      <c r="CT932" s="35"/>
      <c r="CU932" s="35"/>
      <c r="CV932" s="35"/>
      <c r="CW932" s="35"/>
      <c r="CX932" s="35"/>
      <c r="CY932" s="35"/>
      <c r="CZ932" s="35"/>
      <c r="DA932" s="35"/>
      <c r="DB932" s="35"/>
      <c r="DC932" s="35"/>
      <c r="DD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K933" s="35"/>
      <c r="BL933" s="35"/>
      <c r="BM933" s="35"/>
      <c r="BN933" s="35"/>
      <c r="BO933" s="35"/>
      <c r="BP933" s="35"/>
      <c r="BQ933" s="35"/>
      <c r="BR933" s="35"/>
      <c r="BS933" s="35"/>
      <c r="BT933" s="35"/>
      <c r="BU933" s="35"/>
      <c r="BV933" s="35"/>
      <c r="BW933" s="35"/>
      <c r="BX933" s="35"/>
      <c r="BY933" s="35"/>
      <c r="BZ933" s="35"/>
      <c r="CA933" s="35"/>
      <c r="CB933" s="35"/>
      <c r="CC933" s="35"/>
      <c r="CD933" s="35"/>
      <c r="CE933" s="35"/>
      <c r="CF933" s="35"/>
      <c r="CG933" s="35"/>
      <c r="CH933" s="35"/>
      <c r="CI933" s="35"/>
      <c r="CJ933" s="35"/>
      <c r="CK933" s="35"/>
      <c r="CL933" s="35"/>
      <c r="CM933" s="35"/>
      <c r="CN933" s="35"/>
      <c r="CO933" s="35"/>
      <c r="CP933" s="35"/>
      <c r="CQ933" s="35"/>
      <c r="CR933" s="35"/>
      <c r="CS933" s="35"/>
      <c r="CT933" s="35"/>
      <c r="CU933" s="35"/>
      <c r="CV933" s="35"/>
      <c r="CW933" s="35"/>
      <c r="CX933" s="35"/>
      <c r="CY933" s="35"/>
      <c r="CZ933" s="35"/>
      <c r="DA933" s="35"/>
      <c r="DB933" s="35"/>
      <c r="DC933" s="35"/>
      <c r="DD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K934" s="35"/>
      <c r="BL934" s="35"/>
      <c r="BM934" s="35"/>
      <c r="BN934" s="35"/>
      <c r="BO934" s="35"/>
      <c r="BP934" s="35"/>
      <c r="BQ934" s="35"/>
      <c r="BR934" s="35"/>
      <c r="BS934" s="35"/>
      <c r="BT934" s="35"/>
      <c r="BU934" s="35"/>
      <c r="BV934" s="35"/>
      <c r="BW934" s="35"/>
      <c r="BX934" s="35"/>
      <c r="BY934" s="35"/>
      <c r="BZ934" s="35"/>
      <c r="CA934" s="35"/>
      <c r="CB934" s="35"/>
      <c r="CC934" s="35"/>
      <c r="CD934" s="35"/>
      <c r="CE934" s="35"/>
      <c r="CF934" s="35"/>
      <c r="CG934" s="35"/>
      <c r="CH934" s="35"/>
      <c r="CI934" s="35"/>
      <c r="CJ934" s="35"/>
      <c r="CK934" s="35"/>
      <c r="CL934" s="35"/>
      <c r="CM934" s="35"/>
      <c r="CN934" s="35"/>
      <c r="CO934" s="35"/>
      <c r="CP934" s="35"/>
      <c r="CQ934" s="35"/>
      <c r="CR934" s="35"/>
      <c r="CS934" s="35"/>
      <c r="CT934" s="35"/>
      <c r="CU934" s="35"/>
      <c r="CV934" s="35"/>
      <c r="CW934" s="35"/>
      <c r="CX934" s="35"/>
      <c r="CY934" s="35"/>
      <c r="CZ934" s="35"/>
      <c r="DA934" s="35"/>
      <c r="DB934" s="35"/>
      <c r="DC934" s="35"/>
      <c r="DD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K935" s="35"/>
      <c r="BL935" s="35"/>
      <c r="BM935" s="35"/>
      <c r="BN935" s="35"/>
      <c r="BO935" s="35"/>
      <c r="BP935" s="35"/>
      <c r="BQ935" s="35"/>
      <c r="BR935" s="35"/>
      <c r="BS935" s="35"/>
      <c r="BT935" s="35"/>
      <c r="BU935" s="35"/>
      <c r="BV935" s="35"/>
      <c r="BW935" s="35"/>
      <c r="BX935" s="35"/>
      <c r="BY935" s="35"/>
      <c r="BZ935" s="35"/>
      <c r="CA935" s="35"/>
      <c r="CB935" s="35"/>
      <c r="CC935" s="35"/>
      <c r="CD935" s="35"/>
      <c r="CE935" s="35"/>
      <c r="CF935" s="35"/>
      <c r="CG935" s="35"/>
      <c r="CH935" s="35"/>
      <c r="CI935" s="35"/>
      <c r="CJ935" s="35"/>
      <c r="CK935" s="35"/>
      <c r="CL935" s="35"/>
      <c r="CM935" s="35"/>
      <c r="CN935" s="35"/>
      <c r="CO935" s="35"/>
      <c r="CP935" s="35"/>
      <c r="CQ935" s="35"/>
      <c r="CR935" s="35"/>
      <c r="CS935" s="35"/>
      <c r="CT935" s="35"/>
      <c r="CU935" s="35"/>
      <c r="CV935" s="35"/>
      <c r="CW935" s="35"/>
      <c r="CX935" s="35"/>
      <c r="CY935" s="35"/>
      <c r="CZ935" s="35"/>
      <c r="DA935" s="35"/>
      <c r="DB935" s="35"/>
      <c r="DC935" s="35"/>
      <c r="DD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  <c r="BN936" s="35"/>
      <c r="BO936" s="35"/>
      <c r="BP936" s="35"/>
      <c r="BQ936" s="35"/>
      <c r="BR936" s="35"/>
      <c r="BS936" s="35"/>
      <c r="BT936" s="35"/>
      <c r="BU936" s="35"/>
      <c r="BV936" s="35"/>
      <c r="BW936" s="35"/>
      <c r="BX936" s="35"/>
      <c r="BY936" s="35"/>
      <c r="BZ936" s="35"/>
      <c r="CA936" s="35"/>
      <c r="CB936" s="35"/>
      <c r="CC936" s="35"/>
      <c r="CD936" s="35"/>
      <c r="CE936" s="35"/>
      <c r="CF936" s="35"/>
      <c r="CG936" s="35"/>
      <c r="CH936" s="35"/>
      <c r="CI936" s="35"/>
      <c r="CJ936" s="35"/>
      <c r="CK936" s="35"/>
      <c r="CL936" s="35"/>
      <c r="CM936" s="35"/>
      <c r="CN936" s="35"/>
      <c r="CO936" s="35"/>
      <c r="CP936" s="35"/>
      <c r="CQ936" s="35"/>
      <c r="CR936" s="35"/>
      <c r="CS936" s="35"/>
      <c r="CT936" s="35"/>
      <c r="CU936" s="35"/>
      <c r="CV936" s="35"/>
      <c r="CW936" s="35"/>
      <c r="CX936" s="35"/>
      <c r="CY936" s="35"/>
      <c r="CZ936" s="35"/>
      <c r="DA936" s="35"/>
      <c r="DB936" s="35"/>
      <c r="DC936" s="35"/>
      <c r="DD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K937" s="35"/>
      <c r="BL937" s="35"/>
      <c r="BM937" s="35"/>
      <c r="BN937" s="35"/>
      <c r="BO937" s="35"/>
      <c r="BP937" s="35"/>
      <c r="BQ937" s="35"/>
      <c r="BR937" s="35"/>
      <c r="BS937" s="35"/>
      <c r="BT937" s="35"/>
      <c r="BU937" s="35"/>
      <c r="BV937" s="35"/>
      <c r="BW937" s="35"/>
      <c r="BX937" s="35"/>
      <c r="BY937" s="35"/>
      <c r="BZ937" s="35"/>
      <c r="CA937" s="35"/>
      <c r="CB937" s="35"/>
      <c r="CC937" s="35"/>
      <c r="CD937" s="35"/>
      <c r="CE937" s="35"/>
      <c r="CF937" s="35"/>
      <c r="CG937" s="35"/>
      <c r="CH937" s="35"/>
      <c r="CI937" s="35"/>
      <c r="CJ937" s="35"/>
      <c r="CK937" s="35"/>
      <c r="CL937" s="35"/>
      <c r="CM937" s="35"/>
      <c r="CN937" s="35"/>
      <c r="CO937" s="35"/>
      <c r="CP937" s="35"/>
      <c r="CQ937" s="35"/>
      <c r="CR937" s="35"/>
      <c r="CS937" s="35"/>
      <c r="CT937" s="35"/>
      <c r="CU937" s="35"/>
      <c r="CV937" s="35"/>
      <c r="CW937" s="35"/>
      <c r="CX937" s="35"/>
      <c r="CY937" s="35"/>
      <c r="CZ937" s="35"/>
      <c r="DA937" s="35"/>
      <c r="DB937" s="35"/>
      <c r="DC937" s="35"/>
      <c r="DD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K938" s="35"/>
      <c r="BL938" s="35"/>
      <c r="BM938" s="35"/>
      <c r="BN938" s="35"/>
      <c r="BO938" s="35"/>
      <c r="BP938" s="35"/>
      <c r="BQ938" s="35"/>
      <c r="BR938" s="35"/>
      <c r="BS938" s="35"/>
      <c r="BT938" s="35"/>
      <c r="BU938" s="35"/>
      <c r="BV938" s="35"/>
      <c r="BW938" s="35"/>
      <c r="BX938" s="35"/>
      <c r="BY938" s="35"/>
      <c r="BZ938" s="35"/>
      <c r="CA938" s="35"/>
      <c r="CB938" s="35"/>
      <c r="CC938" s="35"/>
      <c r="CD938" s="35"/>
      <c r="CE938" s="35"/>
      <c r="CF938" s="35"/>
      <c r="CG938" s="35"/>
      <c r="CH938" s="35"/>
      <c r="CI938" s="35"/>
      <c r="CJ938" s="35"/>
      <c r="CK938" s="35"/>
      <c r="CL938" s="35"/>
      <c r="CM938" s="35"/>
      <c r="CN938" s="35"/>
      <c r="CO938" s="35"/>
      <c r="CP938" s="35"/>
      <c r="CQ938" s="35"/>
      <c r="CR938" s="35"/>
      <c r="CS938" s="35"/>
      <c r="CT938" s="35"/>
      <c r="CU938" s="35"/>
      <c r="CV938" s="35"/>
      <c r="CW938" s="35"/>
      <c r="CX938" s="35"/>
      <c r="CY938" s="35"/>
      <c r="CZ938" s="35"/>
      <c r="DA938" s="35"/>
      <c r="DB938" s="35"/>
      <c r="DC938" s="35"/>
      <c r="DD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  <c r="BN939" s="35"/>
      <c r="BO939" s="35"/>
      <c r="BP939" s="35"/>
      <c r="BQ939" s="35"/>
      <c r="BR939" s="35"/>
      <c r="BS939" s="35"/>
      <c r="BT939" s="35"/>
      <c r="BU939" s="35"/>
      <c r="BV939" s="35"/>
      <c r="BW939" s="35"/>
      <c r="BX939" s="35"/>
      <c r="BY939" s="35"/>
      <c r="BZ939" s="35"/>
      <c r="CA939" s="35"/>
      <c r="CB939" s="35"/>
      <c r="CC939" s="35"/>
      <c r="CD939" s="35"/>
      <c r="CE939" s="35"/>
      <c r="CF939" s="35"/>
      <c r="CG939" s="35"/>
      <c r="CH939" s="35"/>
      <c r="CI939" s="35"/>
      <c r="CJ939" s="35"/>
      <c r="CK939" s="35"/>
      <c r="CL939" s="35"/>
      <c r="CM939" s="35"/>
      <c r="CN939" s="35"/>
      <c r="CO939" s="35"/>
      <c r="CP939" s="35"/>
      <c r="CQ939" s="35"/>
      <c r="CR939" s="35"/>
      <c r="CS939" s="35"/>
      <c r="CT939" s="35"/>
      <c r="CU939" s="35"/>
      <c r="CV939" s="35"/>
      <c r="CW939" s="35"/>
      <c r="CX939" s="35"/>
      <c r="CY939" s="35"/>
      <c r="CZ939" s="35"/>
      <c r="DA939" s="35"/>
      <c r="DB939" s="35"/>
      <c r="DC939" s="35"/>
      <c r="DD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  <c r="BN940" s="35"/>
      <c r="BO940" s="35"/>
      <c r="BP940" s="35"/>
      <c r="BQ940" s="35"/>
      <c r="BR940" s="35"/>
      <c r="BS940" s="35"/>
      <c r="BT940" s="35"/>
      <c r="BU940" s="35"/>
      <c r="BV940" s="35"/>
      <c r="BW940" s="35"/>
      <c r="BX940" s="35"/>
      <c r="BY940" s="35"/>
      <c r="BZ940" s="35"/>
      <c r="CA940" s="35"/>
      <c r="CB940" s="35"/>
      <c r="CC940" s="35"/>
      <c r="CD940" s="35"/>
      <c r="CE940" s="35"/>
      <c r="CF940" s="35"/>
      <c r="CG940" s="35"/>
      <c r="CH940" s="35"/>
      <c r="CI940" s="35"/>
      <c r="CJ940" s="35"/>
      <c r="CK940" s="35"/>
      <c r="CL940" s="35"/>
      <c r="CM940" s="35"/>
      <c r="CN940" s="35"/>
      <c r="CO940" s="35"/>
      <c r="CP940" s="35"/>
      <c r="CQ940" s="35"/>
      <c r="CR940" s="35"/>
      <c r="CS940" s="35"/>
      <c r="CT940" s="35"/>
      <c r="CU940" s="35"/>
      <c r="CV940" s="35"/>
      <c r="CW940" s="35"/>
      <c r="CX940" s="35"/>
      <c r="CY940" s="35"/>
      <c r="CZ940" s="35"/>
      <c r="DA940" s="35"/>
      <c r="DB940" s="35"/>
      <c r="DC940" s="35"/>
      <c r="DD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  <c r="BN941" s="35"/>
      <c r="BO941" s="35"/>
      <c r="BP941" s="35"/>
      <c r="BQ941" s="35"/>
      <c r="BR941" s="35"/>
      <c r="BS941" s="35"/>
      <c r="BT941" s="35"/>
      <c r="BU941" s="35"/>
      <c r="BV941" s="35"/>
      <c r="BW941" s="35"/>
      <c r="BX941" s="35"/>
      <c r="BY941" s="35"/>
      <c r="BZ941" s="35"/>
      <c r="CA941" s="35"/>
      <c r="CB941" s="35"/>
      <c r="CC941" s="35"/>
      <c r="CD941" s="35"/>
      <c r="CE941" s="35"/>
      <c r="CF941" s="35"/>
      <c r="CG941" s="35"/>
      <c r="CH941" s="35"/>
      <c r="CI941" s="35"/>
      <c r="CJ941" s="35"/>
      <c r="CK941" s="35"/>
      <c r="CL941" s="35"/>
      <c r="CM941" s="35"/>
      <c r="CN941" s="35"/>
      <c r="CO941" s="35"/>
      <c r="CP941" s="35"/>
      <c r="CQ941" s="35"/>
      <c r="CR941" s="35"/>
      <c r="CS941" s="35"/>
      <c r="CT941" s="35"/>
      <c r="CU941" s="35"/>
      <c r="CV941" s="35"/>
      <c r="CW941" s="35"/>
      <c r="CX941" s="35"/>
      <c r="CY941" s="35"/>
      <c r="CZ941" s="35"/>
      <c r="DA941" s="35"/>
      <c r="DB941" s="35"/>
      <c r="DC941" s="35"/>
      <c r="DD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K942" s="35"/>
      <c r="BL942" s="35"/>
      <c r="BM942" s="35"/>
      <c r="BN942" s="35"/>
      <c r="BO942" s="35"/>
      <c r="BP942" s="35"/>
      <c r="BQ942" s="35"/>
      <c r="BR942" s="35"/>
      <c r="BS942" s="35"/>
      <c r="BT942" s="35"/>
      <c r="BU942" s="35"/>
      <c r="BV942" s="35"/>
      <c r="BW942" s="35"/>
      <c r="BX942" s="35"/>
      <c r="BY942" s="35"/>
      <c r="BZ942" s="35"/>
      <c r="CA942" s="35"/>
      <c r="CB942" s="35"/>
      <c r="CC942" s="35"/>
      <c r="CD942" s="35"/>
      <c r="CE942" s="35"/>
      <c r="CF942" s="35"/>
      <c r="CG942" s="35"/>
      <c r="CH942" s="35"/>
      <c r="CI942" s="35"/>
      <c r="CJ942" s="35"/>
      <c r="CK942" s="35"/>
      <c r="CL942" s="35"/>
      <c r="CM942" s="35"/>
      <c r="CN942" s="35"/>
      <c r="CO942" s="35"/>
      <c r="CP942" s="35"/>
      <c r="CQ942" s="35"/>
      <c r="CR942" s="35"/>
      <c r="CS942" s="35"/>
      <c r="CT942" s="35"/>
      <c r="CU942" s="35"/>
      <c r="CV942" s="35"/>
      <c r="CW942" s="35"/>
      <c r="CX942" s="35"/>
      <c r="CY942" s="35"/>
      <c r="CZ942" s="35"/>
      <c r="DA942" s="35"/>
      <c r="DB942" s="35"/>
      <c r="DC942" s="35"/>
      <c r="DD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K943" s="35"/>
      <c r="BL943" s="35"/>
      <c r="BM943" s="35"/>
      <c r="BN943" s="35"/>
      <c r="BO943" s="35"/>
      <c r="BP943" s="35"/>
      <c r="BQ943" s="35"/>
      <c r="BR943" s="35"/>
      <c r="BS943" s="35"/>
      <c r="BT943" s="35"/>
      <c r="BU943" s="35"/>
      <c r="BV943" s="35"/>
      <c r="BW943" s="35"/>
      <c r="BX943" s="35"/>
      <c r="BY943" s="35"/>
      <c r="BZ943" s="35"/>
      <c r="CA943" s="35"/>
      <c r="CB943" s="35"/>
      <c r="CC943" s="35"/>
      <c r="CD943" s="35"/>
      <c r="CE943" s="35"/>
      <c r="CF943" s="35"/>
      <c r="CG943" s="35"/>
      <c r="CH943" s="35"/>
      <c r="CI943" s="35"/>
      <c r="CJ943" s="35"/>
      <c r="CK943" s="35"/>
      <c r="CL943" s="35"/>
      <c r="CM943" s="35"/>
      <c r="CN943" s="35"/>
      <c r="CO943" s="35"/>
      <c r="CP943" s="35"/>
      <c r="CQ943" s="35"/>
      <c r="CR943" s="35"/>
      <c r="CS943" s="35"/>
      <c r="CT943" s="35"/>
      <c r="CU943" s="35"/>
      <c r="CV943" s="35"/>
      <c r="CW943" s="35"/>
      <c r="CX943" s="35"/>
      <c r="CY943" s="35"/>
      <c r="CZ943" s="35"/>
      <c r="DA943" s="35"/>
      <c r="DB943" s="35"/>
      <c r="DC943" s="35"/>
      <c r="DD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  <c r="BN944" s="35"/>
      <c r="BO944" s="35"/>
      <c r="BP944" s="35"/>
      <c r="BQ944" s="35"/>
      <c r="BR944" s="35"/>
      <c r="BS944" s="35"/>
      <c r="BT944" s="35"/>
      <c r="BU944" s="35"/>
      <c r="BV944" s="35"/>
      <c r="BW944" s="35"/>
      <c r="BX944" s="35"/>
      <c r="BY944" s="35"/>
      <c r="BZ944" s="35"/>
      <c r="CA944" s="35"/>
      <c r="CB944" s="35"/>
      <c r="CC944" s="35"/>
      <c r="CD944" s="35"/>
      <c r="CE944" s="35"/>
      <c r="CF944" s="35"/>
      <c r="CG944" s="35"/>
      <c r="CH944" s="35"/>
      <c r="CI944" s="35"/>
      <c r="CJ944" s="35"/>
      <c r="CK944" s="35"/>
      <c r="CL944" s="35"/>
      <c r="CM944" s="35"/>
      <c r="CN944" s="35"/>
      <c r="CO944" s="35"/>
      <c r="CP944" s="35"/>
      <c r="CQ944" s="35"/>
      <c r="CR944" s="35"/>
      <c r="CS944" s="35"/>
      <c r="CT944" s="35"/>
      <c r="CU944" s="35"/>
      <c r="CV944" s="35"/>
      <c r="CW944" s="35"/>
      <c r="CX944" s="35"/>
      <c r="CY944" s="35"/>
      <c r="CZ944" s="35"/>
      <c r="DA944" s="35"/>
      <c r="DB944" s="35"/>
      <c r="DC944" s="35"/>
      <c r="DD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  <c r="BN945" s="35"/>
      <c r="BO945" s="35"/>
      <c r="BP945" s="35"/>
      <c r="BQ945" s="35"/>
      <c r="BR945" s="35"/>
      <c r="BS945" s="35"/>
      <c r="BT945" s="35"/>
      <c r="BU945" s="35"/>
      <c r="BV945" s="35"/>
      <c r="BW945" s="35"/>
      <c r="BX945" s="35"/>
      <c r="BY945" s="35"/>
      <c r="BZ945" s="35"/>
      <c r="CA945" s="35"/>
      <c r="CB945" s="35"/>
      <c r="CC945" s="35"/>
      <c r="CD945" s="35"/>
      <c r="CE945" s="35"/>
      <c r="CF945" s="35"/>
      <c r="CG945" s="35"/>
      <c r="CH945" s="35"/>
      <c r="CI945" s="35"/>
      <c r="CJ945" s="35"/>
      <c r="CK945" s="35"/>
      <c r="CL945" s="35"/>
      <c r="CM945" s="35"/>
      <c r="CN945" s="35"/>
      <c r="CO945" s="35"/>
      <c r="CP945" s="35"/>
      <c r="CQ945" s="35"/>
      <c r="CR945" s="35"/>
      <c r="CS945" s="35"/>
      <c r="CT945" s="35"/>
      <c r="CU945" s="35"/>
      <c r="CV945" s="35"/>
      <c r="CW945" s="35"/>
      <c r="CX945" s="35"/>
      <c r="CY945" s="35"/>
      <c r="CZ945" s="35"/>
      <c r="DA945" s="35"/>
      <c r="DB945" s="35"/>
      <c r="DC945" s="35"/>
      <c r="DD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K946" s="35"/>
      <c r="BL946" s="35"/>
      <c r="BM946" s="35"/>
      <c r="BN946" s="35"/>
      <c r="BO946" s="35"/>
      <c r="BP946" s="35"/>
      <c r="BQ946" s="35"/>
      <c r="BR946" s="35"/>
      <c r="BS946" s="35"/>
      <c r="BT946" s="35"/>
      <c r="BU946" s="35"/>
      <c r="BV946" s="35"/>
      <c r="BW946" s="35"/>
      <c r="BX946" s="35"/>
      <c r="BY946" s="35"/>
      <c r="BZ946" s="35"/>
      <c r="CA946" s="35"/>
      <c r="CB946" s="35"/>
      <c r="CC946" s="35"/>
      <c r="CD946" s="35"/>
      <c r="CE946" s="35"/>
      <c r="CF946" s="35"/>
      <c r="CG946" s="35"/>
      <c r="CH946" s="35"/>
      <c r="CI946" s="35"/>
      <c r="CJ946" s="35"/>
      <c r="CK946" s="35"/>
      <c r="CL946" s="35"/>
      <c r="CM946" s="35"/>
      <c r="CN946" s="35"/>
      <c r="CO946" s="35"/>
      <c r="CP946" s="35"/>
      <c r="CQ946" s="35"/>
      <c r="CR946" s="35"/>
      <c r="CS946" s="35"/>
      <c r="CT946" s="35"/>
      <c r="CU946" s="35"/>
      <c r="CV946" s="35"/>
      <c r="CW946" s="35"/>
      <c r="CX946" s="35"/>
      <c r="CY946" s="35"/>
      <c r="CZ946" s="35"/>
      <c r="DA946" s="35"/>
      <c r="DB946" s="35"/>
      <c r="DC946" s="35"/>
      <c r="DD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/>
      <c r="BO947" s="35"/>
      <c r="BP947" s="35"/>
      <c r="BQ947" s="35"/>
      <c r="BR947" s="35"/>
      <c r="BS947" s="35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5"/>
      <c r="CF947" s="35"/>
      <c r="CG947" s="35"/>
      <c r="CH947" s="35"/>
      <c r="CI947" s="35"/>
      <c r="CJ947" s="35"/>
      <c r="CK947" s="35"/>
      <c r="CL947" s="35"/>
      <c r="CM947" s="35"/>
      <c r="CN947" s="35"/>
      <c r="CO947" s="35"/>
      <c r="CP947" s="35"/>
      <c r="CQ947" s="35"/>
      <c r="CR947" s="35"/>
      <c r="CS947" s="35"/>
      <c r="CT947" s="35"/>
      <c r="CU947" s="35"/>
      <c r="CV947" s="35"/>
      <c r="CW947" s="35"/>
      <c r="CX947" s="35"/>
      <c r="CY947" s="35"/>
      <c r="CZ947" s="35"/>
      <c r="DA947" s="35"/>
      <c r="DB947" s="35"/>
      <c r="DC947" s="35"/>
      <c r="DD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/>
      <c r="BO948" s="35"/>
      <c r="BP948" s="35"/>
      <c r="BQ948" s="35"/>
      <c r="BR948" s="35"/>
      <c r="BS948" s="35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5"/>
      <c r="CF948" s="35"/>
      <c r="CG948" s="35"/>
      <c r="CH948" s="35"/>
      <c r="CI948" s="35"/>
      <c r="CJ948" s="35"/>
      <c r="CK948" s="35"/>
      <c r="CL948" s="35"/>
      <c r="CM948" s="35"/>
      <c r="CN948" s="35"/>
      <c r="CO948" s="35"/>
      <c r="CP948" s="35"/>
      <c r="CQ948" s="35"/>
      <c r="CR948" s="35"/>
      <c r="CS948" s="35"/>
      <c r="CT948" s="35"/>
      <c r="CU948" s="35"/>
      <c r="CV948" s="35"/>
      <c r="CW948" s="35"/>
      <c r="CX948" s="35"/>
      <c r="CY948" s="35"/>
      <c r="CZ948" s="35"/>
      <c r="DA948" s="35"/>
      <c r="DB948" s="35"/>
      <c r="DC948" s="35"/>
      <c r="DD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/>
      <c r="BO949" s="35"/>
      <c r="BP949" s="35"/>
      <c r="BQ949" s="35"/>
      <c r="BR949" s="35"/>
      <c r="BS949" s="35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5"/>
      <c r="CF949" s="35"/>
      <c r="CG949" s="35"/>
      <c r="CH949" s="35"/>
      <c r="CI949" s="35"/>
      <c r="CJ949" s="35"/>
      <c r="CK949" s="35"/>
      <c r="CL949" s="35"/>
      <c r="CM949" s="35"/>
      <c r="CN949" s="35"/>
      <c r="CO949" s="35"/>
      <c r="CP949" s="35"/>
      <c r="CQ949" s="35"/>
      <c r="CR949" s="35"/>
      <c r="CS949" s="35"/>
      <c r="CT949" s="35"/>
      <c r="CU949" s="35"/>
      <c r="CV949" s="35"/>
      <c r="CW949" s="35"/>
      <c r="CX949" s="35"/>
      <c r="CY949" s="35"/>
      <c r="CZ949" s="35"/>
      <c r="DA949" s="35"/>
      <c r="DB949" s="35"/>
      <c r="DC949" s="35"/>
      <c r="DD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K950" s="35"/>
      <c r="BL950" s="35"/>
      <c r="BM950" s="35"/>
      <c r="BN950" s="35"/>
      <c r="BO950" s="35"/>
      <c r="BP950" s="35"/>
      <c r="BQ950" s="35"/>
      <c r="BR950" s="35"/>
      <c r="BS950" s="35"/>
      <c r="BT950" s="35"/>
      <c r="BU950" s="35"/>
      <c r="BV950" s="35"/>
      <c r="BW950" s="35"/>
      <c r="BX950" s="35"/>
      <c r="BY950" s="35"/>
      <c r="BZ950" s="35"/>
      <c r="CA950" s="35"/>
      <c r="CB950" s="35"/>
      <c r="CC950" s="35"/>
      <c r="CD950" s="35"/>
      <c r="CE950" s="35"/>
      <c r="CF950" s="35"/>
      <c r="CG950" s="35"/>
      <c r="CH950" s="35"/>
      <c r="CI950" s="35"/>
      <c r="CJ950" s="35"/>
      <c r="CK950" s="35"/>
      <c r="CL950" s="35"/>
      <c r="CM950" s="35"/>
      <c r="CN950" s="35"/>
      <c r="CO950" s="35"/>
      <c r="CP950" s="35"/>
      <c r="CQ950" s="35"/>
      <c r="CR950" s="35"/>
      <c r="CS950" s="35"/>
      <c r="CT950" s="35"/>
      <c r="CU950" s="35"/>
      <c r="CV950" s="35"/>
      <c r="CW950" s="35"/>
      <c r="CX950" s="35"/>
      <c r="CY950" s="35"/>
      <c r="CZ950" s="35"/>
      <c r="DA950" s="35"/>
      <c r="DB950" s="35"/>
      <c r="DC950" s="35"/>
      <c r="DD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K951" s="35"/>
      <c r="BL951" s="35"/>
      <c r="BM951" s="35"/>
      <c r="BN951" s="35"/>
      <c r="BO951" s="35"/>
      <c r="BP951" s="35"/>
      <c r="BQ951" s="35"/>
      <c r="BR951" s="35"/>
      <c r="BS951" s="35"/>
      <c r="BT951" s="35"/>
      <c r="BU951" s="35"/>
      <c r="BV951" s="35"/>
      <c r="BW951" s="35"/>
      <c r="BX951" s="35"/>
      <c r="BY951" s="35"/>
      <c r="BZ951" s="35"/>
      <c r="CA951" s="35"/>
      <c r="CB951" s="35"/>
      <c r="CC951" s="35"/>
      <c r="CD951" s="35"/>
      <c r="CE951" s="35"/>
      <c r="CF951" s="35"/>
      <c r="CG951" s="35"/>
      <c r="CH951" s="35"/>
      <c r="CI951" s="35"/>
      <c r="CJ951" s="35"/>
      <c r="CK951" s="35"/>
      <c r="CL951" s="35"/>
      <c r="CM951" s="35"/>
      <c r="CN951" s="35"/>
      <c r="CO951" s="35"/>
      <c r="CP951" s="35"/>
      <c r="CQ951" s="35"/>
      <c r="CR951" s="35"/>
      <c r="CS951" s="35"/>
      <c r="CT951" s="35"/>
      <c r="CU951" s="35"/>
      <c r="CV951" s="35"/>
      <c r="CW951" s="35"/>
      <c r="CX951" s="35"/>
      <c r="CY951" s="35"/>
      <c r="CZ951" s="35"/>
      <c r="DA951" s="35"/>
      <c r="DB951" s="35"/>
      <c r="DC951" s="35"/>
      <c r="DD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K952" s="35"/>
      <c r="BL952" s="35"/>
      <c r="BM952" s="35"/>
      <c r="BN952" s="35"/>
      <c r="BO952" s="35"/>
      <c r="BP952" s="35"/>
      <c r="BQ952" s="35"/>
      <c r="BR952" s="35"/>
      <c r="BS952" s="35"/>
      <c r="BT952" s="35"/>
      <c r="BU952" s="35"/>
      <c r="BV952" s="35"/>
      <c r="BW952" s="35"/>
      <c r="BX952" s="35"/>
      <c r="BY952" s="35"/>
      <c r="BZ952" s="35"/>
      <c r="CA952" s="35"/>
      <c r="CB952" s="35"/>
      <c r="CC952" s="35"/>
      <c r="CD952" s="35"/>
      <c r="CE952" s="35"/>
      <c r="CF952" s="35"/>
      <c r="CG952" s="35"/>
      <c r="CH952" s="35"/>
      <c r="CI952" s="35"/>
      <c r="CJ952" s="35"/>
      <c r="CK952" s="35"/>
      <c r="CL952" s="35"/>
      <c r="CM952" s="35"/>
      <c r="CN952" s="35"/>
      <c r="CO952" s="35"/>
      <c r="CP952" s="35"/>
      <c r="CQ952" s="35"/>
      <c r="CR952" s="35"/>
      <c r="CS952" s="35"/>
      <c r="CT952" s="35"/>
      <c r="CU952" s="35"/>
      <c r="CV952" s="35"/>
      <c r="CW952" s="35"/>
      <c r="CX952" s="35"/>
      <c r="CY952" s="35"/>
      <c r="CZ952" s="35"/>
      <c r="DA952" s="35"/>
      <c r="DB952" s="35"/>
      <c r="DC952" s="35"/>
      <c r="DD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K953" s="35"/>
      <c r="BL953" s="35"/>
      <c r="BM953" s="35"/>
      <c r="BN953" s="35"/>
      <c r="BO953" s="35"/>
      <c r="BP953" s="35"/>
      <c r="BQ953" s="35"/>
      <c r="BR953" s="35"/>
      <c r="BS953" s="35"/>
      <c r="BT953" s="35"/>
      <c r="BU953" s="35"/>
      <c r="BV953" s="35"/>
      <c r="BW953" s="35"/>
      <c r="BX953" s="35"/>
      <c r="BY953" s="35"/>
      <c r="BZ953" s="35"/>
      <c r="CA953" s="35"/>
      <c r="CB953" s="35"/>
      <c r="CC953" s="35"/>
      <c r="CD953" s="35"/>
      <c r="CE953" s="35"/>
      <c r="CF953" s="35"/>
      <c r="CG953" s="35"/>
      <c r="CH953" s="35"/>
      <c r="CI953" s="35"/>
      <c r="CJ953" s="35"/>
      <c r="CK953" s="35"/>
      <c r="CL953" s="35"/>
      <c r="CM953" s="35"/>
      <c r="CN953" s="35"/>
      <c r="CO953" s="35"/>
      <c r="CP953" s="35"/>
      <c r="CQ953" s="35"/>
      <c r="CR953" s="35"/>
      <c r="CS953" s="35"/>
      <c r="CT953" s="35"/>
      <c r="CU953" s="35"/>
      <c r="CV953" s="35"/>
      <c r="CW953" s="35"/>
      <c r="CX953" s="35"/>
      <c r="CY953" s="35"/>
      <c r="CZ953" s="35"/>
      <c r="DA953" s="35"/>
      <c r="DB953" s="35"/>
      <c r="DC953" s="35"/>
      <c r="DD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K954" s="35"/>
      <c r="BL954" s="35"/>
      <c r="BM954" s="35"/>
      <c r="BN954" s="35"/>
      <c r="BO954" s="35"/>
      <c r="BP954" s="35"/>
      <c r="BQ954" s="35"/>
      <c r="BR954" s="35"/>
      <c r="BS954" s="35"/>
      <c r="BT954" s="35"/>
      <c r="BU954" s="35"/>
      <c r="BV954" s="35"/>
      <c r="BW954" s="35"/>
      <c r="BX954" s="35"/>
      <c r="BY954" s="35"/>
      <c r="BZ954" s="35"/>
      <c r="CA954" s="35"/>
      <c r="CB954" s="35"/>
      <c r="CC954" s="35"/>
      <c r="CD954" s="35"/>
      <c r="CE954" s="35"/>
      <c r="CF954" s="35"/>
      <c r="CG954" s="35"/>
      <c r="CH954" s="35"/>
      <c r="CI954" s="35"/>
      <c r="CJ954" s="35"/>
      <c r="CK954" s="35"/>
      <c r="CL954" s="35"/>
      <c r="CM954" s="35"/>
      <c r="CN954" s="35"/>
      <c r="CO954" s="35"/>
      <c r="CP954" s="35"/>
      <c r="CQ954" s="35"/>
      <c r="CR954" s="35"/>
      <c r="CS954" s="35"/>
      <c r="CT954" s="35"/>
      <c r="CU954" s="35"/>
      <c r="CV954" s="35"/>
      <c r="CW954" s="35"/>
      <c r="CX954" s="35"/>
      <c r="CY954" s="35"/>
      <c r="CZ954" s="35"/>
      <c r="DA954" s="35"/>
      <c r="DB954" s="35"/>
      <c r="DC954" s="35"/>
      <c r="DD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K955" s="35"/>
      <c r="BL955" s="35"/>
      <c r="BM955" s="35"/>
      <c r="BN955" s="35"/>
      <c r="BO955" s="35"/>
      <c r="BP955" s="35"/>
      <c r="BQ955" s="35"/>
      <c r="BR955" s="35"/>
      <c r="BS955" s="35"/>
      <c r="BT955" s="35"/>
      <c r="BU955" s="35"/>
      <c r="BV955" s="35"/>
      <c r="BW955" s="35"/>
      <c r="BX955" s="35"/>
      <c r="BY955" s="35"/>
      <c r="BZ955" s="35"/>
      <c r="CA955" s="35"/>
      <c r="CB955" s="35"/>
      <c r="CC955" s="35"/>
      <c r="CD955" s="35"/>
      <c r="CE955" s="35"/>
      <c r="CF955" s="35"/>
      <c r="CG955" s="35"/>
      <c r="CH955" s="35"/>
      <c r="CI955" s="35"/>
      <c r="CJ955" s="35"/>
      <c r="CK955" s="35"/>
      <c r="CL955" s="35"/>
      <c r="CM955" s="35"/>
      <c r="CN955" s="35"/>
      <c r="CO955" s="35"/>
      <c r="CP955" s="35"/>
      <c r="CQ955" s="35"/>
      <c r="CR955" s="35"/>
      <c r="CS955" s="35"/>
      <c r="CT955" s="35"/>
      <c r="CU955" s="35"/>
      <c r="CV955" s="35"/>
      <c r="CW955" s="35"/>
      <c r="CX955" s="35"/>
      <c r="CY955" s="35"/>
      <c r="CZ955" s="35"/>
      <c r="DA955" s="35"/>
      <c r="DB955" s="35"/>
      <c r="DC955" s="35"/>
      <c r="DD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K956" s="35"/>
      <c r="BL956" s="35"/>
      <c r="BM956" s="35"/>
      <c r="BN956" s="35"/>
      <c r="BO956" s="35"/>
      <c r="BP956" s="35"/>
      <c r="BQ956" s="35"/>
      <c r="BR956" s="35"/>
      <c r="BS956" s="35"/>
      <c r="BT956" s="35"/>
      <c r="BU956" s="35"/>
      <c r="BV956" s="35"/>
      <c r="BW956" s="35"/>
      <c r="BX956" s="35"/>
      <c r="BY956" s="35"/>
      <c r="BZ956" s="35"/>
      <c r="CA956" s="35"/>
      <c r="CB956" s="35"/>
      <c r="CC956" s="35"/>
      <c r="CD956" s="35"/>
      <c r="CE956" s="35"/>
      <c r="CF956" s="35"/>
      <c r="CG956" s="35"/>
      <c r="CH956" s="35"/>
      <c r="CI956" s="35"/>
      <c r="CJ956" s="35"/>
      <c r="CK956" s="35"/>
      <c r="CL956" s="35"/>
      <c r="CM956" s="35"/>
      <c r="CN956" s="35"/>
      <c r="CO956" s="35"/>
      <c r="CP956" s="35"/>
      <c r="CQ956" s="35"/>
      <c r="CR956" s="35"/>
      <c r="CS956" s="35"/>
      <c r="CT956" s="35"/>
      <c r="CU956" s="35"/>
      <c r="CV956" s="35"/>
      <c r="CW956" s="35"/>
      <c r="CX956" s="35"/>
      <c r="CY956" s="35"/>
      <c r="CZ956" s="35"/>
      <c r="DA956" s="35"/>
      <c r="DB956" s="35"/>
      <c r="DC956" s="35"/>
      <c r="DD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K957" s="35"/>
      <c r="BL957" s="35"/>
      <c r="BM957" s="35"/>
      <c r="BN957" s="35"/>
      <c r="BO957" s="35"/>
      <c r="BP957" s="35"/>
      <c r="BQ957" s="35"/>
      <c r="BR957" s="35"/>
      <c r="BS957" s="35"/>
      <c r="BT957" s="35"/>
      <c r="BU957" s="35"/>
      <c r="BV957" s="35"/>
      <c r="BW957" s="35"/>
      <c r="BX957" s="35"/>
      <c r="BY957" s="35"/>
      <c r="BZ957" s="35"/>
      <c r="CA957" s="35"/>
      <c r="CB957" s="35"/>
      <c r="CC957" s="35"/>
      <c r="CD957" s="35"/>
      <c r="CE957" s="35"/>
      <c r="CF957" s="35"/>
      <c r="CG957" s="35"/>
      <c r="CH957" s="35"/>
      <c r="CI957" s="35"/>
      <c r="CJ957" s="35"/>
      <c r="CK957" s="35"/>
      <c r="CL957" s="35"/>
      <c r="CM957" s="35"/>
      <c r="CN957" s="35"/>
      <c r="CO957" s="35"/>
      <c r="CP957" s="35"/>
      <c r="CQ957" s="35"/>
      <c r="CR957" s="35"/>
      <c r="CS957" s="35"/>
      <c r="CT957" s="35"/>
      <c r="CU957" s="35"/>
      <c r="CV957" s="35"/>
      <c r="CW957" s="35"/>
      <c r="CX957" s="35"/>
      <c r="CY957" s="35"/>
      <c r="CZ957" s="35"/>
      <c r="DA957" s="35"/>
      <c r="DB957" s="35"/>
      <c r="DC957" s="35"/>
      <c r="DD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K958" s="35"/>
      <c r="BL958" s="35"/>
      <c r="BM958" s="35"/>
      <c r="BN958" s="35"/>
      <c r="BO958" s="35"/>
      <c r="BP958" s="35"/>
      <c r="BQ958" s="35"/>
      <c r="BR958" s="35"/>
      <c r="BS958" s="35"/>
      <c r="BT958" s="35"/>
      <c r="BU958" s="35"/>
      <c r="BV958" s="35"/>
      <c r="BW958" s="35"/>
      <c r="BX958" s="35"/>
      <c r="BY958" s="35"/>
      <c r="BZ958" s="35"/>
      <c r="CA958" s="35"/>
      <c r="CB958" s="35"/>
      <c r="CC958" s="35"/>
      <c r="CD958" s="35"/>
      <c r="CE958" s="35"/>
      <c r="CF958" s="35"/>
      <c r="CG958" s="35"/>
      <c r="CH958" s="35"/>
      <c r="CI958" s="35"/>
      <c r="CJ958" s="35"/>
      <c r="CK958" s="35"/>
      <c r="CL958" s="35"/>
      <c r="CM958" s="35"/>
      <c r="CN958" s="35"/>
      <c r="CO958" s="35"/>
      <c r="CP958" s="35"/>
      <c r="CQ958" s="35"/>
      <c r="CR958" s="35"/>
      <c r="CS958" s="35"/>
      <c r="CT958" s="35"/>
      <c r="CU958" s="35"/>
      <c r="CV958" s="35"/>
      <c r="CW958" s="35"/>
      <c r="CX958" s="35"/>
      <c r="CY958" s="35"/>
      <c r="CZ958" s="35"/>
      <c r="DA958" s="35"/>
      <c r="DB958" s="35"/>
      <c r="DC958" s="35"/>
      <c r="DD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K959" s="35"/>
      <c r="BL959" s="35"/>
      <c r="BM959" s="35"/>
      <c r="BN959" s="35"/>
      <c r="BO959" s="35"/>
      <c r="BP959" s="35"/>
      <c r="BQ959" s="35"/>
      <c r="BR959" s="35"/>
      <c r="BS959" s="35"/>
      <c r="BT959" s="35"/>
      <c r="BU959" s="35"/>
      <c r="BV959" s="35"/>
      <c r="BW959" s="35"/>
      <c r="BX959" s="35"/>
      <c r="BY959" s="35"/>
      <c r="BZ959" s="35"/>
      <c r="CA959" s="35"/>
      <c r="CB959" s="35"/>
      <c r="CC959" s="35"/>
      <c r="CD959" s="35"/>
      <c r="CE959" s="35"/>
      <c r="CF959" s="35"/>
      <c r="CG959" s="35"/>
      <c r="CH959" s="35"/>
      <c r="CI959" s="35"/>
      <c r="CJ959" s="35"/>
      <c r="CK959" s="35"/>
      <c r="CL959" s="35"/>
      <c r="CM959" s="35"/>
      <c r="CN959" s="35"/>
      <c r="CO959" s="35"/>
      <c r="CP959" s="35"/>
      <c r="CQ959" s="35"/>
      <c r="CR959" s="35"/>
      <c r="CS959" s="35"/>
      <c r="CT959" s="35"/>
      <c r="CU959" s="35"/>
      <c r="CV959" s="35"/>
      <c r="CW959" s="35"/>
      <c r="CX959" s="35"/>
      <c r="CY959" s="35"/>
      <c r="CZ959" s="35"/>
      <c r="DA959" s="35"/>
      <c r="DB959" s="35"/>
      <c r="DC959" s="35"/>
      <c r="DD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  <c r="BA960" s="35"/>
      <c r="BB960" s="35"/>
      <c r="BC960" s="35"/>
      <c r="BD960" s="35"/>
      <c r="BE960" s="35"/>
      <c r="BF960" s="35"/>
      <c r="BG960" s="35"/>
      <c r="BH960" s="35"/>
      <c r="BI960" s="35"/>
      <c r="BJ960" s="35"/>
      <c r="BK960" s="35"/>
      <c r="BL960" s="35"/>
      <c r="BM960" s="35"/>
      <c r="BN960" s="35"/>
      <c r="BO960" s="35"/>
      <c r="BP960" s="35"/>
      <c r="BQ960" s="35"/>
      <c r="BR960" s="35"/>
      <c r="BS960" s="35"/>
      <c r="BT960" s="35"/>
      <c r="BU960" s="35"/>
      <c r="BV960" s="35"/>
      <c r="BW960" s="35"/>
      <c r="BX960" s="35"/>
      <c r="BY960" s="35"/>
      <c r="BZ960" s="35"/>
      <c r="CA960" s="35"/>
      <c r="CB960" s="35"/>
      <c r="CC960" s="35"/>
      <c r="CD960" s="35"/>
      <c r="CE960" s="35"/>
      <c r="CF960" s="35"/>
      <c r="CG960" s="35"/>
      <c r="CH960" s="35"/>
      <c r="CI960" s="35"/>
      <c r="CJ960" s="35"/>
      <c r="CK960" s="35"/>
      <c r="CL960" s="35"/>
      <c r="CM960" s="35"/>
      <c r="CN960" s="35"/>
      <c r="CO960" s="35"/>
      <c r="CP960" s="35"/>
      <c r="CQ960" s="35"/>
      <c r="CR960" s="35"/>
      <c r="CS960" s="35"/>
      <c r="CT960" s="35"/>
      <c r="CU960" s="35"/>
      <c r="CV960" s="35"/>
      <c r="CW960" s="35"/>
      <c r="CX960" s="35"/>
      <c r="CY960" s="35"/>
      <c r="CZ960" s="35"/>
      <c r="DA960" s="35"/>
      <c r="DB960" s="35"/>
      <c r="DC960" s="35"/>
      <c r="DD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  <c r="BA961" s="35"/>
      <c r="BB961" s="35"/>
      <c r="BC961" s="35"/>
      <c r="BD961" s="35"/>
      <c r="BE961" s="35"/>
      <c r="BF961" s="35"/>
      <c r="BG961" s="35"/>
      <c r="BH961" s="35"/>
      <c r="BI961" s="35"/>
      <c r="BJ961" s="35"/>
      <c r="BK961" s="35"/>
      <c r="BL961" s="35"/>
      <c r="BM961" s="35"/>
      <c r="BN961" s="35"/>
      <c r="BO961" s="35"/>
      <c r="BP961" s="35"/>
      <c r="BQ961" s="35"/>
      <c r="BR961" s="35"/>
      <c r="BS961" s="35"/>
      <c r="BT961" s="35"/>
      <c r="BU961" s="35"/>
      <c r="BV961" s="35"/>
      <c r="BW961" s="35"/>
      <c r="BX961" s="35"/>
      <c r="BY961" s="35"/>
      <c r="BZ961" s="35"/>
      <c r="CA961" s="35"/>
      <c r="CB961" s="35"/>
      <c r="CC961" s="35"/>
      <c r="CD961" s="35"/>
      <c r="CE961" s="35"/>
      <c r="CF961" s="35"/>
      <c r="CG961" s="35"/>
      <c r="CH961" s="35"/>
      <c r="CI961" s="35"/>
      <c r="CJ961" s="35"/>
      <c r="CK961" s="35"/>
      <c r="CL961" s="35"/>
      <c r="CM961" s="35"/>
      <c r="CN961" s="35"/>
      <c r="CO961" s="35"/>
      <c r="CP961" s="35"/>
      <c r="CQ961" s="35"/>
      <c r="CR961" s="35"/>
      <c r="CS961" s="35"/>
      <c r="CT961" s="35"/>
      <c r="CU961" s="35"/>
      <c r="CV961" s="35"/>
      <c r="CW961" s="35"/>
      <c r="CX961" s="35"/>
      <c r="CY961" s="35"/>
      <c r="CZ961" s="35"/>
      <c r="DA961" s="35"/>
      <c r="DB961" s="35"/>
      <c r="DC961" s="35"/>
      <c r="DD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  <c r="BA962" s="35"/>
      <c r="BB962" s="35"/>
      <c r="BC962" s="35"/>
      <c r="BD962" s="35"/>
      <c r="BE962" s="35"/>
      <c r="BF962" s="35"/>
      <c r="BG962" s="35"/>
      <c r="BH962" s="35"/>
      <c r="BI962" s="35"/>
      <c r="BJ962" s="35"/>
      <c r="BK962" s="35"/>
      <c r="BL962" s="35"/>
      <c r="BM962" s="35"/>
      <c r="BN962" s="35"/>
      <c r="BO962" s="35"/>
      <c r="BP962" s="35"/>
      <c r="BQ962" s="35"/>
      <c r="BR962" s="35"/>
      <c r="BS962" s="35"/>
      <c r="BT962" s="35"/>
      <c r="BU962" s="35"/>
      <c r="BV962" s="35"/>
      <c r="BW962" s="35"/>
      <c r="BX962" s="35"/>
      <c r="BY962" s="35"/>
      <c r="BZ962" s="35"/>
      <c r="CA962" s="35"/>
      <c r="CB962" s="35"/>
      <c r="CC962" s="35"/>
      <c r="CD962" s="35"/>
      <c r="CE962" s="35"/>
      <c r="CF962" s="35"/>
      <c r="CG962" s="35"/>
      <c r="CH962" s="35"/>
      <c r="CI962" s="35"/>
      <c r="CJ962" s="35"/>
      <c r="CK962" s="35"/>
      <c r="CL962" s="35"/>
      <c r="CM962" s="35"/>
      <c r="CN962" s="35"/>
      <c r="CO962" s="35"/>
      <c r="CP962" s="35"/>
      <c r="CQ962" s="35"/>
      <c r="CR962" s="35"/>
      <c r="CS962" s="35"/>
      <c r="CT962" s="35"/>
      <c r="CU962" s="35"/>
      <c r="CV962" s="35"/>
      <c r="CW962" s="35"/>
      <c r="CX962" s="35"/>
      <c r="CY962" s="35"/>
      <c r="CZ962" s="35"/>
      <c r="DA962" s="35"/>
      <c r="DB962" s="35"/>
      <c r="DC962" s="35"/>
      <c r="DD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  <c r="BA963" s="35"/>
      <c r="BB963" s="35"/>
      <c r="BC963" s="35"/>
      <c r="BD963" s="35"/>
      <c r="BE963" s="35"/>
      <c r="BF963" s="35"/>
      <c r="BG963" s="35"/>
      <c r="BH963" s="35"/>
      <c r="BI963" s="35"/>
      <c r="BJ963" s="35"/>
      <c r="BK963" s="35"/>
      <c r="BL963" s="35"/>
      <c r="BM963" s="35"/>
      <c r="BN963" s="35"/>
      <c r="BO963" s="35"/>
      <c r="BP963" s="35"/>
      <c r="BQ963" s="35"/>
      <c r="BR963" s="35"/>
      <c r="BS963" s="35"/>
      <c r="BT963" s="35"/>
      <c r="BU963" s="35"/>
      <c r="BV963" s="35"/>
      <c r="BW963" s="35"/>
      <c r="BX963" s="35"/>
      <c r="BY963" s="35"/>
      <c r="BZ963" s="35"/>
      <c r="CA963" s="35"/>
      <c r="CB963" s="35"/>
      <c r="CC963" s="35"/>
      <c r="CD963" s="35"/>
      <c r="CE963" s="35"/>
      <c r="CF963" s="35"/>
      <c r="CG963" s="35"/>
      <c r="CH963" s="35"/>
      <c r="CI963" s="35"/>
      <c r="CJ963" s="35"/>
      <c r="CK963" s="35"/>
      <c r="CL963" s="35"/>
      <c r="CM963" s="35"/>
      <c r="CN963" s="35"/>
      <c r="CO963" s="35"/>
      <c r="CP963" s="35"/>
      <c r="CQ963" s="35"/>
      <c r="CR963" s="35"/>
      <c r="CS963" s="35"/>
      <c r="CT963" s="35"/>
      <c r="CU963" s="35"/>
      <c r="CV963" s="35"/>
      <c r="CW963" s="35"/>
      <c r="CX963" s="35"/>
      <c r="CY963" s="35"/>
      <c r="CZ963" s="35"/>
      <c r="DA963" s="35"/>
      <c r="DB963" s="35"/>
      <c r="DC963" s="35"/>
      <c r="DD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  <c r="BA964" s="35"/>
      <c r="BB964" s="35"/>
      <c r="BC964" s="35"/>
      <c r="BD964" s="35"/>
      <c r="BE964" s="35"/>
      <c r="BF964" s="35"/>
      <c r="BG964" s="35"/>
      <c r="BH964" s="35"/>
      <c r="BI964" s="35"/>
      <c r="BJ964" s="35"/>
      <c r="BK964" s="35"/>
      <c r="BL964" s="35"/>
      <c r="BM964" s="35"/>
      <c r="BN964" s="35"/>
      <c r="BO964" s="35"/>
      <c r="BP964" s="35"/>
      <c r="BQ964" s="35"/>
      <c r="BR964" s="35"/>
      <c r="BS964" s="35"/>
      <c r="BT964" s="35"/>
      <c r="BU964" s="35"/>
      <c r="BV964" s="35"/>
      <c r="BW964" s="35"/>
      <c r="BX964" s="35"/>
      <c r="BY964" s="35"/>
      <c r="BZ964" s="35"/>
      <c r="CA964" s="35"/>
      <c r="CB964" s="35"/>
      <c r="CC964" s="35"/>
      <c r="CD964" s="35"/>
      <c r="CE964" s="35"/>
      <c r="CF964" s="35"/>
      <c r="CG964" s="35"/>
      <c r="CH964" s="35"/>
      <c r="CI964" s="35"/>
      <c r="CJ964" s="35"/>
      <c r="CK964" s="35"/>
      <c r="CL964" s="35"/>
      <c r="CM964" s="35"/>
      <c r="CN964" s="35"/>
      <c r="CO964" s="35"/>
      <c r="CP964" s="35"/>
      <c r="CQ964" s="35"/>
      <c r="CR964" s="35"/>
      <c r="CS964" s="35"/>
      <c r="CT964" s="35"/>
      <c r="CU964" s="35"/>
      <c r="CV964" s="35"/>
      <c r="CW964" s="35"/>
      <c r="CX964" s="35"/>
      <c r="CY964" s="35"/>
      <c r="CZ964" s="35"/>
      <c r="DA964" s="35"/>
      <c r="DB964" s="35"/>
      <c r="DC964" s="35"/>
      <c r="DD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  <c r="BA965" s="35"/>
      <c r="BB965" s="35"/>
      <c r="BC965" s="35"/>
      <c r="BD965" s="35"/>
      <c r="BE965" s="35"/>
      <c r="BF965" s="35"/>
      <c r="BG965" s="35"/>
      <c r="BH965" s="35"/>
      <c r="BI965" s="35"/>
      <c r="BJ965" s="35"/>
      <c r="BK965" s="35"/>
      <c r="BL965" s="35"/>
      <c r="BM965" s="35"/>
      <c r="BN965" s="35"/>
      <c r="BO965" s="35"/>
      <c r="BP965" s="35"/>
      <c r="BQ965" s="35"/>
      <c r="BR965" s="35"/>
      <c r="BS965" s="35"/>
      <c r="BT965" s="35"/>
      <c r="BU965" s="35"/>
      <c r="BV965" s="35"/>
      <c r="BW965" s="35"/>
      <c r="BX965" s="35"/>
      <c r="BY965" s="35"/>
      <c r="BZ965" s="35"/>
      <c r="CA965" s="35"/>
      <c r="CB965" s="35"/>
      <c r="CC965" s="35"/>
      <c r="CD965" s="35"/>
      <c r="CE965" s="35"/>
      <c r="CF965" s="35"/>
      <c r="CG965" s="35"/>
      <c r="CH965" s="35"/>
      <c r="CI965" s="35"/>
      <c r="CJ965" s="35"/>
      <c r="CK965" s="35"/>
      <c r="CL965" s="35"/>
      <c r="CM965" s="35"/>
      <c r="CN965" s="35"/>
      <c r="CO965" s="35"/>
      <c r="CP965" s="35"/>
      <c r="CQ965" s="35"/>
      <c r="CR965" s="35"/>
      <c r="CS965" s="35"/>
      <c r="CT965" s="35"/>
      <c r="CU965" s="35"/>
      <c r="CV965" s="35"/>
      <c r="CW965" s="35"/>
      <c r="CX965" s="35"/>
      <c r="CY965" s="35"/>
      <c r="CZ965" s="35"/>
      <c r="DA965" s="35"/>
      <c r="DB965" s="35"/>
      <c r="DC965" s="35"/>
      <c r="DD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/>
      <c r="BO966" s="35"/>
      <c r="BP966" s="35"/>
      <c r="BQ966" s="35"/>
      <c r="BR966" s="35"/>
      <c r="BS966" s="35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5"/>
      <c r="CF966" s="35"/>
      <c r="CG966" s="35"/>
      <c r="CH966" s="35"/>
      <c r="CI966" s="35"/>
      <c r="CJ966" s="35"/>
      <c r="CK966" s="35"/>
      <c r="CL966" s="35"/>
      <c r="CM966" s="35"/>
      <c r="CN966" s="35"/>
      <c r="CO966" s="35"/>
      <c r="CP966" s="35"/>
      <c r="CQ966" s="35"/>
      <c r="CR966" s="35"/>
      <c r="CS966" s="35"/>
      <c r="CT966" s="35"/>
      <c r="CU966" s="35"/>
      <c r="CV966" s="35"/>
      <c r="CW966" s="35"/>
      <c r="CX966" s="35"/>
      <c r="CY966" s="35"/>
      <c r="CZ966" s="35"/>
      <c r="DA966" s="35"/>
      <c r="DB966" s="35"/>
      <c r="DC966" s="35"/>
      <c r="DD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  <c r="BA967" s="35"/>
      <c r="BB967" s="35"/>
      <c r="BC967" s="35"/>
      <c r="BD967" s="35"/>
      <c r="BE967" s="35"/>
      <c r="BF967" s="35"/>
      <c r="BG967" s="35"/>
      <c r="BH967" s="35"/>
      <c r="BI967" s="35"/>
      <c r="BJ967" s="35"/>
      <c r="BK967" s="35"/>
      <c r="BL967" s="35"/>
      <c r="BM967" s="35"/>
      <c r="BN967" s="35"/>
      <c r="BO967" s="35"/>
      <c r="BP967" s="35"/>
      <c r="BQ967" s="35"/>
      <c r="BR967" s="35"/>
      <c r="BS967" s="35"/>
      <c r="BT967" s="35"/>
      <c r="BU967" s="35"/>
      <c r="BV967" s="35"/>
      <c r="BW967" s="35"/>
      <c r="BX967" s="35"/>
      <c r="BY967" s="35"/>
      <c r="BZ967" s="35"/>
      <c r="CA967" s="35"/>
      <c r="CB967" s="35"/>
      <c r="CC967" s="35"/>
      <c r="CD967" s="35"/>
      <c r="CE967" s="35"/>
      <c r="CF967" s="35"/>
      <c r="CG967" s="35"/>
      <c r="CH967" s="35"/>
      <c r="CI967" s="35"/>
      <c r="CJ967" s="35"/>
      <c r="CK967" s="35"/>
      <c r="CL967" s="35"/>
      <c r="CM967" s="35"/>
      <c r="CN967" s="35"/>
      <c r="CO967" s="35"/>
      <c r="CP967" s="35"/>
      <c r="CQ967" s="35"/>
      <c r="CR967" s="35"/>
      <c r="CS967" s="35"/>
      <c r="CT967" s="35"/>
      <c r="CU967" s="35"/>
      <c r="CV967" s="35"/>
      <c r="CW967" s="35"/>
      <c r="CX967" s="35"/>
      <c r="CY967" s="35"/>
      <c r="CZ967" s="35"/>
      <c r="DA967" s="35"/>
      <c r="DB967" s="35"/>
      <c r="DC967" s="35"/>
      <c r="DD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  <c r="BA968" s="35"/>
      <c r="BB968" s="35"/>
      <c r="BC968" s="35"/>
      <c r="BD968" s="35"/>
      <c r="BE968" s="35"/>
      <c r="BF968" s="35"/>
      <c r="BG968" s="35"/>
      <c r="BH968" s="35"/>
      <c r="BI968" s="35"/>
      <c r="BJ968" s="35"/>
      <c r="BK968" s="35"/>
      <c r="BL968" s="35"/>
      <c r="BM968" s="35"/>
      <c r="BN968" s="35"/>
      <c r="BO968" s="35"/>
      <c r="BP968" s="35"/>
      <c r="BQ968" s="35"/>
      <c r="BR968" s="35"/>
      <c r="BS968" s="35"/>
      <c r="BT968" s="35"/>
      <c r="BU968" s="35"/>
      <c r="BV968" s="35"/>
      <c r="BW968" s="35"/>
      <c r="BX968" s="35"/>
      <c r="BY968" s="35"/>
      <c r="BZ968" s="35"/>
      <c r="CA968" s="35"/>
      <c r="CB968" s="35"/>
      <c r="CC968" s="35"/>
      <c r="CD968" s="35"/>
      <c r="CE968" s="35"/>
      <c r="CF968" s="35"/>
      <c r="CG968" s="35"/>
      <c r="CH968" s="35"/>
      <c r="CI968" s="35"/>
      <c r="CJ968" s="35"/>
      <c r="CK968" s="35"/>
      <c r="CL968" s="35"/>
      <c r="CM968" s="35"/>
      <c r="CN968" s="35"/>
      <c r="CO968" s="35"/>
      <c r="CP968" s="35"/>
      <c r="CQ968" s="35"/>
      <c r="CR968" s="35"/>
      <c r="CS968" s="35"/>
      <c r="CT968" s="35"/>
      <c r="CU968" s="35"/>
      <c r="CV968" s="35"/>
      <c r="CW968" s="35"/>
      <c r="CX968" s="35"/>
      <c r="CY968" s="35"/>
      <c r="CZ968" s="35"/>
      <c r="DA968" s="35"/>
      <c r="DB968" s="35"/>
      <c r="DC968" s="35"/>
      <c r="DD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  <c r="BA969" s="35"/>
      <c r="BB969" s="35"/>
      <c r="BC969" s="35"/>
      <c r="BD969" s="35"/>
      <c r="BE969" s="35"/>
      <c r="BF969" s="35"/>
      <c r="BG969" s="35"/>
      <c r="BH969" s="35"/>
      <c r="BI969" s="35"/>
      <c r="BJ969" s="35"/>
      <c r="BK969" s="35"/>
      <c r="BL969" s="35"/>
      <c r="BM969" s="35"/>
      <c r="BN969" s="35"/>
      <c r="BO969" s="35"/>
      <c r="BP969" s="35"/>
      <c r="BQ969" s="35"/>
      <c r="BR969" s="35"/>
      <c r="BS969" s="35"/>
      <c r="BT969" s="35"/>
      <c r="BU969" s="35"/>
      <c r="BV969" s="35"/>
      <c r="BW969" s="35"/>
      <c r="BX969" s="35"/>
      <c r="BY969" s="35"/>
      <c r="BZ969" s="35"/>
      <c r="CA969" s="35"/>
      <c r="CB969" s="35"/>
      <c r="CC969" s="35"/>
      <c r="CD969" s="35"/>
      <c r="CE969" s="35"/>
      <c r="CF969" s="35"/>
      <c r="CG969" s="35"/>
      <c r="CH969" s="35"/>
      <c r="CI969" s="35"/>
      <c r="CJ969" s="35"/>
      <c r="CK969" s="35"/>
      <c r="CL969" s="35"/>
      <c r="CM969" s="35"/>
      <c r="CN969" s="35"/>
      <c r="CO969" s="35"/>
      <c r="CP969" s="35"/>
      <c r="CQ969" s="35"/>
      <c r="CR969" s="35"/>
      <c r="CS969" s="35"/>
      <c r="CT969" s="35"/>
      <c r="CU969" s="35"/>
      <c r="CV969" s="35"/>
      <c r="CW969" s="35"/>
      <c r="CX969" s="35"/>
      <c r="CY969" s="35"/>
      <c r="CZ969" s="35"/>
      <c r="DA969" s="35"/>
      <c r="DB969" s="35"/>
      <c r="DC969" s="35"/>
      <c r="DD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  <c r="BA970" s="35"/>
      <c r="BB970" s="35"/>
      <c r="BC970" s="35"/>
      <c r="BD970" s="35"/>
      <c r="BE970" s="35"/>
      <c r="BF970" s="35"/>
      <c r="BG970" s="35"/>
      <c r="BH970" s="35"/>
      <c r="BI970" s="35"/>
      <c r="BJ970" s="35"/>
      <c r="BK970" s="35"/>
      <c r="BL970" s="35"/>
      <c r="BM970" s="35"/>
      <c r="BN970" s="35"/>
      <c r="BO970" s="35"/>
      <c r="BP970" s="35"/>
      <c r="BQ970" s="35"/>
      <c r="BR970" s="35"/>
      <c r="BS970" s="35"/>
      <c r="BT970" s="35"/>
      <c r="BU970" s="35"/>
      <c r="BV970" s="35"/>
      <c r="BW970" s="35"/>
      <c r="BX970" s="35"/>
      <c r="BY970" s="35"/>
      <c r="BZ970" s="35"/>
      <c r="CA970" s="35"/>
      <c r="CB970" s="35"/>
      <c r="CC970" s="35"/>
      <c r="CD970" s="35"/>
      <c r="CE970" s="35"/>
      <c r="CF970" s="35"/>
      <c r="CG970" s="35"/>
      <c r="CH970" s="35"/>
      <c r="CI970" s="35"/>
      <c r="CJ970" s="35"/>
      <c r="CK970" s="35"/>
      <c r="CL970" s="35"/>
      <c r="CM970" s="35"/>
      <c r="CN970" s="35"/>
      <c r="CO970" s="35"/>
      <c r="CP970" s="35"/>
      <c r="CQ970" s="35"/>
      <c r="CR970" s="35"/>
      <c r="CS970" s="35"/>
      <c r="CT970" s="35"/>
      <c r="CU970" s="35"/>
      <c r="CV970" s="35"/>
      <c r="CW970" s="35"/>
      <c r="CX970" s="35"/>
      <c r="CY970" s="35"/>
      <c r="CZ970" s="35"/>
      <c r="DA970" s="35"/>
      <c r="DB970" s="35"/>
      <c r="DC970" s="35"/>
      <c r="DD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  <c r="BA971" s="35"/>
      <c r="BB971" s="35"/>
      <c r="BC971" s="35"/>
      <c r="BD971" s="35"/>
      <c r="BE971" s="35"/>
      <c r="BF971" s="35"/>
      <c r="BG971" s="35"/>
      <c r="BH971" s="35"/>
      <c r="BI971" s="35"/>
      <c r="BJ971" s="35"/>
      <c r="BK971" s="35"/>
      <c r="BL971" s="35"/>
      <c r="BM971" s="35"/>
      <c r="BN971" s="35"/>
      <c r="BO971" s="35"/>
      <c r="BP971" s="35"/>
      <c r="BQ971" s="35"/>
      <c r="BR971" s="35"/>
      <c r="BS971" s="35"/>
      <c r="BT971" s="35"/>
      <c r="BU971" s="35"/>
      <c r="BV971" s="35"/>
      <c r="BW971" s="35"/>
      <c r="BX971" s="35"/>
      <c r="BY971" s="35"/>
      <c r="BZ971" s="35"/>
      <c r="CA971" s="35"/>
      <c r="CB971" s="35"/>
      <c r="CC971" s="35"/>
      <c r="CD971" s="35"/>
      <c r="CE971" s="35"/>
      <c r="CF971" s="35"/>
      <c r="CG971" s="35"/>
      <c r="CH971" s="35"/>
      <c r="CI971" s="35"/>
      <c r="CJ971" s="35"/>
      <c r="CK971" s="35"/>
      <c r="CL971" s="35"/>
      <c r="CM971" s="35"/>
      <c r="CN971" s="35"/>
      <c r="CO971" s="35"/>
      <c r="CP971" s="35"/>
      <c r="CQ971" s="35"/>
      <c r="CR971" s="35"/>
      <c r="CS971" s="35"/>
      <c r="CT971" s="35"/>
      <c r="CU971" s="35"/>
      <c r="CV971" s="35"/>
      <c r="CW971" s="35"/>
      <c r="CX971" s="35"/>
      <c r="CY971" s="35"/>
      <c r="CZ971" s="35"/>
      <c r="DA971" s="35"/>
      <c r="DB971" s="35"/>
      <c r="DC971" s="35"/>
      <c r="DD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  <c r="BA972" s="35"/>
      <c r="BB972" s="35"/>
      <c r="BC972" s="35"/>
      <c r="BD972" s="35"/>
      <c r="BE972" s="35"/>
      <c r="BF972" s="35"/>
      <c r="BG972" s="35"/>
      <c r="BH972" s="35"/>
      <c r="BI972" s="35"/>
      <c r="BJ972" s="35"/>
      <c r="BK972" s="35"/>
      <c r="BL972" s="35"/>
      <c r="BM972" s="35"/>
      <c r="BN972" s="35"/>
      <c r="BO972" s="35"/>
      <c r="BP972" s="35"/>
      <c r="BQ972" s="35"/>
      <c r="BR972" s="35"/>
      <c r="BS972" s="35"/>
      <c r="BT972" s="35"/>
      <c r="BU972" s="35"/>
      <c r="BV972" s="35"/>
      <c r="BW972" s="35"/>
      <c r="BX972" s="35"/>
      <c r="BY972" s="35"/>
      <c r="BZ972" s="35"/>
      <c r="CA972" s="35"/>
      <c r="CB972" s="35"/>
      <c r="CC972" s="35"/>
      <c r="CD972" s="35"/>
      <c r="CE972" s="35"/>
      <c r="CF972" s="35"/>
      <c r="CG972" s="35"/>
      <c r="CH972" s="35"/>
      <c r="CI972" s="35"/>
      <c r="CJ972" s="35"/>
      <c r="CK972" s="35"/>
      <c r="CL972" s="35"/>
      <c r="CM972" s="35"/>
      <c r="CN972" s="35"/>
      <c r="CO972" s="35"/>
      <c r="CP972" s="35"/>
      <c r="CQ972" s="35"/>
      <c r="CR972" s="35"/>
      <c r="CS972" s="35"/>
      <c r="CT972" s="35"/>
      <c r="CU972" s="35"/>
      <c r="CV972" s="35"/>
      <c r="CW972" s="35"/>
      <c r="CX972" s="35"/>
      <c r="CY972" s="35"/>
      <c r="CZ972" s="35"/>
      <c r="DA972" s="35"/>
      <c r="DB972" s="35"/>
      <c r="DC972" s="35"/>
      <c r="DD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  <c r="BA973" s="35"/>
      <c r="BB973" s="35"/>
      <c r="BC973" s="35"/>
      <c r="BD973" s="35"/>
      <c r="BE973" s="35"/>
      <c r="BF973" s="35"/>
      <c r="BG973" s="35"/>
      <c r="BH973" s="35"/>
      <c r="BI973" s="35"/>
      <c r="BJ973" s="35"/>
      <c r="BK973" s="35"/>
      <c r="BL973" s="35"/>
      <c r="BM973" s="35"/>
      <c r="BN973" s="35"/>
      <c r="BO973" s="35"/>
      <c r="BP973" s="35"/>
      <c r="BQ973" s="35"/>
      <c r="BR973" s="35"/>
      <c r="BS973" s="35"/>
      <c r="BT973" s="35"/>
      <c r="BU973" s="35"/>
      <c r="BV973" s="35"/>
      <c r="BW973" s="35"/>
      <c r="BX973" s="35"/>
      <c r="BY973" s="35"/>
      <c r="BZ973" s="35"/>
      <c r="CA973" s="35"/>
      <c r="CB973" s="35"/>
      <c r="CC973" s="35"/>
      <c r="CD973" s="35"/>
      <c r="CE973" s="35"/>
      <c r="CF973" s="35"/>
      <c r="CG973" s="35"/>
      <c r="CH973" s="35"/>
      <c r="CI973" s="35"/>
      <c r="CJ973" s="35"/>
      <c r="CK973" s="35"/>
      <c r="CL973" s="35"/>
      <c r="CM973" s="35"/>
      <c r="CN973" s="35"/>
      <c r="CO973" s="35"/>
      <c r="CP973" s="35"/>
      <c r="CQ973" s="35"/>
      <c r="CR973" s="35"/>
      <c r="CS973" s="35"/>
      <c r="CT973" s="35"/>
      <c r="CU973" s="35"/>
      <c r="CV973" s="35"/>
      <c r="CW973" s="35"/>
      <c r="CX973" s="35"/>
      <c r="CY973" s="35"/>
      <c r="CZ973" s="35"/>
      <c r="DA973" s="35"/>
      <c r="DB973" s="35"/>
      <c r="DC973" s="35"/>
      <c r="DD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  <c r="BA974" s="35"/>
      <c r="BB974" s="35"/>
      <c r="BC974" s="35"/>
      <c r="BD974" s="35"/>
      <c r="BE974" s="35"/>
      <c r="BF974" s="35"/>
      <c r="BG974" s="35"/>
      <c r="BH974" s="35"/>
      <c r="BI974" s="35"/>
      <c r="BJ974" s="35"/>
      <c r="BK974" s="35"/>
      <c r="BL974" s="35"/>
      <c r="BM974" s="35"/>
      <c r="BN974" s="35"/>
      <c r="BO974" s="35"/>
      <c r="BP974" s="35"/>
      <c r="BQ974" s="35"/>
      <c r="BR974" s="35"/>
      <c r="BS974" s="35"/>
      <c r="BT974" s="35"/>
      <c r="BU974" s="35"/>
      <c r="BV974" s="35"/>
      <c r="BW974" s="35"/>
      <c r="BX974" s="35"/>
      <c r="BY974" s="35"/>
      <c r="BZ974" s="35"/>
      <c r="CA974" s="35"/>
      <c r="CB974" s="35"/>
      <c r="CC974" s="35"/>
      <c r="CD974" s="35"/>
      <c r="CE974" s="35"/>
      <c r="CF974" s="35"/>
      <c r="CG974" s="35"/>
      <c r="CH974" s="35"/>
      <c r="CI974" s="35"/>
      <c r="CJ974" s="35"/>
      <c r="CK974" s="35"/>
      <c r="CL974" s="35"/>
      <c r="CM974" s="35"/>
      <c r="CN974" s="35"/>
      <c r="CO974" s="35"/>
      <c r="CP974" s="35"/>
      <c r="CQ974" s="35"/>
      <c r="CR974" s="35"/>
      <c r="CS974" s="35"/>
      <c r="CT974" s="35"/>
      <c r="CU974" s="35"/>
      <c r="CV974" s="35"/>
      <c r="CW974" s="35"/>
      <c r="CX974" s="35"/>
      <c r="CY974" s="35"/>
      <c r="CZ974" s="35"/>
      <c r="DA974" s="35"/>
      <c r="DB974" s="35"/>
      <c r="DC974" s="35"/>
      <c r="DD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  <c r="BA975" s="35"/>
      <c r="BB975" s="35"/>
      <c r="BC975" s="35"/>
      <c r="BD975" s="35"/>
      <c r="BE975" s="35"/>
      <c r="BF975" s="35"/>
      <c r="BG975" s="35"/>
      <c r="BH975" s="35"/>
      <c r="BI975" s="35"/>
      <c r="BJ975" s="35"/>
      <c r="BK975" s="35"/>
      <c r="BL975" s="35"/>
      <c r="BM975" s="35"/>
      <c r="BN975" s="35"/>
      <c r="BO975" s="35"/>
      <c r="BP975" s="35"/>
      <c r="BQ975" s="35"/>
      <c r="BR975" s="35"/>
      <c r="BS975" s="35"/>
      <c r="BT975" s="35"/>
      <c r="BU975" s="35"/>
      <c r="BV975" s="35"/>
      <c r="BW975" s="35"/>
      <c r="BX975" s="35"/>
      <c r="BY975" s="35"/>
      <c r="BZ975" s="35"/>
      <c r="CA975" s="35"/>
      <c r="CB975" s="35"/>
      <c r="CC975" s="35"/>
      <c r="CD975" s="35"/>
      <c r="CE975" s="35"/>
      <c r="CF975" s="35"/>
      <c r="CG975" s="35"/>
      <c r="CH975" s="35"/>
      <c r="CI975" s="35"/>
      <c r="CJ975" s="35"/>
      <c r="CK975" s="35"/>
      <c r="CL975" s="35"/>
      <c r="CM975" s="35"/>
      <c r="CN975" s="35"/>
      <c r="CO975" s="35"/>
      <c r="CP975" s="35"/>
      <c r="CQ975" s="35"/>
      <c r="CR975" s="35"/>
      <c r="CS975" s="35"/>
      <c r="CT975" s="35"/>
      <c r="CU975" s="35"/>
      <c r="CV975" s="35"/>
      <c r="CW975" s="35"/>
      <c r="CX975" s="35"/>
      <c r="CY975" s="35"/>
      <c r="CZ975" s="35"/>
      <c r="DA975" s="35"/>
      <c r="DB975" s="35"/>
      <c r="DC975" s="35"/>
      <c r="DD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  <c r="BA976" s="35"/>
      <c r="BB976" s="35"/>
      <c r="BC976" s="35"/>
      <c r="BD976" s="35"/>
      <c r="BE976" s="35"/>
      <c r="BF976" s="35"/>
      <c r="BG976" s="35"/>
      <c r="BH976" s="35"/>
      <c r="BI976" s="35"/>
      <c r="BJ976" s="35"/>
      <c r="BK976" s="35"/>
      <c r="BL976" s="35"/>
      <c r="BM976" s="35"/>
      <c r="BN976" s="35"/>
      <c r="BO976" s="35"/>
      <c r="BP976" s="35"/>
      <c r="BQ976" s="35"/>
      <c r="BR976" s="35"/>
      <c r="BS976" s="35"/>
      <c r="BT976" s="35"/>
      <c r="BU976" s="35"/>
      <c r="BV976" s="35"/>
      <c r="BW976" s="35"/>
      <c r="BX976" s="35"/>
      <c r="BY976" s="35"/>
      <c r="BZ976" s="35"/>
      <c r="CA976" s="35"/>
      <c r="CB976" s="35"/>
      <c r="CC976" s="35"/>
      <c r="CD976" s="35"/>
      <c r="CE976" s="35"/>
      <c r="CF976" s="35"/>
      <c r="CG976" s="35"/>
      <c r="CH976" s="35"/>
      <c r="CI976" s="35"/>
      <c r="CJ976" s="35"/>
      <c r="CK976" s="35"/>
      <c r="CL976" s="35"/>
      <c r="CM976" s="35"/>
      <c r="CN976" s="35"/>
      <c r="CO976" s="35"/>
      <c r="CP976" s="35"/>
      <c r="CQ976" s="35"/>
      <c r="CR976" s="35"/>
      <c r="CS976" s="35"/>
      <c r="CT976" s="35"/>
      <c r="CU976" s="35"/>
      <c r="CV976" s="35"/>
      <c r="CW976" s="35"/>
      <c r="CX976" s="35"/>
      <c r="CY976" s="35"/>
      <c r="CZ976" s="35"/>
      <c r="DA976" s="35"/>
      <c r="DB976" s="35"/>
      <c r="DC976" s="35"/>
      <c r="DD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/>
      <c r="BO977" s="35"/>
      <c r="BP977" s="35"/>
      <c r="BQ977" s="35"/>
      <c r="BR977" s="35"/>
      <c r="BS977" s="35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5"/>
      <c r="CF977" s="35"/>
      <c r="CG977" s="35"/>
      <c r="CH977" s="35"/>
      <c r="CI977" s="35"/>
      <c r="CJ977" s="35"/>
      <c r="CK977" s="35"/>
      <c r="CL977" s="35"/>
      <c r="CM977" s="35"/>
      <c r="CN977" s="35"/>
      <c r="CO977" s="35"/>
      <c r="CP977" s="35"/>
      <c r="CQ977" s="35"/>
      <c r="CR977" s="35"/>
      <c r="CS977" s="35"/>
      <c r="CT977" s="35"/>
      <c r="CU977" s="35"/>
      <c r="CV977" s="35"/>
      <c r="CW977" s="35"/>
      <c r="CX977" s="35"/>
      <c r="CY977" s="35"/>
      <c r="CZ977" s="35"/>
      <c r="DA977" s="35"/>
      <c r="DB977" s="35"/>
      <c r="DC977" s="35"/>
      <c r="DD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  <c r="BA978" s="35"/>
      <c r="BB978" s="35"/>
      <c r="BC978" s="35"/>
      <c r="BD978" s="35"/>
      <c r="BE978" s="35"/>
      <c r="BF978" s="35"/>
      <c r="BG978" s="35"/>
      <c r="BH978" s="35"/>
      <c r="BI978" s="35"/>
      <c r="BJ978" s="35"/>
      <c r="BK978" s="35"/>
      <c r="BL978" s="35"/>
      <c r="BM978" s="35"/>
      <c r="BN978" s="35"/>
      <c r="BO978" s="35"/>
      <c r="BP978" s="35"/>
      <c r="BQ978" s="35"/>
      <c r="BR978" s="35"/>
      <c r="BS978" s="35"/>
      <c r="BT978" s="35"/>
      <c r="BU978" s="35"/>
      <c r="BV978" s="35"/>
      <c r="BW978" s="35"/>
      <c r="BX978" s="35"/>
      <c r="BY978" s="35"/>
      <c r="BZ978" s="35"/>
      <c r="CA978" s="35"/>
      <c r="CB978" s="35"/>
      <c r="CC978" s="35"/>
      <c r="CD978" s="35"/>
      <c r="CE978" s="35"/>
      <c r="CF978" s="35"/>
      <c r="CG978" s="35"/>
      <c r="CH978" s="35"/>
      <c r="CI978" s="35"/>
      <c r="CJ978" s="35"/>
      <c r="CK978" s="35"/>
      <c r="CL978" s="35"/>
      <c r="CM978" s="35"/>
      <c r="CN978" s="35"/>
      <c r="CO978" s="35"/>
      <c r="CP978" s="35"/>
      <c r="CQ978" s="35"/>
      <c r="CR978" s="35"/>
      <c r="CS978" s="35"/>
      <c r="CT978" s="35"/>
      <c r="CU978" s="35"/>
      <c r="CV978" s="35"/>
      <c r="CW978" s="35"/>
      <c r="CX978" s="35"/>
      <c r="CY978" s="35"/>
      <c r="CZ978" s="35"/>
      <c r="DA978" s="35"/>
      <c r="DB978" s="35"/>
      <c r="DC978" s="35"/>
      <c r="DD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  <c r="BA979" s="35"/>
      <c r="BB979" s="35"/>
      <c r="BC979" s="35"/>
      <c r="BD979" s="35"/>
      <c r="BE979" s="35"/>
      <c r="BF979" s="35"/>
      <c r="BG979" s="35"/>
      <c r="BH979" s="35"/>
      <c r="BI979" s="35"/>
      <c r="BJ979" s="35"/>
      <c r="BK979" s="35"/>
      <c r="BL979" s="35"/>
      <c r="BM979" s="35"/>
      <c r="BN979" s="35"/>
      <c r="BO979" s="35"/>
      <c r="BP979" s="35"/>
      <c r="BQ979" s="35"/>
      <c r="BR979" s="35"/>
      <c r="BS979" s="35"/>
      <c r="BT979" s="35"/>
      <c r="BU979" s="35"/>
      <c r="BV979" s="35"/>
      <c r="BW979" s="35"/>
      <c r="BX979" s="35"/>
      <c r="BY979" s="35"/>
      <c r="BZ979" s="35"/>
      <c r="CA979" s="35"/>
      <c r="CB979" s="35"/>
      <c r="CC979" s="35"/>
      <c r="CD979" s="35"/>
      <c r="CE979" s="35"/>
      <c r="CF979" s="35"/>
      <c r="CG979" s="35"/>
      <c r="CH979" s="35"/>
      <c r="CI979" s="35"/>
      <c r="CJ979" s="35"/>
      <c r="CK979" s="35"/>
      <c r="CL979" s="35"/>
      <c r="CM979" s="35"/>
      <c r="CN979" s="35"/>
      <c r="CO979" s="35"/>
      <c r="CP979" s="35"/>
      <c r="CQ979" s="35"/>
      <c r="CR979" s="35"/>
      <c r="CS979" s="35"/>
      <c r="CT979" s="35"/>
      <c r="CU979" s="35"/>
      <c r="CV979" s="35"/>
      <c r="CW979" s="35"/>
      <c r="CX979" s="35"/>
      <c r="CY979" s="35"/>
      <c r="CZ979" s="35"/>
      <c r="DA979" s="35"/>
      <c r="DB979" s="35"/>
      <c r="DC979" s="35"/>
      <c r="DD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  <c r="BA980" s="35"/>
      <c r="BB980" s="35"/>
      <c r="BC980" s="35"/>
      <c r="BD980" s="35"/>
      <c r="BE980" s="35"/>
      <c r="BF980" s="35"/>
      <c r="BG980" s="35"/>
      <c r="BH980" s="35"/>
      <c r="BI980" s="35"/>
      <c r="BJ980" s="35"/>
      <c r="BK980" s="35"/>
      <c r="BL980" s="35"/>
      <c r="BM980" s="35"/>
      <c r="BN980" s="35"/>
      <c r="BO980" s="35"/>
      <c r="BP980" s="35"/>
      <c r="BQ980" s="35"/>
      <c r="BR980" s="35"/>
      <c r="BS980" s="35"/>
      <c r="BT980" s="35"/>
      <c r="BU980" s="35"/>
      <c r="BV980" s="35"/>
      <c r="BW980" s="35"/>
      <c r="BX980" s="35"/>
      <c r="BY980" s="35"/>
      <c r="BZ980" s="35"/>
      <c r="CA980" s="35"/>
      <c r="CB980" s="35"/>
      <c r="CC980" s="35"/>
      <c r="CD980" s="35"/>
      <c r="CE980" s="35"/>
      <c r="CF980" s="35"/>
      <c r="CG980" s="35"/>
      <c r="CH980" s="35"/>
      <c r="CI980" s="35"/>
      <c r="CJ980" s="35"/>
      <c r="CK980" s="35"/>
      <c r="CL980" s="35"/>
      <c r="CM980" s="35"/>
      <c r="CN980" s="35"/>
      <c r="CO980" s="35"/>
      <c r="CP980" s="35"/>
      <c r="CQ980" s="35"/>
      <c r="CR980" s="35"/>
      <c r="CS980" s="35"/>
      <c r="CT980" s="35"/>
      <c r="CU980" s="35"/>
      <c r="CV980" s="35"/>
      <c r="CW980" s="35"/>
      <c r="CX980" s="35"/>
      <c r="CY980" s="35"/>
      <c r="CZ980" s="35"/>
      <c r="DA980" s="35"/>
      <c r="DB980" s="35"/>
      <c r="DC980" s="35"/>
      <c r="DD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  <c r="BA981" s="35"/>
      <c r="BB981" s="35"/>
      <c r="BC981" s="35"/>
      <c r="BD981" s="35"/>
      <c r="BE981" s="35"/>
      <c r="BF981" s="35"/>
      <c r="BG981" s="35"/>
      <c r="BH981" s="35"/>
      <c r="BI981" s="35"/>
      <c r="BJ981" s="35"/>
      <c r="BK981" s="35"/>
      <c r="BL981" s="35"/>
      <c r="BM981" s="35"/>
      <c r="BN981" s="35"/>
      <c r="BO981" s="35"/>
      <c r="BP981" s="35"/>
      <c r="BQ981" s="35"/>
      <c r="BR981" s="35"/>
      <c r="BS981" s="35"/>
      <c r="BT981" s="35"/>
      <c r="BU981" s="35"/>
      <c r="BV981" s="35"/>
      <c r="BW981" s="35"/>
      <c r="BX981" s="35"/>
      <c r="BY981" s="35"/>
      <c r="BZ981" s="35"/>
      <c r="CA981" s="35"/>
      <c r="CB981" s="35"/>
      <c r="CC981" s="35"/>
      <c r="CD981" s="35"/>
      <c r="CE981" s="35"/>
      <c r="CF981" s="35"/>
      <c r="CG981" s="35"/>
      <c r="CH981" s="35"/>
      <c r="CI981" s="35"/>
      <c r="CJ981" s="35"/>
      <c r="CK981" s="35"/>
      <c r="CL981" s="35"/>
      <c r="CM981" s="35"/>
      <c r="CN981" s="35"/>
      <c r="CO981" s="35"/>
      <c r="CP981" s="35"/>
      <c r="CQ981" s="35"/>
      <c r="CR981" s="35"/>
      <c r="CS981" s="35"/>
      <c r="CT981" s="35"/>
      <c r="CU981" s="35"/>
      <c r="CV981" s="35"/>
      <c r="CW981" s="35"/>
      <c r="CX981" s="35"/>
      <c r="CY981" s="35"/>
      <c r="CZ981" s="35"/>
      <c r="DA981" s="35"/>
      <c r="DB981" s="35"/>
      <c r="DC981" s="35"/>
      <c r="DD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  <c r="BA982" s="35"/>
      <c r="BB982" s="35"/>
      <c r="BC982" s="35"/>
      <c r="BD982" s="35"/>
      <c r="BE982" s="35"/>
      <c r="BF982" s="35"/>
      <c r="BG982" s="35"/>
      <c r="BH982" s="35"/>
      <c r="BI982" s="35"/>
      <c r="BJ982" s="35"/>
      <c r="BK982" s="35"/>
      <c r="BL982" s="35"/>
      <c r="BM982" s="35"/>
      <c r="BN982" s="35"/>
      <c r="BO982" s="35"/>
      <c r="BP982" s="35"/>
      <c r="BQ982" s="35"/>
      <c r="BR982" s="35"/>
      <c r="BS982" s="35"/>
      <c r="BT982" s="35"/>
      <c r="BU982" s="35"/>
      <c r="BV982" s="35"/>
      <c r="BW982" s="35"/>
      <c r="BX982" s="35"/>
      <c r="BY982" s="35"/>
      <c r="BZ982" s="35"/>
      <c r="CA982" s="35"/>
      <c r="CB982" s="35"/>
      <c r="CC982" s="35"/>
      <c r="CD982" s="35"/>
      <c r="CE982" s="35"/>
      <c r="CF982" s="35"/>
      <c r="CG982" s="35"/>
      <c r="CH982" s="35"/>
      <c r="CI982" s="35"/>
      <c r="CJ982" s="35"/>
      <c r="CK982" s="35"/>
      <c r="CL982" s="35"/>
      <c r="CM982" s="35"/>
      <c r="CN982" s="35"/>
      <c r="CO982" s="35"/>
      <c r="CP982" s="35"/>
      <c r="CQ982" s="35"/>
      <c r="CR982" s="35"/>
      <c r="CS982" s="35"/>
      <c r="CT982" s="35"/>
      <c r="CU982" s="35"/>
      <c r="CV982" s="35"/>
      <c r="CW982" s="35"/>
      <c r="CX982" s="35"/>
      <c r="CY982" s="35"/>
      <c r="CZ982" s="35"/>
      <c r="DA982" s="35"/>
      <c r="DB982" s="35"/>
      <c r="DC982" s="35"/>
      <c r="DD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  <c r="BA983" s="35"/>
      <c r="BB983" s="35"/>
      <c r="BC983" s="35"/>
      <c r="BD983" s="35"/>
      <c r="BE983" s="35"/>
      <c r="BF983" s="35"/>
      <c r="BG983" s="35"/>
      <c r="BH983" s="35"/>
      <c r="BI983" s="35"/>
      <c r="BJ983" s="35"/>
      <c r="BK983" s="35"/>
      <c r="BL983" s="35"/>
      <c r="BM983" s="35"/>
      <c r="BN983" s="35"/>
      <c r="BO983" s="35"/>
      <c r="BP983" s="35"/>
      <c r="BQ983" s="35"/>
      <c r="BR983" s="35"/>
      <c r="BS983" s="35"/>
      <c r="BT983" s="35"/>
      <c r="BU983" s="35"/>
      <c r="BV983" s="35"/>
      <c r="BW983" s="35"/>
      <c r="BX983" s="35"/>
      <c r="BY983" s="35"/>
      <c r="BZ983" s="35"/>
      <c r="CA983" s="35"/>
      <c r="CB983" s="35"/>
      <c r="CC983" s="35"/>
      <c r="CD983" s="35"/>
      <c r="CE983" s="35"/>
      <c r="CF983" s="35"/>
      <c r="CG983" s="35"/>
      <c r="CH983" s="35"/>
      <c r="CI983" s="35"/>
      <c r="CJ983" s="35"/>
      <c r="CK983" s="35"/>
      <c r="CL983" s="35"/>
      <c r="CM983" s="35"/>
      <c r="CN983" s="35"/>
      <c r="CO983" s="35"/>
      <c r="CP983" s="35"/>
      <c r="CQ983" s="35"/>
      <c r="CR983" s="35"/>
      <c r="CS983" s="35"/>
      <c r="CT983" s="35"/>
      <c r="CU983" s="35"/>
      <c r="CV983" s="35"/>
      <c r="CW983" s="35"/>
      <c r="CX983" s="35"/>
      <c r="CY983" s="35"/>
      <c r="CZ983" s="35"/>
      <c r="DA983" s="35"/>
      <c r="DB983" s="35"/>
      <c r="DC983" s="35"/>
      <c r="DD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  <c r="BA984" s="35"/>
      <c r="BB984" s="35"/>
      <c r="BC984" s="35"/>
      <c r="BD984" s="35"/>
      <c r="BE984" s="35"/>
      <c r="BF984" s="35"/>
      <c r="BG984" s="35"/>
      <c r="BH984" s="35"/>
      <c r="BI984" s="35"/>
      <c r="BJ984" s="35"/>
      <c r="BK984" s="35"/>
      <c r="BL984" s="35"/>
      <c r="BM984" s="35"/>
      <c r="BN984" s="35"/>
      <c r="BO984" s="35"/>
      <c r="BP984" s="35"/>
      <c r="BQ984" s="35"/>
      <c r="BR984" s="35"/>
      <c r="BS984" s="35"/>
      <c r="BT984" s="35"/>
      <c r="BU984" s="35"/>
      <c r="BV984" s="35"/>
      <c r="BW984" s="35"/>
      <c r="BX984" s="35"/>
      <c r="BY984" s="35"/>
      <c r="BZ984" s="35"/>
      <c r="CA984" s="35"/>
      <c r="CB984" s="35"/>
      <c r="CC984" s="35"/>
      <c r="CD984" s="35"/>
      <c r="CE984" s="35"/>
      <c r="CF984" s="35"/>
      <c r="CG984" s="35"/>
      <c r="CH984" s="35"/>
      <c r="CI984" s="35"/>
      <c r="CJ984" s="35"/>
      <c r="CK984" s="35"/>
      <c r="CL984" s="35"/>
      <c r="CM984" s="35"/>
      <c r="CN984" s="35"/>
      <c r="CO984" s="35"/>
      <c r="CP984" s="35"/>
      <c r="CQ984" s="35"/>
      <c r="CR984" s="35"/>
      <c r="CS984" s="35"/>
      <c r="CT984" s="35"/>
      <c r="CU984" s="35"/>
      <c r="CV984" s="35"/>
      <c r="CW984" s="35"/>
      <c r="CX984" s="35"/>
      <c r="CY984" s="35"/>
      <c r="CZ984" s="35"/>
      <c r="DA984" s="35"/>
      <c r="DB984" s="35"/>
      <c r="DC984" s="35"/>
      <c r="DD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  <c r="BA985" s="35"/>
      <c r="BB985" s="35"/>
      <c r="BC985" s="35"/>
      <c r="BD985" s="35"/>
      <c r="BE985" s="35"/>
      <c r="BF985" s="35"/>
      <c r="BG985" s="35"/>
      <c r="BH985" s="35"/>
      <c r="BI985" s="35"/>
      <c r="BJ985" s="35"/>
      <c r="BK985" s="35"/>
      <c r="BL985" s="35"/>
      <c r="BM985" s="35"/>
      <c r="BN985" s="35"/>
      <c r="BO985" s="35"/>
      <c r="BP985" s="35"/>
      <c r="BQ985" s="35"/>
      <c r="BR985" s="35"/>
      <c r="BS985" s="35"/>
      <c r="BT985" s="35"/>
      <c r="BU985" s="35"/>
      <c r="BV985" s="35"/>
      <c r="BW985" s="35"/>
      <c r="BX985" s="35"/>
      <c r="BY985" s="35"/>
      <c r="BZ985" s="35"/>
      <c r="CA985" s="35"/>
      <c r="CB985" s="35"/>
      <c r="CC985" s="35"/>
      <c r="CD985" s="35"/>
      <c r="CE985" s="35"/>
      <c r="CF985" s="35"/>
      <c r="CG985" s="35"/>
      <c r="CH985" s="35"/>
      <c r="CI985" s="35"/>
      <c r="CJ985" s="35"/>
      <c r="CK985" s="35"/>
      <c r="CL985" s="35"/>
      <c r="CM985" s="35"/>
      <c r="CN985" s="35"/>
      <c r="CO985" s="35"/>
      <c r="CP985" s="35"/>
      <c r="CQ985" s="35"/>
      <c r="CR985" s="35"/>
      <c r="CS985" s="35"/>
      <c r="CT985" s="35"/>
      <c r="CU985" s="35"/>
      <c r="CV985" s="35"/>
      <c r="CW985" s="35"/>
      <c r="CX985" s="35"/>
      <c r="CY985" s="35"/>
      <c r="CZ985" s="35"/>
      <c r="DA985" s="35"/>
      <c r="DB985" s="35"/>
      <c r="DC985" s="35"/>
      <c r="DD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  <c r="BA986" s="35"/>
      <c r="BB986" s="35"/>
      <c r="BC986" s="35"/>
      <c r="BD986" s="35"/>
      <c r="BE986" s="35"/>
      <c r="BF986" s="35"/>
      <c r="BG986" s="35"/>
      <c r="BH986" s="35"/>
      <c r="BI986" s="35"/>
      <c r="BJ986" s="35"/>
      <c r="BK986" s="35"/>
      <c r="BL986" s="35"/>
      <c r="BM986" s="35"/>
      <c r="BN986" s="35"/>
      <c r="BO986" s="35"/>
      <c r="BP986" s="35"/>
      <c r="BQ986" s="35"/>
      <c r="BR986" s="35"/>
      <c r="BS986" s="35"/>
      <c r="BT986" s="35"/>
      <c r="BU986" s="35"/>
      <c r="BV986" s="35"/>
      <c r="BW986" s="35"/>
      <c r="BX986" s="35"/>
      <c r="BY986" s="35"/>
      <c r="BZ986" s="35"/>
      <c r="CA986" s="35"/>
      <c r="CB986" s="35"/>
      <c r="CC986" s="35"/>
      <c r="CD986" s="35"/>
      <c r="CE986" s="35"/>
      <c r="CF986" s="35"/>
      <c r="CG986" s="35"/>
      <c r="CH986" s="35"/>
      <c r="CI986" s="35"/>
      <c r="CJ986" s="35"/>
      <c r="CK986" s="35"/>
      <c r="CL986" s="35"/>
      <c r="CM986" s="35"/>
      <c r="CN986" s="35"/>
      <c r="CO986" s="35"/>
      <c r="CP986" s="35"/>
      <c r="CQ986" s="35"/>
      <c r="CR986" s="35"/>
      <c r="CS986" s="35"/>
      <c r="CT986" s="35"/>
      <c r="CU986" s="35"/>
      <c r="CV986" s="35"/>
      <c r="CW986" s="35"/>
      <c r="CX986" s="35"/>
      <c r="CY986" s="35"/>
      <c r="CZ986" s="35"/>
      <c r="DA986" s="35"/>
      <c r="DB986" s="35"/>
      <c r="DC986" s="35"/>
      <c r="DD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  <c r="BA987" s="35"/>
      <c r="BB987" s="35"/>
      <c r="BC987" s="35"/>
      <c r="BD987" s="35"/>
      <c r="BE987" s="35"/>
      <c r="BF987" s="35"/>
      <c r="BG987" s="35"/>
      <c r="BH987" s="35"/>
      <c r="BI987" s="35"/>
      <c r="BJ987" s="35"/>
      <c r="BK987" s="35"/>
      <c r="BL987" s="35"/>
      <c r="BM987" s="35"/>
      <c r="BN987" s="35"/>
      <c r="BO987" s="35"/>
      <c r="BP987" s="35"/>
      <c r="BQ987" s="35"/>
      <c r="BR987" s="35"/>
      <c r="BS987" s="35"/>
      <c r="BT987" s="35"/>
      <c r="BU987" s="35"/>
      <c r="BV987" s="35"/>
      <c r="BW987" s="35"/>
      <c r="BX987" s="35"/>
      <c r="BY987" s="35"/>
      <c r="BZ987" s="35"/>
      <c r="CA987" s="35"/>
      <c r="CB987" s="35"/>
      <c r="CC987" s="35"/>
      <c r="CD987" s="35"/>
      <c r="CE987" s="35"/>
      <c r="CF987" s="35"/>
      <c r="CG987" s="35"/>
      <c r="CH987" s="35"/>
      <c r="CI987" s="35"/>
      <c r="CJ987" s="35"/>
      <c r="CK987" s="35"/>
      <c r="CL987" s="35"/>
      <c r="CM987" s="35"/>
      <c r="CN987" s="35"/>
      <c r="CO987" s="35"/>
      <c r="CP987" s="35"/>
      <c r="CQ987" s="35"/>
      <c r="CR987" s="35"/>
      <c r="CS987" s="35"/>
      <c r="CT987" s="35"/>
      <c r="CU987" s="35"/>
      <c r="CV987" s="35"/>
      <c r="CW987" s="35"/>
      <c r="CX987" s="35"/>
      <c r="CY987" s="35"/>
      <c r="CZ987" s="35"/>
      <c r="DA987" s="35"/>
      <c r="DB987" s="35"/>
      <c r="DC987" s="35"/>
      <c r="DD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  <c r="BA988" s="35"/>
      <c r="BB988" s="35"/>
      <c r="BC988" s="35"/>
      <c r="BD988" s="35"/>
      <c r="BE988" s="35"/>
      <c r="BF988" s="35"/>
      <c r="BG988" s="35"/>
      <c r="BH988" s="35"/>
      <c r="BI988" s="35"/>
      <c r="BJ988" s="35"/>
      <c r="BK988" s="35"/>
      <c r="BL988" s="35"/>
      <c r="BM988" s="35"/>
      <c r="BN988" s="35"/>
      <c r="BO988" s="35"/>
      <c r="BP988" s="35"/>
      <c r="BQ988" s="35"/>
      <c r="BR988" s="35"/>
      <c r="BS988" s="35"/>
      <c r="BT988" s="35"/>
      <c r="BU988" s="35"/>
      <c r="BV988" s="35"/>
      <c r="BW988" s="35"/>
      <c r="BX988" s="35"/>
      <c r="BY988" s="35"/>
      <c r="BZ988" s="35"/>
      <c r="CA988" s="35"/>
      <c r="CB988" s="35"/>
      <c r="CC988" s="35"/>
      <c r="CD988" s="35"/>
      <c r="CE988" s="35"/>
      <c r="CF988" s="35"/>
      <c r="CG988" s="35"/>
      <c r="CH988" s="35"/>
      <c r="CI988" s="35"/>
      <c r="CJ988" s="35"/>
      <c r="CK988" s="35"/>
      <c r="CL988" s="35"/>
      <c r="CM988" s="35"/>
      <c r="CN988" s="35"/>
      <c r="CO988" s="35"/>
      <c r="CP988" s="35"/>
      <c r="CQ988" s="35"/>
      <c r="CR988" s="35"/>
      <c r="CS988" s="35"/>
      <c r="CT988" s="35"/>
      <c r="CU988" s="35"/>
      <c r="CV988" s="35"/>
      <c r="CW988" s="35"/>
      <c r="CX988" s="35"/>
      <c r="CY988" s="35"/>
      <c r="CZ988" s="35"/>
      <c r="DA988" s="35"/>
      <c r="DB988" s="35"/>
      <c r="DC988" s="35"/>
      <c r="DD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  <c r="BA989" s="35"/>
      <c r="BB989" s="35"/>
      <c r="BC989" s="35"/>
      <c r="BD989" s="35"/>
      <c r="BE989" s="35"/>
      <c r="BF989" s="35"/>
      <c r="BG989" s="35"/>
      <c r="BH989" s="35"/>
      <c r="BI989" s="35"/>
      <c r="BJ989" s="35"/>
      <c r="BK989" s="35"/>
      <c r="BL989" s="35"/>
      <c r="BM989" s="35"/>
      <c r="BN989" s="35"/>
      <c r="BO989" s="35"/>
      <c r="BP989" s="35"/>
      <c r="BQ989" s="35"/>
      <c r="BR989" s="35"/>
      <c r="BS989" s="35"/>
      <c r="BT989" s="35"/>
      <c r="BU989" s="35"/>
      <c r="BV989" s="35"/>
      <c r="BW989" s="35"/>
      <c r="BX989" s="35"/>
      <c r="BY989" s="35"/>
      <c r="BZ989" s="35"/>
      <c r="CA989" s="35"/>
      <c r="CB989" s="35"/>
      <c r="CC989" s="35"/>
      <c r="CD989" s="35"/>
      <c r="CE989" s="35"/>
      <c r="CF989" s="35"/>
      <c r="CG989" s="35"/>
      <c r="CH989" s="35"/>
      <c r="CI989" s="35"/>
      <c r="CJ989" s="35"/>
      <c r="CK989" s="35"/>
      <c r="CL989" s="35"/>
      <c r="CM989" s="35"/>
      <c r="CN989" s="35"/>
      <c r="CO989" s="35"/>
      <c r="CP989" s="35"/>
      <c r="CQ989" s="35"/>
      <c r="CR989" s="35"/>
      <c r="CS989" s="35"/>
      <c r="CT989" s="35"/>
      <c r="CU989" s="35"/>
      <c r="CV989" s="35"/>
      <c r="CW989" s="35"/>
      <c r="CX989" s="35"/>
      <c r="CY989" s="35"/>
      <c r="CZ989" s="35"/>
      <c r="DA989" s="35"/>
      <c r="DB989" s="35"/>
      <c r="DC989" s="35"/>
      <c r="DD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  <c r="BA990" s="35"/>
      <c r="BB990" s="35"/>
      <c r="BC990" s="35"/>
      <c r="BD990" s="35"/>
      <c r="BE990" s="35"/>
      <c r="BF990" s="35"/>
      <c r="BG990" s="35"/>
      <c r="BH990" s="35"/>
      <c r="BI990" s="35"/>
      <c r="BJ990" s="35"/>
      <c r="BK990" s="35"/>
      <c r="BL990" s="35"/>
      <c r="BM990" s="35"/>
      <c r="BN990" s="35"/>
      <c r="BO990" s="35"/>
      <c r="BP990" s="35"/>
      <c r="BQ990" s="35"/>
      <c r="BR990" s="35"/>
      <c r="BS990" s="35"/>
      <c r="BT990" s="35"/>
      <c r="BU990" s="35"/>
      <c r="BV990" s="35"/>
      <c r="BW990" s="35"/>
      <c r="BX990" s="35"/>
      <c r="BY990" s="35"/>
      <c r="BZ990" s="35"/>
      <c r="CA990" s="35"/>
      <c r="CB990" s="35"/>
      <c r="CC990" s="35"/>
      <c r="CD990" s="35"/>
      <c r="CE990" s="35"/>
      <c r="CF990" s="35"/>
      <c r="CG990" s="35"/>
      <c r="CH990" s="35"/>
      <c r="CI990" s="35"/>
      <c r="CJ990" s="35"/>
      <c r="CK990" s="35"/>
      <c r="CL990" s="35"/>
      <c r="CM990" s="35"/>
      <c r="CN990" s="35"/>
      <c r="CO990" s="35"/>
      <c r="CP990" s="35"/>
      <c r="CQ990" s="35"/>
      <c r="CR990" s="35"/>
      <c r="CS990" s="35"/>
      <c r="CT990" s="35"/>
      <c r="CU990" s="35"/>
      <c r="CV990" s="35"/>
      <c r="CW990" s="35"/>
      <c r="CX990" s="35"/>
      <c r="CY990" s="35"/>
      <c r="CZ990" s="35"/>
      <c r="DA990" s="35"/>
      <c r="DB990" s="35"/>
      <c r="DC990" s="35"/>
      <c r="DD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  <c r="BA991" s="35"/>
      <c r="BB991" s="35"/>
      <c r="BC991" s="35"/>
      <c r="BD991" s="35"/>
      <c r="BE991" s="35"/>
      <c r="BF991" s="35"/>
      <c r="BG991" s="35"/>
      <c r="BH991" s="35"/>
      <c r="BI991" s="35"/>
      <c r="BJ991" s="35"/>
      <c r="BK991" s="35"/>
      <c r="BL991" s="35"/>
      <c r="BM991" s="35"/>
      <c r="BN991" s="35"/>
      <c r="BO991" s="35"/>
      <c r="BP991" s="35"/>
      <c r="BQ991" s="35"/>
      <c r="BR991" s="35"/>
      <c r="BS991" s="35"/>
      <c r="BT991" s="35"/>
      <c r="BU991" s="35"/>
      <c r="BV991" s="35"/>
      <c r="BW991" s="35"/>
      <c r="BX991" s="35"/>
      <c r="BY991" s="35"/>
      <c r="BZ991" s="35"/>
      <c r="CA991" s="35"/>
      <c r="CB991" s="35"/>
      <c r="CC991" s="35"/>
      <c r="CD991" s="35"/>
      <c r="CE991" s="35"/>
      <c r="CF991" s="35"/>
      <c r="CG991" s="35"/>
      <c r="CH991" s="35"/>
      <c r="CI991" s="35"/>
      <c r="CJ991" s="35"/>
      <c r="CK991" s="35"/>
      <c r="CL991" s="35"/>
      <c r="CM991" s="35"/>
      <c r="CN991" s="35"/>
      <c r="CO991" s="35"/>
      <c r="CP991" s="35"/>
      <c r="CQ991" s="35"/>
      <c r="CR991" s="35"/>
      <c r="CS991" s="35"/>
      <c r="CT991" s="35"/>
      <c r="CU991" s="35"/>
      <c r="CV991" s="35"/>
      <c r="CW991" s="35"/>
      <c r="CX991" s="35"/>
      <c r="CY991" s="35"/>
      <c r="CZ991" s="35"/>
      <c r="DA991" s="35"/>
      <c r="DB991" s="35"/>
      <c r="DC991" s="35"/>
      <c r="DD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  <c r="BA992" s="35"/>
      <c r="BB992" s="35"/>
      <c r="BC992" s="35"/>
      <c r="BD992" s="35"/>
      <c r="BE992" s="35"/>
      <c r="BF992" s="35"/>
      <c r="BG992" s="35"/>
      <c r="BH992" s="35"/>
      <c r="BI992" s="35"/>
      <c r="BJ992" s="35"/>
      <c r="BK992" s="35"/>
      <c r="BL992" s="35"/>
      <c r="BM992" s="35"/>
      <c r="BN992" s="35"/>
      <c r="BO992" s="35"/>
      <c r="BP992" s="35"/>
      <c r="BQ992" s="35"/>
      <c r="BR992" s="35"/>
      <c r="BS992" s="35"/>
      <c r="BT992" s="35"/>
      <c r="BU992" s="35"/>
      <c r="BV992" s="35"/>
      <c r="BW992" s="35"/>
      <c r="BX992" s="35"/>
      <c r="BY992" s="35"/>
      <c r="BZ992" s="35"/>
      <c r="CA992" s="35"/>
      <c r="CB992" s="35"/>
      <c r="CC992" s="35"/>
      <c r="CD992" s="35"/>
      <c r="CE992" s="35"/>
      <c r="CF992" s="35"/>
      <c r="CG992" s="35"/>
      <c r="CH992" s="35"/>
      <c r="CI992" s="35"/>
      <c r="CJ992" s="35"/>
      <c r="CK992" s="35"/>
      <c r="CL992" s="35"/>
      <c r="CM992" s="35"/>
      <c r="CN992" s="35"/>
      <c r="CO992" s="35"/>
      <c r="CP992" s="35"/>
      <c r="CQ992" s="35"/>
      <c r="CR992" s="35"/>
      <c r="CS992" s="35"/>
      <c r="CT992" s="35"/>
      <c r="CU992" s="35"/>
      <c r="CV992" s="35"/>
      <c r="CW992" s="35"/>
      <c r="CX992" s="35"/>
      <c r="CY992" s="35"/>
      <c r="CZ992" s="35"/>
      <c r="DA992" s="35"/>
      <c r="DB992" s="35"/>
      <c r="DC992" s="35"/>
      <c r="DD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  <c r="BU993" s="35"/>
      <c r="BV993" s="35"/>
      <c r="BW993" s="35"/>
      <c r="BX993" s="35"/>
      <c r="BY993" s="35"/>
      <c r="BZ993" s="35"/>
      <c r="CA993" s="35"/>
      <c r="CB993" s="35"/>
      <c r="CC993" s="35"/>
      <c r="CD993" s="35"/>
      <c r="CE993" s="35"/>
      <c r="CF993" s="35"/>
      <c r="CG993" s="35"/>
      <c r="CH993" s="35"/>
      <c r="CI993" s="35"/>
      <c r="CJ993" s="35"/>
      <c r="CK993" s="35"/>
      <c r="CL993" s="35"/>
      <c r="CM993" s="35"/>
      <c r="CN993" s="35"/>
      <c r="CO993" s="35"/>
      <c r="CP993" s="35"/>
      <c r="CQ993" s="35"/>
      <c r="CR993" s="35"/>
      <c r="CS993" s="35"/>
      <c r="CT993" s="35"/>
      <c r="CU993" s="35"/>
      <c r="CV993" s="35"/>
      <c r="CW993" s="35"/>
      <c r="CX993" s="35"/>
      <c r="CY993" s="35"/>
      <c r="CZ993" s="35"/>
      <c r="DA993" s="35"/>
      <c r="DB993" s="35"/>
      <c r="DC993" s="35"/>
      <c r="DD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  <c r="BA994" s="35"/>
      <c r="BB994" s="35"/>
      <c r="BC994" s="35"/>
      <c r="BD994" s="35"/>
      <c r="BE994" s="35"/>
      <c r="BF994" s="35"/>
      <c r="BG994" s="35"/>
      <c r="BH994" s="35"/>
      <c r="BI994" s="35"/>
      <c r="BJ994" s="35"/>
      <c r="BK994" s="35"/>
      <c r="BL994" s="35"/>
      <c r="BM994" s="35"/>
      <c r="BN994" s="35"/>
      <c r="BO994" s="35"/>
      <c r="BP994" s="35"/>
      <c r="BQ994" s="35"/>
      <c r="BR994" s="35"/>
      <c r="BS994" s="35"/>
      <c r="BT994" s="35"/>
      <c r="BU994" s="35"/>
      <c r="BV994" s="35"/>
      <c r="BW994" s="35"/>
      <c r="BX994" s="35"/>
      <c r="BY994" s="35"/>
      <c r="BZ994" s="35"/>
      <c r="CA994" s="35"/>
      <c r="CB994" s="35"/>
      <c r="CC994" s="35"/>
      <c r="CD994" s="35"/>
      <c r="CE994" s="35"/>
      <c r="CF994" s="35"/>
      <c r="CG994" s="35"/>
      <c r="CH994" s="35"/>
      <c r="CI994" s="35"/>
      <c r="CJ994" s="35"/>
      <c r="CK994" s="35"/>
      <c r="CL994" s="35"/>
      <c r="CM994" s="35"/>
      <c r="CN994" s="35"/>
      <c r="CO994" s="35"/>
      <c r="CP994" s="35"/>
      <c r="CQ994" s="35"/>
      <c r="CR994" s="35"/>
      <c r="CS994" s="35"/>
      <c r="CT994" s="35"/>
      <c r="CU994" s="35"/>
      <c r="CV994" s="35"/>
      <c r="CW994" s="35"/>
      <c r="CX994" s="35"/>
      <c r="CY994" s="35"/>
      <c r="CZ994" s="35"/>
      <c r="DA994" s="35"/>
      <c r="DB994" s="35"/>
      <c r="DC994" s="35"/>
      <c r="DD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  <c r="BA995" s="35"/>
      <c r="BB995" s="35"/>
      <c r="BC995" s="35"/>
      <c r="BD995" s="35"/>
      <c r="BE995" s="35"/>
      <c r="BF995" s="35"/>
      <c r="BG995" s="35"/>
      <c r="BH995" s="35"/>
      <c r="BI995" s="35"/>
      <c r="BJ995" s="35"/>
      <c r="BK995" s="35"/>
      <c r="BL995" s="35"/>
      <c r="BM995" s="35"/>
      <c r="BN995" s="35"/>
      <c r="BO995" s="35"/>
      <c r="BP995" s="35"/>
      <c r="BQ995" s="35"/>
      <c r="BR995" s="35"/>
      <c r="BS995" s="35"/>
      <c r="BT995" s="35"/>
      <c r="BU995" s="35"/>
      <c r="BV995" s="35"/>
      <c r="BW995" s="35"/>
      <c r="BX995" s="35"/>
      <c r="BY995" s="35"/>
      <c r="BZ995" s="35"/>
      <c r="CA995" s="35"/>
      <c r="CB995" s="35"/>
      <c r="CC995" s="35"/>
      <c r="CD995" s="35"/>
      <c r="CE995" s="35"/>
      <c r="CF995" s="35"/>
      <c r="CG995" s="35"/>
      <c r="CH995" s="35"/>
      <c r="CI995" s="35"/>
      <c r="CJ995" s="35"/>
      <c r="CK995" s="35"/>
      <c r="CL995" s="35"/>
      <c r="CM995" s="35"/>
      <c r="CN995" s="35"/>
      <c r="CO995" s="35"/>
      <c r="CP995" s="35"/>
      <c r="CQ995" s="35"/>
      <c r="CR995" s="35"/>
      <c r="CS995" s="35"/>
      <c r="CT995" s="35"/>
      <c r="CU995" s="35"/>
      <c r="CV995" s="35"/>
      <c r="CW995" s="35"/>
      <c r="CX995" s="35"/>
      <c r="CY995" s="35"/>
      <c r="CZ995" s="35"/>
      <c r="DA995" s="35"/>
      <c r="DB995" s="35"/>
      <c r="DC995" s="35"/>
      <c r="DD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  <c r="BA996" s="35"/>
      <c r="BB996" s="35"/>
      <c r="BC996" s="35"/>
      <c r="BD996" s="35"/>
      <c r="BE996" s="35"/>
      <c r="BF996" s="35"/>
      <c r="BG996" s="35"/>
      <c r="BH996" s="35"/>
      <c r="BI996" s="35"/>
      <c r="BJ996" s="35"/>
      <c r="BK996" s="35"/>
      <c r="BL996" s="35"/>
      <c r="BM996" s="35"/>
      <c r="BN996" s="35"/>
      <c r="BO996" s="35"/>
      <c r="BP996" s="35"/>
      <c r="BQ996" s="35"/>
      <c r="BR996" s="35"/>
      <c r="BS996" s="35"/>
      <c r="BT996" s="35"/>
      <c r="BU996" s="35"/>
      <c r="BV996" s="35"/>
      <c r="BW996" s="35"/>
      <c r="BX996" s="35"/>
      <c r="BY996" s="35"/>
      <c r="BZ996" s="35"/>
      <c r="CA996" s="35"/>
      <c r="CB996" s="35"/>
      <c r="CC996" s="35"/>
      <c r="CD996" s="35"/>
      <c r="CE996" s="35"/>
      <c r="CF996" s="35"/>
      <c r="CG996" s="35"/>
      <c r="CH996" s="35"/>
      <c r="CI996" s="35"/>
      <c r="CJ996" s="35"/>
      <c r="CK996" s="35"/>
      <c r="CL996" s="35"/>
      <c r="CM996" s="35"/>
      <c r="CN996" s="35"/>
      <c r="CO996" s="35"/>
      <c r="CP996" s="35"/>
      <c r="CQ996" s="35"/>
      <c r="CR996" s="35"/>
      <c r="CS996" s="35"/>
      <c r="CT996" s="35"/>
      <c r="CU996" s="35"/>
      <c r="CV996" s="35"/>
      <c r="CW996" s="35"/>
      <c r="CX996" s="35"/>
      <c r="CY996" s="35"/>
      <c r="CZ996" s="35"/>
      <c r="DA996" s="35"/>
      <c r="DB996" s="35"/>
      <c r="DC996" s="35"/>
      <c r="DD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  <c r="BA997" s="35"/>
      <c r="BB997" s="35"/>
      <c r="BC997" s="35"/>
      <c r="BD997" s="35"/>
      <c r="BE997" s="35"/>
      <c r="BF997" s="35"/>
      <c r="BG997" s="35"/>
      <c r="BH997" s="35"/>
      <c r="BI997" s="35"/>
      <c r="BJ997" s="35"/>
      <c r="BK997" s="35"/>
      <c r="BL997" s="35"/>
      <c r="BM997" s="35"/>
      <c r="BN997" s="35"/>
      <c r="BO997" s="35"/>
      <c r="BP997" s="35"/>
      <c r="BQ997" s="35"/>
      <c r="BR997" s="35"/>
      <c r="BS997" s="35"/>
      <c r="BT997" s="35"/>
      <c r="BU997" s="35"/>
      <c r="BV997" s="35"/>
      <c r="BW997" s="35"/>
      <c r="BX997" s="35"/>
      <c r="BY997" s="35"/>
      <c r="BZ997" s="35"/>
      <c r="CA997" s="35"/>
      <c r="CB997" s="35"/>
      <c r="CC997" s="35"/>
      <c r="CD997" s="35"/>
      <c r="CE997" s="35"/>
      <c r="CF997" s="35"/>
      <c r="CG997" s="35"/>
      <c r="CH997" s="35"/>
      <c r="CI997" s="35"/>
      <c r="CJ997" s="35"/>
      <c r="CK997" s="35"/>
      <c r="CL997" s="35"/>
      <c r="CM997" s="35"/>
      <c r="CN997" s="35"/>
      <c r="CO997" s="35"/>
      <c r="CP997" s="35"/>
      <c r="CQ997" s="35"/>
      <c r="CR997" s="35"/>
      <c r="CS997" s="35"/>
      <c r="CT997" s="35"/>
      <c r="CU997" s="35"/>
      <c r="CV997" s="35"/>
      <c r="CW997" s="35"/>
      <c r="CX997" s="35"/>
      <c r="CY997" s="35"/>
      <c r="CZ997" s="35"/>
      <c r="DA997" s="35"/>
      <c r="DB997" s="35"/>
      <c r="DC997" s="35"/>
      <c r="DD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  <c r="BA998" s="35"/>
      <c r="BB998" s="35"/>
      <c r="BC998" s="35"/>
      <c r="BD998" s="35"/>
      <c r="BE998" s="35"/>
      <c r="BF998" s="35"/>
      <c r="BG998" s="35"/>
      <c r="BH998" s="35"/>
      <c r="BI998" s="35"/>
      <c r="BJ998" s="35"/>
      <c r="BK998" s="35"/>
      <c r="BL998" s="35"/>
      <c r="BM998" s="35"/>
      <c r="BN998" s="35"/>
      <c r="BO998" s="35"/>
      <c r="BP998" s="35"/>
      <c r="BQ998" s="35"/>
      <c r="BR998" s="35"/>
      <c r="BS998" s="35"/>
      <c r="BT998" s="35"/>
      <c r="BU998" s="35"/>
      <c r="BV998" s="35"/>
      <c r="BW998" s="35"/>
      <c r="BX998" s="35"/>
      <c r="BY998" s="35"/>
      <c r="BZ998" s="35"/>
      <c r="CA998" s="35"/>
      <c r="CB998" s="35"/>
      <c r="CC998" s="35"/>
      <c r="CD998" s="35"/>
      <c r="CE998" s="35"/>
      <c r="CF998" s="35"/>
      <c r="CG998" s="35"/>
      <c r="CH998" s="35"/>
      <c r="CI998" s="35"/>
      <c r="CJ998" s="35"/>
      <c r="CK998" s="35"/>
      <c r="CL998" s="35"/>
      <c r="CM998" s="35"/>
      <c r="CN998" s="35"/>
      <c r="CO998" s="35"/>
      <c r="CP998" s="35"/>
      <c r="CQ998" s="35"/>
      <c r="CR998" s="35"/>
      <c r="CS998" s="35"/>
      <c r="CT998" s="35"/>
      <c r="CU998" s="35"/>
      <c r="CV998" s="35"/>
      <c r="CW998" s="35"/>
      <c r="CX998" s="35"/>
      <c r="CY998" s="35"/>
      <c r="CZ998" s="35"/>
      <c r="DA998" s="35"/>
      <c r="DB998" s="35"/>
      <c r="DC998" s="35"/>
      <c r="DD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  <c r="BA999" s="35"/>
      <c r="BB999" s="35"/>
      <c r="BC999" s="35"/>
      <c r="BD999" s="35"/>
      <c r="BE999" s="35"/>
      <c r="BF999" s="35"/>
      <c r="BG999" s="35"/>
      <c r="BH999" s="35"/>
      <c r="BI999" s="35"/>
      <c r="BJ999" s="35"/>
      <c r="BK999" s="35"/>
      <c r="BL999" s="35"/>
      <c r="BM999" s="35"/>
      <c r="BN999" s="35"/>
      <c r="BO999" s="35"/>
      <c r="BP999" s="35"/>
      <c r="BQ999" s="35"/>
      <c r="BR999" s="35"/>
      <c r="BS999" s="35"/>
      <c r="BT999" s="35"/>
      <c r="BU999" s="35"/>
      <c r="BV999" s="35"/>
      <c r="BW999" s="35"/>
      <c r="BX999" s="35"/>
      <c r="BY999" s="35"/>
      <c r="BZ999" s="35"/>
      <c r="CA999" s="35"/>
      <c r="CB999" s="35"/>
      <c r="CC999" s="35"/>
      <c r="CD999" s="35"/>
      <c r="CE999" s="35"/>
      <c r="CF999" s="35"/>
      <c r="CG999" s="35"/>
      <c r="CH999" s="35"/>
      <c r="CI999" s="35"/>
      <c r="CJ999" s="35"/>
      <c r="CK999" s="35"/>
      <c r="CL999" s="35"/>
      <c r="CM999" s="35"/>
      <c r="CN999" s="35"/>
      <c r="CO999" s="35"/>
      <c r="CP999" s="35"/>
      <c r="CQ999" s="35"/>
      <c r="CR999" s="35"/>
      <c r="CS999" s="35"/>
      <c r="CT999" s="35"/>
      <c r="CU999" s="35"/>
      <c r="CV999" s="35"/>
      <c r="CW999" s="35"/>
      <c r="CX999" s="35"/>
      <c r="CY999" s="35"/>
      <c r="CZ999" s="35"/>
      <c r="DA999" s="35"/>
      <c r="DB999" s="35"/>
      <c r="DC999" s="35"/>
      <c r="DD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  <c r="BA1000" s="35"/>
      <c r="BB1000" s="35"/>
      <c r="BC1000" s="35"/>
      <c r="BD1000" s="35"/>
      <c r="BE1000" s="35"/>
      <c r="BF1000" s="35"/>
      <c r="BG1000" s="35"/>
      <c r="BH1000" s="35"/>
      <c r="BI1000" s="35"/>
      <c r="BJ1000" s="35"/>
      <c r="BK1000" s="35"/>
      <c r="BL1000" s="35"/>
      <c r="BM1000" s="35"/>
      <c r="BN1000" s="35"/>
      <c r="BO1000" s="35"/>
      <c r="BP1000" s="35"/>
      <c r="BQ1000" s="35"/>
      <c r="BR1000" s="35"/>
      <c r="BS1000" s="35"/>
      <c r="BT1000" s="35"/>
      <c r="BU1000" s="35"/>
      <c r="BV1000" s="35"/>
      <c r="BW1000" s="35"/>
      <c r="BX1000" s="35"/>
      <c r="BY1000" s="35"/>
      <c r="BZ1000" s="35"/>
      <c r="CA1000" s="35"/>
      <c r="CB1000" s="35"/>
      <c r="CC1000" s="35"/>
      <c r="CD1000" s="35"/>
      <c r="CE1000" s="35"/>
      <c r="CF1000" s="35"/>
      <c r="CG1000" s="35"/>
      <c r="CH1000" s="35"/>
      <c r="CI1000" s="35"/>
      <c r="CJ1000" s="35"/>
      <c r="CK1000" s="35"/>
      <c r="CL1000" s="35"/>
      <c r="CM1000" s="35"/>
      <c r="CN1000" s="35"/>
      <c r="CO1000" s="35"/>
      <c r="CP1000" s="35"/>
      <c r="CQ1000" s="35"/>
      <c r="CR1000" s="35"/>
      <c r="CS1000" s="35"/>
      <c r="CT1000" s="35"/>
      <c r="CU1000" s="35"/>
      <c r="CV1000" s="35"/>
      <c r="CW1000" s="35"/>
      <c r="CX1000" s="35"/>
      <c r="CY1000" s="35"/>
      <c r="CZ1000" s="35"/>
      <c r="DA1000" s="35"/>
      <c r="DB1000" s="35"/>
      <c r="DC1000" s="35"/>
      <c r="DD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8" t="s">
        <v>2702</v>
      </c>
      <c r="B1" s="9" t="s">
        <v>2703</v>
      </c>
      <c r="C1" s="9" t="s">
        <v>2704</v>
      </c>
      <c r="D1" s="10" t="s">
        <v>2705</v>
      </c>
      <c r="E1" s="11" t="s">
        <v>2706</v>
      </c>
      <c r="F1" s="12" t="s">
        <v>2707</v>
      </c>
      <c r="G1" s="13" t="s">
        <v>2708</v>
      </c>
      <c r="H1" s="14" t="s">
        <v>2709</v>
      </c>
      <c r="I1" s="14" t="s">
        <v>0</v>
      </c>
      <c r="J1" s="13" t="s">
        <v>2477</v>
      </c>
    </row>
    <row r="2">
      <c r="A2" s="15" t="s">
        <v>2710</v>
      </c>
      <c r="B2" s="16">
        <v>45078.0</v>
      </c>
      <c r="C2" s="17">
        <v>45079.0</v>
      </c>
      <c r="D2" s="18">
        <v>5.0</v>
      </c>
      <c r="E2" s="19">
        <v>3.0</v>
      </c>
      <c r="F2" s="20">
        <v>16000.0</v>
      </c>
      <c r="G2" s="21" t="s">
        <v>2711</v>
      </c>
      <c r="H2" s="19">
        <v>5.0</v>
      </c>
      <c r="I2" s="21" t="s">
        <v>482</v>
      </c>
      <c r="J2" s="22" t="s">
        <v>2532</v>
      </c>
    </row>
    <row r="3">
      <c r="A3" s="15" t="s">
        <v>2712</v>
      </c>
      <c r="B3" s="16">
        <v>45078.0</v>
      </c>
      <c r="C3" s="17">
        <v>45080.0</v>
      </c>
      <c r="D3" s="18">
        <v>15.0</v>
      </c>
      <c r="E3" s="19">
        <v>4.0</v>
      </c>
      <c r="F3" s="20">
        <v>22500.0</v>
      </c>
      <c r="G3" s="21" t="s">
        <v>2711</v>
      </c>
      <c r="H3" s="19">
        <v>5.0</v>
      </c>
      <c r="I3" s="21" t="s">
        <v>910</v>
      </c>
      <c r="J3" s="22" t="s">
        <v>2501</v>
      </c>
      <c r="K3" s="23"/>
    </row>
    <row r="4">
      <c r="A4" s="15" t="s">
        <v>2713</v>
      </c>
      <c r="B4" s="16">
        <v>45078.0</v>
      </c>
      <c r="C4" s="17">
        <v>45083.0</v>
      </c>
      <c r="D4" s="18">
        <v>8.0</v>
      </c>
      <c r="E4" s="19">
        <v>4.0</v>
      </c>
      <c r="F4" s="20">
        <v>18000.0</v>
      </c>
      <c r="G4" s="21" t="s">
        <v>2711</v>
      </c>
      <c r="H4" s="19">
        <v>5.0</v>
      </c>
      <c r="I4" s="21" t="s">
        <v>158</v>
      </c>
      <c r="J4" s="22" t="s">
        <v>2637</v>
      </c>
      <c r="K4" s="23"/>
    </row>
    <row r="5">
      <c r="A5" s="15" t="s">
        <v>2714</v>
      </c>
      <c r="B5" s="16">
        <v>45078.0</v>
      </c>
      <c r="C5" s="17">
        <v>45079.0</v>
      </c>
      <c r="D5" s="18">
        <v>4.0</v>
      </c>
      <c r="E5" s="19">
        <v>2.0</v>
      </c>
      <c r="F5" s="20">
        <v>14000.0</v>
      </c>
      <c r="G5" s="24" t="s">
        <v>2711</v>
      </c>
      <c r="H5" s="19">
        <v>3.0</v>
      </c>
      <c r="I5" s="21" t="s">
        <v>648</v>
      </c>
      <c r="J5" s="22" t="s">
        <v>2682</v>
      </c>
      <c r="K5" s="23"/>
    </row>
    <row r="6">
      <c r="A6" s="15" t="s">
        <v>2715</v>
      </c>
      <c r="B6" s="16">
        <v>45078.0</v>
      </c>
      <c r="C6" s="17">
        <v>45079.0</v>
      </c>
      <c r="D6" s="18">
        <v>60.0</v>
      </c>
      <c r="E6" s="19">
        <v>24.0</v>
      </c>
      <c r="F6" s="20">
        <v>76000.0</v>
      </c>
      <c r="G6" s="21" t="s">
        <v>2711</v>
      </c>
      <c r="H6" s="19">
        <v>5.0</v>
      </c>
      <c r="I6" s="21" t="s">
        <v>1854</v>
      </c>
      <c r="J6" s="22" t="s">
        <v>2552</v>
      </c>
      <c r="K6" s="23"/>
    </row>
    <row r="7">
      <c r="A7" s="15" t="s">
        <v>2716</v>
      </c>
      <c r="B7" s="16">
        <v>45078.0</v>
      </c>
      <c r="C7" s="17">
        <v>45080.0</v>
      </c>
      <c r="D7" s="18">
        <v>7.0</v>
      </c>
      <c r="E7" s="19">
        <v>10.0</v>
      </c>
      <c r="F7" s="20">
        <v>30000.0</v>
      </c>
      <c r="G7" s="21" t="s">
        <v>2711</v>
      </c>
      <c r="H7" s="19">
        <v>5.0</v>
      </c>
      <c r="I7" s="21" t="s">
        <v>170</v>
      </c>
      <c r="J7" s="22" t="s">
        <v>2662</v>
      </c>
      <c r="K7" s="23"/>
    </row>
    <row r="8">
      <c r="A8" s="15" t="s">
        <v>2717</v>
      </c>
      <c r="B8" s="16">
        <v>45078.0</v>
      </c>
      <c r="C8" s="17">
        <v>45081.0</v>
      </c>
      <c r="D8" s="18">
        <v>17.0</v>
      </c>
      <c r="E8" s="19">
        <v>4.0</v>
      </c>
      <c r="F8" s="20">
        <v>23100.0</v>
      </c>
      <c r="G8" s="21" t="s">
        <v>2711</v>
      </c>
      <c r="H8" s="19">
        <v>5.0</v>
      </c>
      <c r="I8" s="21" t="s">
        <v>214</v>
      </c>
      <c r="J8" s="22" t="s">
        <v>2627</v>
      </c>
      <c r="K8" s="23"/>
    </row>
    <row r="9">
      <c r="A9" s="15" t="s">
        <v>2718</v>
      </c>
      <c r="B9" s="16">
        <v>45078.0</v>
      </c>
      <c r="C9" s="17">
        <v>45082.0</v>
      </c>
      <c r="D9" s="18">
        <v>36.0</v>
      </c>
      <c r="E9" s="19">
        <v>17.0</v>
      </c>
      <c r="F9" s="20">
        <v>54800.0</v>
      </c>
      <c r="G9" s="21" t="s">
        <v>2711</v>
      </c>
      <c r="H9" s="19">
        <v>5.0</v>
      </c>
      <c r="I9" s="21" t="s">
        <v>1236</v>
      </c>
      <c r="J9" s="22" t="s">
        <v>2552</v>
      </c>
      <c r="K9" s="25"/>
    </row>
    <row r="10">
      <c r="A10" s="15" t="s">
        <v>2719</v>
      </c>
      <c r="B10" s="16">
        <v>45078.0</v>
      </c>
      <c r="C10" s="17">
        <v>45081.0</v>
      </c>
      <c r="D10" s="18">
        <v>1.0</v>
      </c>
      <c r="E10" s="19">
        <v>3.0</v>
      </c>
      <c r="F10" s="20">
        <v>16000.0</v>
      </c>
      <c r="G10" s="21" t="s">
        <v>2711</v>
      </c>
      <c r="H10" s="19">
        <v>4.0</v>
      </c>
      <c r="I10" s="21" t="s">
        <v>1208</v>
      </c>
      <c r="J10" s="22" t="s">
        <v>2582</v>
      </c>
    </row>
    <row r="11">
      <c r="A11" s="15" t="s">
        <v>2720</v>
      </c>
      <c r="B11" s="16">
        <v>45078.0</v>
      </c>
      <c r="C11" s="17">
        <v>45081.0</v>
      </c>
      <c r="D11" s="18">
        <v>3.0</v>
      </c>
      <c r="E11" s="19">
        <v>2.0</v>
      </c>
      <c r="F11" s="20">
        <v>14000.0</v>
      </c>
      <c r="G11" s="21" t="s">
        <v>2711</v>
      </c>
      <c r="H11" s="19">
        <v>5.0</v>
      </c>
      <c r="I11" s="21" t="s">
        <v>704</v>
      </c>
      <c r="J11" s="22" t="s">
        <v>2687</v>
      </c>
    </row>
    <row r="12">
      <c r="A12" s="15" t="s">
        <v>2721</v>
      </c>
      <c r="B12" s="16">
        <v>45078.0</v>
      </c>
      <c r="C12" s="17">
        <v>45082.0</v>
      </c>
      <c r="D12" s="18">
        <v>76.0</v>
      </c>
      <c r="E12" s="19">
        <v>24.0</v>
      </c>
      <c r="F12" s="20">
        <v>80800.0</v>
      </c>
      <c r="G12" s="21" t="s">
        <v>2711</v>
      </c>
      <c r="H12" s="19">
        <v>4.0</v>
      </c>
      <c r="I12" s="21" t="s">
        <v>1410</v>
      </c>
      <c r="J12" s="22" t="s">
        <v>2552</v>
      </c>
    </row>
    <row r="13">
      <c r="A13" s="15" t="s">
        <v>2722</v>
      </c>
      <c r="B13" s="16">
        <v>45078.0</v>
      </c>
      <c r="C13" s="17">
        <v>45083.0</v>
      </c>
      <c r="D13" s="18">
        <v>5.0</v>
      </c>
      <c r="E13" s="19">
        <v>1.0</v>
      </c>
      <c r="F13" s="20">
        <v>12000.0</v>
      </c>
      <c r="G13" s="21" t="s">
        <v>2711</v>
      </c>
      <c r="H13" s="19">
        <v>4.0</v>
      </c>
      <c r="I13" s="21" t="s">
        <v>86</v>
      </c>
      <c r="J13" s="22" t="s">
        <v>2617</v>
      </c>
    </row>
    <row r="14">
      <c r="A14" s="15" t="s">
        <v>2723</v>
      </c>
      <c r="B14" s="16">
        <v>45078.0</v>
      </c>
      <c r="C14" s="17">
        <v>45080.0</v>
      </c>
      <c r="D14" s="18">
        <v>21.0</v>
      </c>
      <c r="E14" s="19">
        <v>20.0</v>
      </c>
      <c r="F14" s="20">
        <v>56300.0</v>
      </c>
      <c r="G14" s="21" t="s">
        <v>2711</v>
      </c>
      <c r="H14" s="19">
        <v>5.0</v>
      </c>
      <c r="I14" s="21" t="s">
        <v>498</v>
      </c>
      <c r="J14" s="22" t="s">
        <v>2552</v>
      </c>
    </row>
    <row r="15">
      <c r="A15" s="15" t="s">
        <v>2724</v>
      </c>
      <c r="B15" s="16">
        <v>45078.0</v>
      </c>
      <c r="C15" s="17">
        <v>45081.0</v>
      </c>
      <c r="D15" s="18">
        <v>1.0</v>
      </c>
      <c r="E15" s="19">
        <v>1.0</v>
      </c>
      <c r="F15" s="20">
        <v>12000.0</v>
      </c>
      <c r="G15" s="21" t="s">
        <v>2711</v>
      </c>
      <c r="H15" s="19">
        <v>5.0</v>
      </c>
      <c r="I15" s="21" t="s">
        <v>234</v>
      </c>
      <c r="J15" s="22" t="s">
        <v>2692</v>
      </c>
    </row>
    <row r="16">
      <c r="A16" s="15" t="s">
        <v>2725</v>
      </c>
      <c r="B16" s="16">
        <v>45078.0</v>
      </c>
      <c r="C16" s="17">
        <v>45081.0</v>
      </c>
      <c r="D16" s="18">
        <v>61.0</v>
      </c>
      <c r="E16" s="19">
        <v>12.0</v>
      </c>
      <c r="F16" s="20">
        <v>52300.0</v>
      </c>
      <c r="G16" s="21" t="s">
        <v>2711</v>
      </c>
      <c r="H16" s="19">
        <v>5.0</v>
      </c>
      <c r="I16" s="21" t="s">
        <v>819</v>
      </c>
      <c r="J16" s="22" t="s">
        <v>2552</v>
      </c>
    </row>
    <row r="17">
      <c r="A17" s="15" t="s">
        <v>2726</v>
      </c>
      <c r="B17" s="16">
        <v>45078.0</v>
      </c>
      <c r="C17" s="17">
        <v>45081.0</v>
      </c>
      <c r="D17" s="18">
        <v>6.0</v>
      </c>
      <c r="E17" s="19">
        <v>2.0</v>
      </c>
      <c r="F17" s="20">
        <v>14000.0</v>
      </c>
      <c r="G17" s="21" t="s">
        <v>2711</v>
      </c>
      <c r="H17" s="19">
        <v>4.0</v>
      </c>
      <c r="I17" s="21" t="s">
        <v>2152</v>
      </c>
      <c r="J17" s="22" t="s">
        <v>2582</v>
      </c>
    </row>
    <row r="18">
      <c r="A18" s="15" t="s">
        <v>2727</v>
      </c>
      <c r="B18" s="16">
        <v>45078.0</v>
      </c>
      <c r="C18" s="17">
        <v>45080.0</v>
      </c>
      <c r="D18" s="18">
        <v>3.0</v>
      </c>
      <c r="E18" s="19">
        <v>2.0</v>
      </c>
      <c r="F18" s="20">
        <v>14000.0</v>
      </c>
      <c r="G18" s="21" t="s">
        <v>2711</v>
      </c>
      <c r="H18" s="19">
        <v>5.0</v>
      </c>
      <c r="I18" s="21" t="s">
        <v>1363</v>
      </c>
      <c r="J18" s="22" t="s">
        <v>2612</v>
      </c>
    </row>
    <row r="19">
      <c r="A19" s="15" t="s">
        <v>2728</v>
      </c>
      <c r="B19" s="16">
        <v>45078.0</v>
      </c>
      <c r="C19" s="17">
        <v>45082.0</v>
      </c>
      <c r="D19" s="18">
        <v>33.0</v>
      </c>
      <c r="E19" s="19">
        <v>22.0</v>
      </c>
      <c r="F19" s="20">
        <v>63900.0</v>
      </c>
      <c r="G19" s="21" t="s">
        <v>2711</v>
      </c>
      <c r="H19" s="19">
        <v>4.0</v>
      </c>
      <c r="I19" s="21" t="s">
        <v>302</v>
      </c>
      <c r="J19" s="22" t="s">
        <v>2552</v>
      </c>
    </row>
    <row r="20">
      <c r="A20" s="15" t="s">
        <v>2729</v>
      </c>
      <c r="B20" s="16">
        <v>45078.0</v>
      </c>
      <c r="C20" s="17">
        <v>45081.0</v>
      </c>
      <c r="D20" s="18">
        <v>5.0</v>
      </c>
      <c r="E20" s="19">
        <v>1.0</v>
      </c>
      <c r="F20" s="20">
        <v>12000.0</v>
      </c>
      <c r="G20" s="21" t="s">
        <v>2711</v>
      </c>
      <c r="H20" s="19">
        <v>4.0</v>
      </c>
      <c r="I20" s="21" t="s">
        <v>1969</v>
      </c>
      <c r="J20" s="22" t="s">
        <v>2496</v>
      </c>
    </row>
    <row r="21">
      <c r="A21" s="15" t="s">
        <v>2730</v>
      </c>
      <c r="B21" s="16">
        <v>45078.0</v>
      </c>
      <c r="C21" s="17">
        <v>45081.0</v>
      </c>
      <c r="D21" s="18">
        <v>60.0</v>
      </c>
      <c r="E21" s="19">
        <v>18.0</v>
      </c>
      <c r="F21" s="20">
        <v>64000.0</v>
      </c>
      <c r="G21" s="21" t="s">
        <v>2711</v>
      </c>
      <c r="H21" s="19">
        <v>4.0</v>
      </c>
      <c r="I21" s="21" t="s">
        <v>2350</v>
      </c>
      <c r="J21" s="22" t="s">
        <v>2552</v>
      </c>
    </row>
    <row r="22">
      <c r="A22" s="15" t="s">
        <v>2731</v>
      </c>
      <c r="B22" s="16">
        <v>45078.0</v>
      </c>
      <c r="C22" s="17">
        <v>45079.0</v>
      </c>
      <c r="D22" s="18">
        <v>6.0</v>
      </c>
      <c r="E22" s="19">
        <v>2.0</v>
      </c>
      <c r="F22" s="20">
        <v>14000.0</v>
      </c>
      <c r="G22" s="21" t="s">
        <v>2711</v>
      </c>
      <c r="H22" s="19">
        <v>5.0</v>
      </c>
      <c r="I22" s="21" t="s">
        <v>202</v>
      </c>
      <c r="J22" s="22" t="s">
        <v>2582</v>
      </c>
    </row>
    <row r="23">
      <c r="A23" s="15" t="s">
        <v>2732</v>
      </c>
      <c r="B23" s="16">
        <v>45078.0</v>
      </c>
      <c r="C23" s="17">
        <v>45083.0</v>
      </c>
      <c r="D23" s="18">
        <v>11.0</v>
      </c>
      <c r="E23" s="19">
        <v>9.0</v>
      </c>
      <c r="F23" s="20">
        <v>28000.0</v>
      </c>
      <c r="G23" s="21" t="s">
        <v>2711</v>
      </c>
      <c r="H23" s="19">
        <v>5.0</v>
      </c>
      <c r="I23" s="21" t="s">
        <v>1997</v>
      </c>
      <c r="J23" s="22" t="s">
        <v>2537</v>
      </c>
    </row>
    <row r="24">
      <c r="A24" s="15" t="s">
        <v>2733</v>
      </c>
      <c r="B24" s="16">
        <v>45078.0</v>
      </c>
      <c r="C24" s="17">
        <v>45079.0</v>
      </c>
      <c r="D24" s="18">
        <v>6.0</v>
      </c>
      <c r="E24" s="19">
        <v>3.0</v>
      </c>
      <c r="F24" s="20">
        <v>16000.0</v>
      </c>
      <c r="G24" s="21" t="s">
        <v>2711</v>
      </c>
      <c r="H24" s="19">
        <v>5.0</v>
      </c>
      <c r="I24" s="21" t="s">
        <v>2290</v>
      </c>
      <c r="J24" s="22" t="s">
        <v>2532</v>
      </c>
    </row>
    <row r="25">
      <c r="A25" s="15" t="s">
        <v>2734</v>
      </c>
      <c r="B25" s="16">
        <v>45078.0</v>
      </c>
      <c r="C25" s="17">
        <v>45081.0</v>
      </c>
      <c r="D25" s="18">
        <v>17.0</v>
      </c>
      <c r="E25" s="19">
        <v>8.0</v>
      </c>
      <c r="F25" s="20">
        <v>31100.0</v>
      </c>
      <c r="G25" s="21" t="s">
        <v>2711</v>
      </c>
      <c r="H25" s="19">
        <v>5.0</v>
      </c>
      <c r="I25" s="21" t="s">
        <v>1740</v>
      </c>
      <c r="J25" s="22" t="s">
        <v>2667</v>
      </c>
    </row>
    <row r="26">
      <c r="A26" s="15" t="s">
        <v>2735</v>
      </c>
      <c r="B26" s="16">
        <v>45078.0</v>
      </c>
      <c r="C26" s="17">
        <v>45083.0</v>
      </c>
      <c r="D26" s="18">
        <v>6.0</v>
      </c>
      <c r="E26" s="19">
        <v>1.0</v>
      </c>
      <c r="F26" s="20">
        <v>12000.0</v>
      </c>
      <c r="G26" s="21" t="s">
        <v>2711</v>
      </c>
      <c r="H26" s="19">
        <v>5.0</v>
      </c>
      <c r="I26" s="21" t="s">
        <v>10</v>
      </c>
      <c r="J26" s="22" t="s">
        <v>2506</v>
      </c>
    </row>
    <row r="27">
      <c r="A27" s="15" t="s">
        <v>2736</v>
      </c>
      <c r="B27" s="16">
        <v>45078.0</v>
      </c>
      <c r="C27" s="17">
        <v>45081.0</v>
      </c>
      <c r="D27" s="18">
        <v>2.0</v>
      </c>
      <c r="E27" s="19">
        <v>2.0</v>
      </c>
      <c r="F27" s="20">
        <v>14000.0</v>
      </c>
      <c r="G27" s="21" t="s">
        <v>2711</v>
      </c>
      <c r="H27" s="19">
        <v>4.0</v>
      </c>
      <c r="I27" s="21" t="s">
        <v>830</v>
      </c>
      <c r="J27" s="22" t="s">
        <v>2592</v>
      </c>
    </row>
    <row r="28">
      <c r="A28" s="15" t="s">
        <v>2737</v>
      </c>
      <c r="B28" s="16">
        <v>45078.0</v>
      </c>
      <c r="C28" s="17">
        <v>45080.0</v>
      </c>
      <c r="D28" s="18">
        <v>5.0</v>
      </c>
      <c r="E28" s="19">
        <v>2.0</v>
      </c>
      <c r="F28" s="20">
        <v>14000.0</v>
      </c>
      <c r="G28" s="21" t="s">
        <v>2711</v>
      </c>
      <c r="H28" s="19">
        <v>5.0</v>
      </c>
      <c r="I28" s="21" t="s">
        <v>442</v>
      </c>
      <c r="J28" s="22" t="s">
        <v>2617</v>
      </c>
    </row>
    <row r="29">
      <c r="A29" s="15" t="s">
        <v>2738</v>
      </c>
      <c r="B29" s="17">
        <v>45078.0</v>
      </c>
      <c r="C29" s="17">
        <f>B29 + RANDBETWEEN(1,5)</f>
        <v>45079</v>
      </c>
      <c r="D29" s="18">
        <v>13.0</v>
      </c>
      <c r="E29" s="19">
        <v>6.0</v>
      </c>
      <c r="F29" s="20">
        <v>22000.0</v>
      </c>
      <c r="G29" s="21" t="s">
        <v>2711</v>
      </c>
      <c r="H29" s="19">
        <v>4.0</v>
      </c>
      <c r="I29" s="21" t="s">
        <v>1180</v>
      </c>
      <c r="J29" s="22" t="s">
        <v>2484</v>
      </c>
    </row>
    <row r="30">
      <c r="A30" s="15" t="s">
        <v>2739</v>
      </c>
      <c r="B30" s="16">
        <v>45078.0</v>
      </c>
      <c r="C30" s="17">
        <v>45081.0</v>
      </c>
      <c r="D30" s="18">
        <v>4.0</v>
      </c>
      <c r="E30" s="19">
        <v>2.0</v>
      </c>
      <c r="F30" s="20">
        <v>14000.0</v>
      </c>
      <c r="G30" s="21" t="s">
        <v>2711</v>
      </c>
      <c r="H30" s="19">
        <v>4.0</v>
      </c>
      <c r="I30" s="21" t="s">
        <v>1021</v>
      </c>
      <c r="J30" s="22" t="s">
        <v>2602</v>
      </c>
    </row>
    <row r="31">
      <c r="A31" s="15" t="s">
        <v>2740</v>
      </c>
      <c r="B31" s="17">
        <v>45078.0</v>
      </c>
      <c r="C31" s="17">
        <f>B31 + RANDBETWEEN(1,5)</f>
        <v>45080</v>
      </c>
      <c r="D31" s="18">
        <v>1.0</v>
      </c>
      <c r="E31" s="19">
        <v>2.0</v>
      </c>
      <c r="F31" s="20">
        <v>14000.0</v>
      </c>
      <c r="G31" s="21" t="s">
        <v>2711</v>
      </c>
      <c r="H31" s="19">
        <v>5.0</v>
      </c>
      <c r="I31" s="21" t="s">
        <v>1145</v>
      </c>
      <c r="J31" s="22" t="s">
        <v>2687</v>
      </c>
    </row>
    <row r="32">
      <c r="A32" s="15" t="s">
        <v>2741</v>
      </c>
      <c r="B32" s="16">
        <v>45079.0</v>
      </c>
      <c r="C32" s="17">
        <v>45080.0</v>
      </c>
      <c r="D32" s="18">
        <v>2.0</v>
      </c>
      <c r="E32" s="19">
        <v>1.0</v>
      </c>
      <c r="F32" s="20">
        <v>12000.0</v>
      </c>
      <c r="G32" s="21" t="s">
        <v>2711</v>
      </c>
      <c r="H32" s="19">
        <v>5.0</v>
      </c>
      <c r="I32" s="21" t="s">
        <v>688</v>
      </c>
      <c r="J32" s="22" t="s">
        <v>2692</v>
      </c>
    </row>
    <row r="33">
      <c r="A33" s="15" t="s">
        <v>2742</v>
      </c>
      <c r="B33" s="16">
        <v>45079.0</v>
      </c>
      <c r="C33" s="17">
        <v>45082.0</v>
      </c>
      <c r="D33" s="18">
        <v>8.0</v>
      </c>
      <c r="E33" s="19">
        <v>7.0</v>
      </c>
      <c r="F33" s="20">
        <v>24000.0</v>
      </c>
      <c r="G33" s="21" t="s">
        <v>2711</v>
      </c>
      <c r="H33" s="19">
        <v>4.0</v>
      </c>
      <c r="I33" s="21" t="s">
        <v>2346</v>
      </c>
      <c r="J33" s="22" t="s">
        <v>2672</v>
      </c>
    </row>
    <row r="34">
      <c r="A34" s="15" t="s">
        <v>2743</v>
      </c>
      <c r="B34" s="16">
        <v>45079.0</v>
      </c>
      <c r="C34" s="17">
        <v>45084.0</v>
      </c>
      <c r="D34" s="18">
        <v>6.0</v>
      </c>
      <c r="E34" s="19">
        <v>3.0</v>
      </c>
      <c r="F34" s="20">
        <v>16000.0</v>
      </c>
      <c r="G34" s="21" t="s">
        <v>2711</v>
      </c>
      <c r="H34" s="19">
        <v>5.0</v>
      </c>
      <c r="I34" s="21" t="s">
        <v>640</v>
      </c>
      <c r="J34" s="22" t="s">
        <v>2612</v>
      </c>
    </row>
    <row r="35">
      <c r="A35" s="15" t="s">
        <v>2744</v>
      </c>
      <c r="B35" s="16">
        <v>45079.0</v>
      </c>
      <c r="C35" s="17">
        <v>45084.0</v>
      </c>
      <c r="D35" s="18">
        <v>4.0</v>
      </c>
      <c r="E35" s="19">
        <v>2.0</v>
      </c>
      <c r="F35" s="20">
        <v>14000.0</v>
      </c>
      <c r="G35" s="21" t="s">
        <v>2711</v>
      </c>
      <c r="H35" s="19">
        <v>5.0</v>
      </c>
      <c r="I35" s="21" t="s">
        <v>2377</v>
      </c>
      <c r="J35" s="22" t="s">
        <v>2647</v>
      </c>
    </row>
    <row r="36">
      <c r="A36" s="15" t="s">
        <v>2745</v>
      </c>
      <c r="B36" s="16">
        <v>45079.0</v>
      </c>
      <c r="C36" s="17">
        <v>45080.0</v>
      </c>
      <c r="D36" s="18">
        <v>5.0</v>
      </c>
      <c r="E36" s="19">
        <v>3.0</v>
      </c>
      <c r="F36" s="20">
        <v>16000.0</v>
      </c>
      <c r="G36" s="21" t="s">
        <v>2711</v>
      </c>
      <c r="H36" s="19">
        <v>4.0</v>
      </c>
      <c r="I36" s="21" t="s">
        <v>660</v>
      </c>
      <c r="J36" s="22" t="s">
        <v>2547</v>
      </c>
    </row>
    <row r="37">
      <c r="A37" s="15" t="s">
        <v>2746</v>
      </c>
      <c r="B37" s="17">
        <v>45079.0</v>
      </c>
      <c r="C37" s="17">
        <f>B37 + RANDBETWEEN(1,5)</f>
        <v>45081</v>
      </c>
      <c r="D37" s="18">
        <v>14.0</v>
      </c>
      <c r="E37" s="19">
        <v>10.0</v>
      </c>
      <c r="F37" s="20">
        <v>30000.0</v>
      </c>
      <c r="G37" s="21" t="s">
        <v>2747</v>
      </c>
      <c r="H37" s="21"/>
      <c r="I37" s="21" t="s">
        <v>374</v>
      </c>
      <c r="J37" s="22" t="s">
        <v>2637</v>
      </c>
    </row>
    <row r="38">
      <c r="A38" s="15" t="s">
        <v>2748</v>
      </c>
      <c r="B38" s="16">
        <v>45079.0</v>
      </c>
      <c r="C38" s="17">
        <v>45084.0</v>
      </c>
      <c r="D38" s="18">
        <v>14.0</v>
      </c>
      <c r="E38" s="19">
        <v>4.0</v>
      </c>
      <c r="F38" s="20">
        <v>18000.0</v>
      </c>
      <c r="G38" s="21" t="s">
        <v>2711</v>
      </c>
      <c r="H38" s="19">
        <v>5.0</v>
      </c>
      <c r="I38" s="21" t="s">
        <v>34</v>
      </c>
      <c r="J38" s="22" t="s">
        <v>2607</v>
      </c>
    </row>
    <row r="39">
      <c r="A39" s="15" t="s">
        <v>2749</v>
      </c>
      <c r="B39" s="16">
        <v>45079.0</v>
      </c>
      <c r="C39" s="17">
        <v>45084.0</v>
      </c>
      <c r="D39" s="18">
        <v>9.0</v>
      </c>
      <c r="E39" s="19">
        <v>5.0</v>
      </c>
      <c r="F39" s="20">
        <v>20000.0</v>
      </c>
      <c r="G39" s="21" t="s">
        <v>2711</v>
      </c>
      <c r="H39" s="19">
        <v>3.0</v>
      </c>
      <c r="I39" s="21" t="s">
        <v>1129</v>
      </c>
      <c r="J39" s="22" t="s">
        <v>2667</v>
      </c>
    </row>
    <row r="40">
      <c r="A40" s="15" t="s">
        <v>2750</v>
      </c>
      <c r="B40" s="16">
        <v>45079.0</v>
      </c>
      <c r="C40" s="17">
        <v>45082.0</v>
      </c>
      <c r="D40" s="18">
        <v>10.0</v>
      </c>
      <c r="E40" s="19">
        <v>6.0</v>
      </c>
      <c r="F40" s="20">
        <v>22000.0</v>
      </c>
      <c r="G40" s="21" t="s">
        <v>2711</v>
      </c>
      <c r="H40" s="19">
        <v>5.0</v>
      </c>
      <c r="I40" s="21" t="s">
        <v>318</v>
      </c>
      <c r="J40" s="22" t="s">
        <v>2537</v>
      </c>
    </row>
    <row r="41">
      <c r="A41" s="15" t="s">
        <v>2751</v>
      </c>
      <c r="B41" s="16">
        <v>45079.0</v>
      </c>
      <c r="C41" s="17">
        <v>45080.0</v>
      </c>
      <c r="D41" s="18">
        <v>56.0</v>
      </c>
      <c r="E41" s="19">
        <v>12.0</v>
      </c>
      <c r="F41" s="20">
        <v>50800.0</v>
      </c>
      <c r="G41" s="21" t="s">
        <v>2711</v>
      </c>
      <c r="H41" s="19">
        <v>5.0</v>
      </c>
      <c r="I41" s="21" t="s">
        <v>585</v>
      </c>
      <c r="J41" s="22" t="s">
        <v>2657</v>
      </c>
    </row>
    <row r="42">
      <c r="A42" s="15" t="s">
        <v>2752</v>
      </c>
      <c r="B42" s="16">
        <v>45079.0</v>
      </c>
      <c r="C42" s="17">
        <v>45081.0</v>
      </c>
      <c r="D42" s="18">
        <v>6.0</v>
      </c>
      <c r="E42" s="19">
        <v>1.0</v>
      </c>
      <c r="F42" s="20">
        <v>12000.0</v>
      </c>
      <c r="G42" s="21" t="s">
        <v>2711</v>
      </c>
      <c r="H42" s="19">
        <v>4.0</v>
      </c>
      <c r="I42" s="21" t="s">
        <v>549</v>
      </c>
      <c r="J42" s="22" t="s">
        <v>2687</v>
      </c>
    </row>
    <row r="43">
      <c r="A43" s="15" t="s">
        <v>2753</v>
      </c>
      <c r="B43" s="16">
        <v>45079.0</v>
      </c>
      <c r="C43" s="17">
        <v>45080.0</v>
      </c>
      <c r="D43" s="18">
        <v>5.0</v>
      </c>
      <c r="E43" s="19">
        <v>3.0</v>
      </c>
      <c r="F43" s="20">
        <v>16000.0</v>
      </c>
      <c r="G43" s="21" t="s">
        <v>2711</v>
      </c>
      <c r="H43" s="19">
        <v>4.0</v>
      </c>
      <c r="I43" s="21" t="s">
        <v>926</v>
      </c>
      <c r="J43" s="22" t="s">
        <v>2572</v>
      </c>
    </row>
    <row r="44">
      <c r="A44" s="15" t="s">
        <v>2754</v>
      </c>
      <c r="B44" s="16">
        <v>45079.0</v>
      </c>
      <c r="C44" s="17">
        <v>45082.0</v>
      </c>
      <c r="D44" s="18">
        <v>3.0</v>
      </c>
      <c r="E44" s="19">
        <v>1.0</v>
      </c>
      <c r="F44" s="20">
        <v>12000.0</v>
      </c>
      <c r="G44" s="21" t="s">
        <v>2711</v>
      </c>
      <c r="H44" s="19">
        <v>4.0</v>
      </c>
      <c r="I44" s="21" t="s">
        <v>989</v>
      </c>
      <c r="J44" s="22" t="s">
        <v>2557</v>
      </c>
    </row>
    <row r="45">
      <c r="A45" s="15" t="s">
        <v>2755</v>
      </c>
      <c r="B45" s="16">
        <v>45079.0</v>
      </c>
      <c r="C45" s="17">
        <v>45082.0</v>
      </c>
      <c r="D45" s="18">
        <v>9.0</v>
      </c>
      <c r="E45" s="19">
        <v>5.0</v>
      </c>
      <c r="F45" s="20">
        <v>20000.0</v>
      </c>
      <c r="G45" s="21" t="s">
        <v>2711</v>
      </c>
      <c r="H45" s="19">
        <v>4.0</v>
      </c>
      <c r="I45" s="21" t="s">
        <v>1830</v>
      </c>
      <c r="J45" s="22" t="s">
        <v>2672</v>
      </c>
    </row>
    <row r="46">
      <c r="A46" s="15" t="s">
        <v>2756</v>
      </c>
      <c r="B46" s="16">
        <v>45079.0</v>
      </c>
      <c r="C46" s="17">
        <v>45082.0</v>
      </c>
      <c r="D46" s="18">
        <v>19.0</v>
      </c>
      <c r="E46" s="19">
        <v>5.0</v>
      </c>
      <c r="F46" s="20">
        <v>25700.0</v>
      </c>
      <c r="G46" s="21" t="s">
        <v>2711</v>
      </c>
      <c r="H46" s="19">
        <v>4.0</v>
      </c>
      <c r="I46" s="21" t="s">
        <v>1808</v>
      </c>
      <c r="J46" s="22" t="s">
        <v>2607</v>
      </c>
    </row>
    <row r="47">
      <c r="A47" s="15" t="s">
        <v>2757</v>
      </c>
      <c r="B47" s="16">
        <v>45079.0</v>
      </c>
      <c r="C47" s="17">
        <v>45080.0</v>
      </c>
      <c r="D47" s="18">
        <v>11.0</v>
      </c>
      <c r="E47" s="19">
        <v>6.0</v>
      </c>
      <c r="F47" s="20">
        <v>22000.0</v>
      </c>
      <c r="G47" s="21" t="s">
        <v>2711</v>
      </c>
      <c r="H47" s="19">
        <v>5.0</v>
      </c>
      <c r="I47" s="21" t="s">
        <v>270</v>
      </c>
      <c r="J47" s="22" t="s">
        <v>2662</v>
      </c>
    </row>
    <row r="48">
      <c r="A48" s="15" t="s">
        <v>2758</v>
      </c>
      <c r="B48" s="16">
        <v>45079.0</v>
      </c>
      <c r="C48" s="17">
        <v>45082.0</v>
      </c>
      <c r="D48" s="18">
        <v>1.0</v>
      </c>
      <c r="E48" s="19">
        <v>1.0</v>
      </c>
      <c r="F48" s="20">
        <v>12000.0</v>
      </c>
      <c r="G48" s="21" t="s">
        <v>2711</v>
      </c>
      <c r="H48" s="19">
        <v>3.0</v>
      </c>
      <c r="I48" s="21" t="s">
        <v>613</v>
      </c>
      <c r="J48" s="22" t="s">
        <v>2506</v>
      </c>
    </row>
    <row r="49">
      <c r="A49" s="15" t="s">
        <v>2759</v>
      </c>
      <c r="B49" s="16">
        <v>45079.0</v>
      </c>
      <c r="C49" s="17">
        <v>45083.0</v>
      </c>
      <c r="D49" s="18">
        <v>4.0</v>
      </c>
      <c r="E49" s="19">
        <v>1.0</v>
      </c>
      <c r="F49" s="20">
        <v>12000.0</v>
      </c>
      <c r="G49" s="21" t="s">
        <v>2711</v>
      </c>
      <c r="H49" s="19">
        <v>4.0</v>
      </c>
      <c r="I49" s="21" t="s">
        <v>478</v>
      </c>
      <c r="J49" s="22" t="s">
        <v>2652</v>
      </c>
    </row>
    <row r="50">
      <c r="A50" s="15" t="s">
        <v>2760</v>
      </c>
      <c r="B50" s="16">
        <v>45079.0</v>
      </c>
      <c r="C50" s="17">
        <v>45084.0</v>
      </c>
      <c r="D50" s="18">
        <v>11.0</v>
      </c>
      <c r="E50" s="19">
        <v>5.0</v>
      </c>
      <c r="F50" s="20">
        <v>20000.0</v>
      </c>
      <c r="G50" s="21" t="s">
        <v>2711</v>
      </c>
      <c r="H50" s="19">
        <v>4.0</v>
      </c>
      <c r="I50" s="21" t="s">
        <v>1394</v>
      </c>
      <c r="J50" s="22" t="s">
        <v>2662</v>
      </c>
    </row>
    <row r="51">
      <c r="A51" s="15" t="s">
        <v>2761</v>
      </c>
      <c r="B51" s="16">
        <v>45079.0</v>
      </c>
      <c r="C51" s="17">
        <v>45080.0</v>
      </c>
      <c r="D51" s="18">
        <v>5.0</v>
      </c>
      <c r="E51" s="19">
        <v>3.0</v>
      </c>
      <c r="F51" s="20">
        <v>16000.0</v>
      </c>
      <c r="G51" s="21" t="s">
        <v>2711</v>
      </c>
      <c r="H51" s="19">
        <v>5.0</v>
      </c>
      <c r="I51" s="21" t="s">
        <v>2196</v>
      </c>
      <c r="J51" s="22" t="s">
        <v>2692</v>
      </c>
    </row>
    <row r="52">
      <c r="A52" s="15" t="s">
        <v>2762</v>
      </c>
      <c r="B52" s="16">
        <v>45079.0</v>
      </c>
      <c r="C52" s="17">
        <v>45083.0</v>
      </c>
      <c r="D52" s="18">
        <v>5.0</v>
      </c>
      <c r="E52" s="19">
        <v>3.0</v>
      </c>
      <c r="F52" s="20">
        <v>16000.0</v>
      </c>
      <c r="G52" s="21" t="s">
        <v>2711</v>
      </c>
      <c r="H52" s="19">
        <v>4.0</v>
      </c>
      <c r="I52" s="21" t="s">
        <v>1894</v>
      </c>
      <c r="J52" s="22" t="s">
        <v>2677</v>
      </c>
    </row>
    <row r="53">
      <c r="A53" s="15" t="s">
        <v>2763</v>
      </c>
      <c r="B53" s="16">
        <v>45079.0</v>
      </c>
      <c r="C53" s="17">
        <v>45082.0</v>
      </c>
      <c r="D53" s="18">
        <v>1.0</v>
      </c>
      <c r="E53" s="19">
        <v>1.0</v>
      </c>
      <c r="F53" s="20">
        <v>12000.0</v>
      </c>
      <c r="G53" s="21" t="s">
        <v>2711</v>
      </c>
      <c r="H53" s="19">
        <v>5.0</v>
      </c>
      <c r="I53" s="21" t="s">
        <v>2084</v>
      </c>
      <c r="J53" s="22" t="s">
        <v>2516</v>
      </c>
    </row>
    <row r="54">
      <c r="A54" s="15" t="s">
        <v>2764</v>
      </c>
      <c r="B54" s="16">
        <v>45079.0</v>
      </c>
      <c r="C54" s="17">
        <v>45083.0</v>
      </c>
      <c r="D54" s="18">
        <v>15.0</v>
      </c>
      <c r="E54" s="19">
        <v>5.0</v>
      </c>
      <c r="F54" s="20">
        <v>24500.0</v>
      </c>
      <c r="G54" s="21" t="s">
        <v>2711</v>
      </c>
      <c r="H54" s="19">
        <v>5.0</v>
      </c>
      <c r="I54" s="21" t="s">
        <v>518</v>
      </c>
      <c r="J54" s="22" t="s">
        <v>2662</v>
      </c>
    </row>
    <row r="55">
      <c r="A55" s="15" t="s">
        <v>2765</v>
      </c>
      <c r="B55" s="16">
        <v>45079.0</v>
      </c>
      <c r="C55" s="17">
        <v>45084.0</v>
      </c>
      <c r="D55" s="18">
        <v>1.0</v>
      </c>
      <c r="E55" s="19">
        <v>3.0</v>
      </c>
      <c r="F55" s="20">
        <v>16000.0</v>
      </c>
      <c r="G55" s="21" t="s">
        <v>2711</v>
      </c>
      <c r="H55" s="19">
        <v>4.0</v>
      </c>
      <c r="I55" s="21" t="s">
        <v>498</v>
      </c>
      <c r="J55" s="22" t="s">
        <v>2642</v>
      </c>
    </row>
    <row r="56">
      <c r="A56" s="15" t="s">
        <v>2766</v>
      </c>
      <c r="B56" s="16">
        <v>45079.0</v>
      </c>
      <c r="C56" s="17">
        <v>45081.0</v>
      </c>
      <c r="D56" s="18">
        <v>49.0</v>
      </c>
      <c r="E56" s="19">
        <v>15.0</v>
      </c>
      <c r="F56" s="20">
        <v>54700.0</v>
      </c>
      <c r="G56" s="21" t="s">
        <v>2711</v>
      </c>
      <c r="H56" s="19">
        <v>5.0</v>
      </c>
      <c r="I56" s="21" t="s">
        <v>38</v>
      </c>
      <c r="J56" s="26" t="s">
        <v>2657</v>
      </c>
    </row>
    <row r="57">
      <c r="A57" s="15" t="s">
        <v>2767</v>
      </c>
      <c r="B57" s="16">
        <v>45079.0</v>
      </c>
      <c r="C57" s="17">
        <v>45081.0</v>
      </c>
      <c r="D57" s="18">
        <v>4.0</v>
      </c>
      <c r="E57" s="19">
        <v>2.0</v>
      </c>
      <c r="F57" s="20">
        <v>14000.0</v>
      </c>
      <c r="G57" s="21" t="s">
        <v>2711</v>
      </c>
      <c r="H57" s="19">
        <v>3.0</v>
      </c>
      <c r="I57" s="21" t="s">
        <v>2240</v>
      </c>
      <c r="J57" s="22" t="s">
        <v>2622</v>
      </c>
    </row>
    <row r="58">
      <c r="A58" s="15" t="s">
        <v>2768</v>
      </c>
      <c r="B58" s="16">
        <v>45079.0</v>
      </c>
      <c r="C58" s="17">
        <v>45082.0</v>
      </c>
      <c r="D58" s="18">
        <v>65.0</v>
      </c>
      <c r="E58" s="19">
        <v>24.0</v>
      </c>
      <c r="F58" s="20">
        <v>77500.0</v>
      </c>
      <c r="G58" s="21" t="s">
        <v>2711</v>
      </c>
      <c r="H58" s="19">
        <v>3.0</v>
      </c>
      <c r="I58" s="21" t="s">
        <v>146</v>
      </c>
      <c r="J58" s="26" t="s">
        <v>2657</v>
      </c>
    </row>
    <row r="59">
      <c r="A59" s="15" t="s">
        <v>2769</v>
      </c>
      <c r="B59" s="16">
        <v>45079.0</v>
      </c>
      <c r="C59" s="17">
        <v>45083.0</v>
      </c>
      <c r="D59" s="18">
        <v>5.0</v>
      </c>
      <c r="E59" s="19">
        <v>2.0</v>
      </c>
      <c r="F59" s="20">
        <v>14000.0</v>
      </c>
      <c r="G59" s="21" t="s">
        <v>2711</v>
      </c>
      <c r="H59" s="19">
        <v>5.0</v>
      </c>
      <c r="I59" s="21" t="s">
        <v>2112</v>
      </c>
      <c r="J59" s="22" t="s">
        <v>2516</v>
      </c>
    </row>
    <row r="60">
      <c r="A60" s="15" t="s">
        <v>2770</v>
      </c>
      <c r="B60" s="16">
        <v>45079.0</v>
      </c>
      <c r="C60" s="17">
        <v>45084.0</v>
      </c>
      <c r="D60" s="18">
        <v>38.0</v>
      </c>
      <c r="E60" s="19">
        <v>17.0</v>
      </c>
      <c r="F60" s="20">
        <v>55400.0</v>
      </c>
      <c r="G60" s="21" t="s">
        <v>2711</v>
      </c>
      <c r="H60" s="19">
        <v>5.0</v>
      </c>
      <c r="I60" s="21" t="s">
        <v>601</v>
      </c>
      <c r="J60" s="26" t="s">
        <v>2657</v>
      </c>
    </row>
    <row r="61">
      <c r="A61" s="15" t="s">
        <v>2771</v>
      </c>
      <c r="B61" s="16">
        <v>45079.0</v>
      </c>
      <c r="C61" s="17">
        <v>45082.0</v>
      </c>
      <c r="D61" s="18">
        <v>5.0</v>
      </c>
      <c r="E61" s="19">
        <v>1.0</v>
      </c>
      <c r="F61" s="20">
        <v>12000.0</v>
      </c>
      <c r="G61" s="21" t="s">
        <v>2711</v>
      </c>
      <c r="H61" s="19">
        <v>3.0</v>
      </c>
      <c r="I61" s="21" t="s">
        <v>1363</v>
      </c>
      <c r="J61" s="22" t="s">
        <v>2647</v>
      </c>
    </row>
    <row r="62">
      <c r="A62" s="15" t="s">
        <v>2772</v>
      </c>
      <c r="B62" s="16">
        <v>45079.0</v>
      </c>
      <c r="C62" s="17">
        <v>45080.0</v>
      </c>
      <c r="D62" s="18">
        <v>39.0</v>
      </c>
      <c r="E62" s="19">
        <v>17.0</v>
      </c>
      <c r="F62" s="20">
        <v>55700.0</v>
      </c>
      <c r="G62" s="21" t="s">
        <v>2711</v>
      </c>
      <c r="H62" s="19">
        <v>4.0</v>
      </c>
      <c r="I62" s="21" t="s">
        <v>2322</v>
      </c>
      <c r="J62" s="26" t="s">
        <v>2657</v>
      </c>
    </row>
    <row r="63">
      <c r="A63" s="15" t="s">
        <v>2773</v>
      </c>
      <c r="B63" s="16">
        <v>45079.0</v>
      </c>
      <c r="C63" s="17">
        <v>45082.0</v>
      </c>
      <c r="D63" s="18">
        <v>1.0</v>
      </c>
      <c r="E63" s="19">
        <v>2.0</v>
      </c>
      <c r="F63" s="20">
        <v>14000.0</v>
      </c>
      <c r="G63" s="21" t="s">
        <v>2711</v>
      </c>
      <c r="H63" s="19">
        <v>3.0</v>
      </c>
      <c r="I63" s="21" t="s">
        <v>676</v>
      </c>
      <c r="J63" s="22" t="s">
        <v>2582</v>
      </c>
      <c r="K63" s="27"/>
    </row>
    <row r="64">
      <c r="A64" s="15" t="s">
        <v>2774</v>
      </c>
      <c r="B64" s="16">
        <v>45079.0</v>
      </c>
      <c r="C64" s="17">
        <v>45084.0</v>
      </c>
      <c r="D64" s="18">
        <v>3.0</v>
      </c>
      <c r="E64" s="19">
        <v>2.0</v>
      </c>
      <c r="F64" s="20">
        <v>14000.0</v>
      </c>
      <c r="G64" s="21" t="s">
        <v>2711</v>
      </c>
      <c r="H64" s="19">
        <v>5.0</v>
      </c>
      <c r="I64" s="21" t="s">
        <v>692</v>
      </c>
      <c r="J64" s="22" t="s">
        <v>2582</v>
      </c>
      <c r="K64" s="27"/>
    </row>
    <row r="65">
      <c r="A65" s="15" t="s">
        <v>2775</v>
      </c>
      <c r="B65" s="16">
        <v>45079.0</v>
      </c>
      <c r="C65" s="17">
        <v>45080.0</v>
      </c>
      <c r="D65" s="18">
        <v>2.0</v>
      </c>
      <c r="E65" s="19">
        <v>3.0</v>
      </c>
      <c r="F65" s="20">
        <v>16000.0</v>
      </c>
      <c r="G65" s="21" t="s">
        <v>2711</v>
      </c>
      <c r="H65" s="19">
        <v>4.0</v>
      </c>
      <c r="I65" s="21" t="s">
        <v>803</v>
      </c>
      <c r="J65" s="22" t="s">
        <v>2577</v>
      </c>
    </row>
    <row r="66">
      <c r="A66" s="15" t="s">
        <v>2776</v>
      </c>
      <c r="B66" s="16">
        <v>45079.0</v>
      </c>
      <c r="C66" s="17">
        <v>45080.0</v>
      </c>
      <c r="D66" s="18">
        <v>11.0</v>
      </c>
      <c r="E66" s="19">
        <v>10.0</v>
      </c>
      <c r="F66" s="20">
        <v>30000.0</v>
      </c>
      <c r="G66" s="21" t="s">
        <v>2711</v>
      </c>
      <c r="H66" s="19">
        <v>4.0</v>
      </c>
      <c r="I66" s="21" t="s">
        <v>1788</v>
      </c>
      <c r="J66" s="22" t="s">
        <v>2672</v>
      </c>
    </row>
    <row r="67">
      <c r="A67" s="15" t="s">
        <v>2777</v>
      </c>
      <c r="B67" s="16">
        <v>45079.0</v>
      </c>
      <c r="C67" s="17">
        <v>45080.0</v>
      </c>
      <c r="D67" s="18">
        <v>1.0</v>
      </c>
      <c r="E67" s="19">
        <v>2.0</v>
      </c>
      <c r="F67" s="20">
        <v>14000.0</v>
      </c>
      <c r="G67" s="21" t="s">
        <v>2711</v>
      </c>
      <c r="H67" s="19">
        <v>5.0</v>
      </c>
      <c r="I67" s="21" t="s">
        <v>2461</v>
      </c>
      <c r="J67" s="22" t="s">
        <v>2592</v>
      </c>
    </row>
    <row r="68">
      <c r="A68" s="15" t="s">
        <v>2778</v>
      </c>
      <c r="B68" s="16">
        <v>45079.0</v>
      </c>
      <c r="C68" s="17">
        <v>45081.0</v>
      </c>
      <c r="D68" s="18">
        <v>2.0</v>
      </c>
      <c r="E68" s="19">
        <v>1.0</v>
      </c>
      <c r="F68" s="20">
        <v>12000.0</v>
      </c>
      <c r="G68" s="21" t="s">
        <v>2711</v>
      </c>
      <c r="H68" s="19">
        <v>4.0</v>
      </c>
      <c r="I68" s="21" t="s">
        <v>514</v>
      </c>
      <c r="J68" s="22" t="s">
        <v>2692</v>
      </c>
    </row>
    <row r="69">
      <c r="A69" s="15" t="s">
        <v>2779</v>
      </c>
      <c r="B69" s="16">
        <v>45079.0</v>
      </c>
      <c r="C69" s="17">
        <v>45080.0</v>
      </c>
      <c r="D69" s="18">
        <v>8.0</v>
      </c>
      <c r="E69" s="19">
        <v>8.0</v>
      </c>
      <c r="F69" s="20">
        <v>26000.0</v>
      </c>
      <c r="G69" s="21" t="s">
        <v>2711</v>
      </c>
      <c r="H69" s="19">
        <v>5.0</v>
      </c>
      <c r="I69" s="21" t="s">
        <v>318</v>
      </c>
      <c r="J69" s="22" t="s">
        <v>2484</v>
      </c>
    </row>
    <row r="70">
      <c r="A70" s="15" t="s">
        <v>2780</v>
      </c>
      <c r="B70" s="16">
        <v>45079.0</v>
      </c>
      <c r="C70" s="17">
        <v>45083.0</v>
      </c>
      <c r="D70" s="18">
        <v>8.0</v>
      </c>
      <c r="E70" s="19">
        <v>8.0</v>
      </c>
      <c r="F70" s="20">
        <v>26000.0</v>
      </c>
      <c r="G70" s="21" t="s">
        <v>2711</v>
      </c>
      <c r="H70" s="19">
        <v>4.0</v>
      </c>
      <c r="I70" s="21" t="s">
        <v>2322</v>
      </c>
      <c r="J70" s="22" t="s">
        <v>2672</v>
      </c>
    </row>
    <row r="71">
      <c r="A71" s="15" t="s">
        <v>2781</v>
      </c>
      <c r="B71" s="16">
        <v>45079.0</v>
      </c>
      <c r="C71" s="17">
        <v>45080.0</v>
      </c>
      <c r="D71" s="18">
        <v>5.0</v>
      </c>
      <c r="E71" s="19">
        <v>2.0</v>
      </c>
      <c r="F71" s="20">
        <v>14000.0</v>
      </c>
      <c r="G71" s="21" t="s">
        <v>2711</v>
      </c>
      <c r="H71" s="19">
        <v>5.0</v>
      </c>
      <c r="I71" s="21" t="s">
        <v>1949</v>
      </c>
      <c r="J71" s="22" t="s">
        <v>2557</v>
      </c>
    </row>
    <row r="72">
      <c r="A72" s="15" t="s">
        <v>2782</v>
      </c>
      <c r="B72" s="16">
        <v>45079.0</v>
      </c>
      <c r="C72" s="17">
        <v>45080.0</v>
      </c>
      <c r="D72" s="18">
        <v>2.0</v>
      </c>
      <c r="E72" s="19">
        <v>2.0</v>
      </c>
      <c r="F72" s="20">
        <v>14000.0</v>
      </c>
      <c r="G72" s="24" t="s">
        <v>2711</v>
      </c>
      <c r="H72" s="19">
        <v>4.0</v>
      </c>
      <c r="I72" s="21" t="s">
        <v>767</v>
      </c>
      <c r="J72" s="22" t="s">
        <v>2632</v>
      </c>
    </row>
    <row r="73">
      <c r="A73" s="15" t="s">
        <v>2783</v>
      </c>
      <c r="B73" s="16">
        <v>45079.0</v>
      </c>
      <c r="C73" s="17">
        <v>45084.0</v>
      </c>
      <c r="D73" s="18">
        <v>3.0</v>
      </c>
      <c r="E73" s="19">
        <v>3.0</v>
      </c>
      <c r="F73" s="20">
        <v>16000.0</v>
      </c>
      <c r="G73" s="21" t="s">
        <v>2711</v>
      </c>
      <c r="H73" s="19">
        <v>5.0</v>
      </c>
      <c r="I73" s="21" t="s">
        <v>628</v>
      </c>
      <c r="J73" s="22" t="s">
        <v>2557</v>
      </c>
    </row>
    <row r="74">
      <c r="A74" s="15" t="s">
        <v>2784</v>
      </c>
      <c r="B74" s="16">
        <v>45079.0</v>
      </c>
      <c r="C74" s="17">
        <v>45080.0</v>
      </c>
      <c r="D74" s="18">
        <v>4.0</v>
      </c>
      <c r="E74" s="19">
        <v>3.0</v>
      </c>
      <c r="F74" s="20">
        <v>16000.0</v>
      </c>
      <c r="G74" s="21" t="s">
        <v>2711</v>
      </c>
      <c r="H74" s="19">
        <v>4.0</v>
      </c>
      <c r="I74" s="21" t="s">
        <v>1228</v>
      </c>
      <c r="J74" s="22" t="s">
        <v>2617</v>
      </c>
    </row>
    <row r="75">
      <c r="A75" s="15" t="s">
        <v>2785</v>
      </c>
      <c r="B75" s="17">
        <v>45080.0</v>
      </c>
      <c r="C75" s="17">
        <f t="shared" ref="C75:C76" si="1">B75 + RANDBETWEEN(1,5)</f>
        <v>45084</v>
      </c>
      <c r="D75" s="18">
        <v>3.0</v>
      </c>
      <c r="E75" s="19">
        <v>2.0</v>
      </c>
      <c r="F75" s="20">
        <v>14000.0</v>
      </c>
      <c r="G75" s="21" t="s">
        <v>2711</v>
      </c>
      <c r="H75" s="19">
        <v>5.0</v>
      </c>
      <c r="I75" s="21" t="s">
        <v>2144</v>
      </c>
      <c r="J75" s="22" t="s">
        <v>2567</v>
      </c>
    </row>
    <row r="76">
      <c r="A76" s="15" t="s">
        <v>2786</v>
      </c>
      <c r="B76" s="17">
        <v>45080.0</v>
      </c>
      <c r="C76" s="17">
        <f t="shared" si="1"/>
        <v>45085</v>
      </c>
      <c r="D76" s="18">
        <v>5.0</v>
      </c>
      <c r="E76" s="19">
        <v>3.0</v>
      </c>
      <c r="F76" s="20">
        <v>16000.0</v>
      </c>
      <c r="G76" s="21" t="s">
        <v>2711</v>
      </c>
      <c r="H76" s="19">
        <v>4.0</v>
      </c>
      <c r="I76" s="21" t="s">
        <v>2053</v>
      </c>
      <c r="J76" s="22" t="s">
        <v>2582</v>
      </c>
    </row>
    <row r="77">
      <c r="A77" s="15" t="s">
        <v>2787</v>
      </c>
      <c r="B77" s="16">
        <v>45080.0</v>
      </c>
      <c r="C77" s="17">
        <v>45082.0</v>
      </c>
      <c r="D77" s="18">
        <v>2.0</v>
      </c>
      <c r="E77" s="19">
        <v>3.0</v>
      </c>
      <c r="F77" s="20">
        <v>16000.0</v>
      </c>
      <c r="G77" s="21" t="s">
        <v>2711</v>
      </c>
      <c r="H77" s="19">
        <v>4.0</v>
      </c>
      <c r="I77" s="21" t="s">
        <v>1378</v>
      </c>
      <c r="J77" s="22" t="s">
        <v>2602</v>
      </c>
    </row>
    <row r="78">
      <c r="A78" s="15" t="s">
        <v>2788</v>
      </c>
      <c r="B78" s="16">
        <v>45080.0</v>
      </c>
      <c r="C78" s="17">
        <v>45081.0</v>
      </c>
      <c r="D78" s="18">
        <v>5.0</v>
      </c>
      <c r="E78" s="19">
        <v>1.0</v>
      </c>
      <c r="F78" s="20">
        <v>12000.0</v>
      </c>
      <c r="G78" s="21" t="s">
        <v>2711</v>
      </c>
      <c r="H78" s="19">
        <v>4.0</v>
      </c>
      <c r="I78" s="21" t="s">
        <v>950</v>
      </c>
      <c r="J78" s="22" t="s">
        <v>2567</v>
      </c>
    </row>
    <row r="79">
      <c r="A79" s="15" t="s">
        <v>2789</v>
      </c>
      <c r="B79" s="16">
        <v>45080.0</v>
      </c>
      <c r="C79" s="17">
        <v>45081.0</v>
      </c>
      <c r="D79" s="18">
        <v>5.0</v>
      </c>
      <c r="E79" s="19">
        <v>2.0</v>
      </c>
      <c r="F79" s="20">
        <v>14000.0</v>
      </c>
      <c r="G79" s="21" t="s">
        <v>2711</v>
      </c>
      <c r="H79" s="19">
        <v>5.0</v>
      </c>
      <c r="I79" s="21" t="s">
        <v>1101</v>
      </c>
      <c r="J79" s="22" t="s">
        <v>2617</v>
      </c>
    </row>
    <row r="80">
      <c r="A80" s="15" t="s">
        <v>2790</v>
      </c>
      <c r="B80" s="16">
        <v>45080.0</v>
      </c>
      <c r="C80" s="17">
        <v>45081.0</v>
      </c>
      <c r="D80" s="18">
        <v>22.0</v>
      </c>
      <c r="E80" s="19">
        <v>19.0</v>
      </c>
      <c r="F80" s="20">
        <v>54600.0</v>
      </c>
      <c r="G80" s="21" t="s">
        <v>2711</v>
      </c>
      <c r="H80" s="19">
        <v>4.0</v>
      </c>
      <c r="I80" s="21" t="s">
        <v>807</v>
      </c>
      <c r="J80" s="22" t="s">
        <v>2521</v>
      </c>
    </row>
    <row r="81">
      <c r="A81" s="15" t="s">
        <v>2791</v>
      </c>
      <c r="B81" s="16">
        <v>45080.0</v>
      </c>
      <c r="C81" s="17">
        <v>45082.0</v>
      </c>
      <c r="D81" s="18">
        <v>76.0</v>
      </c>
      <c r="E81" s="19">
        <v>22.0</v>
      </c>
      <c r="F81" s="20">
        <v>76800.0</v>
      </c>
      <c r="G81" s="24" t="s">
        <v>2711</v>
      </c>
      <c r="H81" s="19">
        <v>4.0</v>
      </c>
      <c r="I81" s="21" t="s">
        <v>2473</v>
      </c>
      <c r="J81" s="22" t="s">
        <v>2521</v>
      </c>
    </row>
    <row r="82">
      <c r="A82" s="15" t="s">
        <v>2792</v>
      </c>
      <c r="B82" s="16">
        <v>45080.0</v>
      </c>
      <c r="C82" s="17">
        <v>45083.0</v>
      </c>
      <c r="D82" s="18">
        <v>34.0</v>
      </c>
      <c r="E82" s="19">
        <v>22.0</v>
      </c>
      <c r="F82" s="20">
        <v>64200.0</v>
      </c>
      <c r="G82" s="21" t="s">
        <v>2711</v>
      </c>
      <c r="H82" s="19">
        <v>4.0</v>
      </c>
      <c r="I82" s="21" t="s">
        <v>1406</v>
      </c>
      <c r="J82" s="22" t="s">
        <v>2521</v>
      </c>
    </row>
    <row r="83">
      <c r="A83" s="15" t="s">
        <v>2793</v>
      </c>
      <c r="B83" s="16">
        <v>45080.0</v>
      </c>
      <c r="C83" s="17">
        <v>45085.0</v>
      </c>
      <c r="D83" s="18">
        <v>22.0</v>
      </c>
      <c r="E83" s="19">
        <v>11.0</v>
      </c>
      <c r="F83" s="20">
        <v>38600.0</v>
      </c>
      <c r="G83" s="21" t="s">
        <v>2747</v>
      </c>
      <c r="H83" s="21"/>
      <c r="I83" s="21" t="s">
        <v>474</v>
      </c>
      <c r="J83" s="22" t="s">
        <v>2521</v>
      </c>
    </row>
    <row r="84">
      <c r="A84" s="15" t="s">
        <v>2794</v>
      </c>
      <c r="B84" s="16">
        <v>45080.0</v>
      </c>
      <c r="C84" s="17">
        <v>45081.0</v>
      </c>
      <c r="D84" s="18">
        <v>48.0</v>
      </c>
      <c r="E84" s="19">
        <v>20.0</v>
      </c>
      <c r="F84" s="20">
        <v>64400.0</v>
      </c>
      <c r="G84" s="21" t="s">
        <v>2711</v>
      </c>
      <c r="H84" s="19">
        <v>4.0</v>
      </c>
      <c r="I84" s="21" t="s">
        <v>1949</v>
      </c>
      <c r="J84" s="22" t="s">
        <v>2521</v>
      </c>
    </row>
    <row r="85">
      <c r="A85" s="15" t="s">
        <v>2795</v>
      </c>
      <c r="B85" s="16">
        <v>45080.0</v>
      </c>
      <c r="C85" s="17">
        <v>45082.0</v>
      </c>
      <c r="D85" s="18">
        <v>28.0</v>
      </c>
      <c r="E85" s="19">
        <v>24.0</v>
      </c>
      <c r="F85" s="20">
        <v>66400.0</v>
      </c>
      <c r="G85" s="21" t="s">
        <v>2711</v>
      </c>
      <c r="H85" s="19">
        <v>4.0</v>
      </c>
      <c r="I85" s="21" t="s">
        <v>1374</v>
      </c>
      <c r="J85" s="22" t="s">
        <v>2521</v>
      </c>
    </row>
    <row r="86">
      <c r="A86" s="15" t="s">
        <v>2796</v>
      </c>
      <c r="B86" s="16">
        <v>45080.0</v>
      </c>
      <c r="C86" s="17">
        <v>45081.0</v>
      </c>
      <c r="D86" s="18">
        <v>29.0</v>
      </c>
      <c r="E86" s="19">
        <v>19.0</v>
      </c>
      <c r="F86" s="20">
        <v>56700.0</v>
      </c>
      <c r="G86" s="21" t="s">
        <v>2711</v>
      </c>
      <c r="H86" s="19">
        <v>4.0</v>
      </c>
      <c r="I86" s="21" t="s">
        <v>613</v>
      </c>
      <c r="J86" s="22" t="s">
        <v>2521</v>
      </c>
    </row>
    <row r="87">
      <c r="A87" s="15" t="s">
        <v>2797</v>
      </c>
      <c r="B87" s="16">
        <v>45080.0</v>
      </c>
      <c r="C87" s="17">
        <v>45082.0</v>
      </c>
      <c r="D87" s="18">
        <v>21.0</v>
      </c>
      <c r="E87" s="19">
        <v>26.0</v>
      </c>
      <c r="F87" s="20">
        <v>68300.0</v>
      </c>
      <c r="G87" s="21" t="s">
        <v>2711</v>
      </c>
      <c r="H87" s="19">
        <v>5.0</v>
      </c>
      <c r="I87" s="21" t="s">
        <v>601</v>
      </c>
      <c r="J87" s="22" t="s">
        <v>2521</v>
      </c>
    </row>
    <row r="88">
      <c r="A88" s="15" t="s">
        <v>2798</v>
      </c>
      <c r="B88" s="16">
        <v>45080.0</v>
      </c>
      <c r="C88" s="17">
        <v>45084.0</v>
      </c>
      <c r="D88" s="18">
        <v>6.0</v>
      </c>
      <c r="E88" s="19">
        <v>1.0</v>
      </c>
      <c r="F88" s="20">
        <v>12000.0</v>
      </c>
      <c r="G88" s="21" t="s">
        <v>2711</v>
      </c>
      <c r="H88" s="19">
        <v>5.0</v>
      </c>
      <c r="I88" s="21" t="s">
        <v>162</v>
      </c>
      <c r="J88" s="22" t="s">
        <v>2506</v>
      </c>
    </row>
    <row r="89">
      <c r="A89" s="15" t="s">
        <v>2799</v>
      </c>
      <c r="B89" s="16">
        <v>45080.0</v>
      </c>
      <c r="C89" s="17">
        <v>45084.0</v>
      </c>
      <c r="D89" s="18">
        <v>15.0</v>
      </c>
      <c r="E89" s="19">
        <v>6.0</v>
      </c>
      <c r="F89" s="20">
        <v>26500.0</v>
      </c>
      <c r="G89" s="21" t="s">
        <v>2711</v>
      </c>
      <c r="H89" s="19">
        <v>5.0</v>
      </c>
      <c r="I89" s="21" t="s">
        <v>2045</v>
      </c>
      <c r="J89" s="22" t="s">
        <v>2537</v>
      </c>
      <c r="K89" s="28"/>
    </row>
    <row r="90">
      <c r="A90" s="15" t="s">
        <v>2800</v>
      </c>
      <c r="B90" s="16">
        <v>45080.0</v>
      </c>
      <c r="C90" s="17">
        <v>45084.0</v>
      </c>
      <c r="D90" s="18">
        <v>13.0</v>
      </c>
      <c r="E90" s="19">
        <v>6.0</v>
      </c>
      <c r="F90" s="20">
        <v>22000.0</v>
      </c>
      <c r="G90" s="24" t="s">
        <v>2711</v>
      </c>
      <c r="H90" s="19">
        <v>5.0</v>
      </c>
      <c r="I90" s="21" t="s">
        <v>1378</v>
      </c>
      <c r="J90" s="22" t="s">
        <v>2484</v>
      </c>
    </row>
    <row r="91">
      <c r="A91" s="15" t="s">
        <v>2801</v>
      </c>
      <c r="B91" s="16">
        <v>45080.0</v>
      </c>
      <c r="C91" s="17">
        <v>45084.0</v>
      </c>
      <c r="D91" s="18">
        <v>3.0</v>
      </c>
      <c r="E91" s="19">
        <v>3.0</v>
      </c>
      <c r="F91" s="20">
        <v>16000.0</v>
      </c>
      <c r="G91" s="24" t="s">
        <v>2711</v>
      </c>
      <c r="H91" s="19">
        <v>5.0</v>
      </c>
      <c r="I91" s="21" t="s">
        <v>1910</v>
      </c>
      <c r="J91" s="22" t="s">
        <v>2516</v>
      </c>
    </row>
    <row r="92">
      <c r="A92" s="15" t="s">
        <v>2802</v>
      </c>
      <c r="B92" s="16">
        <v>45080.0</v>
      </c>
      <c r="C92" s="17">
        <v>45085.0</v>
      </c>
      <c r="D92" s="18">
        <v>1.0</v>
      </c>
      <c r="E92" s="19">
        <v>3.0</v>
      </c>
      <c r="F92" s="20">
        <v>16000.0</v>
      </c>
      <c r="G92" s="21" t="s">
        <v>2711</v>
      </c>
      <c r="H92" s="19">
        <v>5.0</v>
      </c>
      <c r="I92" s="21" t="s">
        <v>242</v>
      </c>
      <c r="J92" s="22" t="s">
        <v>2577</v>
      </c>
    </row>
    <row r="93">
      <c r="A93" s="15" t="s">
        <v>2803</v>
      </c>
      <c r="B93" s="16">
        <v>45080.0</v>
      </c>
      <c r="C93" s="17">
        <v>45081.0</v>
      </c>
      <c r="D93" s="18">
        <v>5.0</v>
      </c>
      <c r="E93" s="19">
        <v>3.0</v>
      </c>
      <c r="F93" s="20">
        <v>16000.0</v>
      </c>
      <c r="G93" s="21" t="s">
        <v>2711</v>
      </c>
      <c r="H93" s="19">
        <v>5.0</v>
      </c>
      <c r="I93" s="21" t="s">
        <v>605</v>
      </c>
      <c r="J93" s="22" t="s">
        <v>2572</v>
      </c>
    </row>
    <row r="94">
      <c r="A94" s="15" t="s">
        <v>2804</v>
      </c>
      <c r="B94" s="16">
        <v>45080.0</v>
      </c>
      <c r="C94" s="17">
        <v>45083.0</v>
      </c>
      <c r="D94" s="18">
        <v>9.0</v>
      </c>
      <c r="E94" s="19">
        <v>6.0</v>
      </c>
      <c r="F94" s="20">
        <v>22000.0</v>
      </c>
      <c r="G94" s="24" t="s">
        <v>2711</v>
      </c>
      <c r="H94" s="19">
        <v>3.0</v>
      </c>
      <c r="I94" s="21" t="s">
        <v>2330</v>
      </c>
      <c r="J94" s="22" t="s">
        <v>2627</v>
      </c>
    </row>
    <row r="95">
      <c r="A95" s="15" t="s">
        <v>2805</v>
      </c>
      <c r="B95" s="16">
        <v>45080.0</v>
      </c>
      <c r="C95" s="17">
        <v>45085.0</v>
      </c>
      <c r="D95" s="18">
        <v>11.0</v>
      </c>
      <c r="E95" s="19">
        <v>9.0</v>
      </c>
      <c r="F95" s="20">
        <v>28000.0</v>
      </c>
      <c r="G95" s="21" t="s">
        <v>2711</v>
      </c>
      <c r="H95" s="19">
        <v>3.0</v>
      </c>
      <c r="I95" s="21" t="s">
        <v>262</v>
      </c>
      <c r="J95" s="22" t="s">
        <v>2587</v>
      </c>
    </row>
    <row r="96">
      <c r="A96" s="15" t="s">
        <v>2806</v>
      </c>
      <c r="B96" s="16">
        <v>45080.0</v>
      </c>
      <c r="C96" s="17">
        <v>45085.0</v>
      </c>
      <c r="D96" s="18">
        <v>5.0</v>
      </c>
      <c r="E96" s="19">
        <v>2.0</v>
      </c>
      <c r="F96" s="20">
        <v>14000.0</v>
      </c>
      <c r="G96" s="24" t="s">
        <v>2711</v>
      </c>
      <c r="H96" s="19">
        <v>5.0</v>
      </c>
      <c r="I96" s="21" t="s">
        <v>482</v>
      </c>
      <c r="J96" s="22" t="s">
        <v>2677</v>
      </c>
    </row>
    <row r="97">
      <c r="A97" s="15" t="s">
        <v>2807</v>
      </c>
      <c r="B97" s="16">
        <v>45080.0</v>
      </c>
      <c r="C97" s="17">
        <v>45082.0</v>
      </c>
      <c r="D97" s="18">
        <v>3.0</v>
      </c>
      <c r="E97" s="19">
        <v>1.0</v>
      </c>
      <c r="F97" s="20">
        <v>12000.0</v>
      </c>
      <c r="G97" s="21" t="s">
        <v>2711</v>
      </c>
      <c r="H97" s="19">
        <v>4.0</v>
      </c>
      <c r="I97" s="21" t="s">
        <v>314</v>
      </c>
      <c r="J97" s="22" t="s">
        <v>2506</v>
      </c>
    </row>
    <row r="98">
      <c r="A98" s="15" t="s">
        <v>2808</v>
      </c>
      <c r="B98" s="16">
        <v>45080.0</v>
      </c>
      <c r="C98" s="17">
        <v>45084.0</v>
      </c>
      <c r="D98" s="18">
        <v>19.0</v>
      </c>
      <c r="E98" s="19">
        <v>6.0</v>
      </c>
      <c r="F98" s="20">
        <v>27700.0</v>
      </c>
      <c r="G98" s="21" t="s">
        <v>2711</v>
      </c>
      <c r="H98" s="19">
        <v>5.0</v>
      </c>
      <c r="I98" s="21" t="s">
        <v>2267</v>
      </c>
      <c r="J98" s="22" t="s">
        <v>2667</v>
      </c>
    </row>
    <row r="99">
      <c r="A99" s="15" t="s">
        <v>2809</v>
      </c>
      <c r="B99" s="16">
        <v>45080.0</v>
      </c>
      <c r="C99" s="17">
        <v>45084.0</v>
      </c>
      <c r="D99" s="18">
        <v>15.0</v>
      </c>
      <c r="E99" s="19">
        <v>10.0</v>
      </c>
      <c r="F99" s="20">
        <v>34500.0</v>
      </c>
      <c r="G99" s="21" t="s">
        <v>2711</v>
      </c>
      <c r="H99" s="19">
        <v>5.0</v>
      </c>
      <c r="I99" s="21" t="s">
        <v>522</v>
      </c>
      <c r="J99" s="22" t="s">
        <v>2667</v>
      </c>
    </row>
    <row r="100">
      <c r="A100" s="15" t="s">
        <v>2810</v>
      </c>
      <c r="B100" s="16">
        <v>45080.0</v>
      </c>
      <c r="C100" s="17">
        <v>45081.0</v>
      </c>
      <c r="D100" s="18">
        <v>13.0</v>
      </c>
      <c r="E100" s="19">
        <v>10.0</v>
      </c>
      <c r="F100" s="20">
        <v>30000.0</v>
      </c>
      <c r="G100" s="21" t="s">
        <v>2711</v>
      </c>
      <c r="H100" s="19">
        <v>3.0</v>
      </c>
      <c r="I100" s="21" t="s">
        <v>1308</v>
      </c>
      <c r="J100" s="22" t="s">
        <v>2537</v>
      </c>
    </row>
    <row r="101">
      <c r="A101" s="15" t="s">
        <v>2811</v>
      </c>
      <c r="B101" s="16">
        <v>45080.0</v>
      </c>
      <c r="C101" s="17">
        <v>45084.0</v>
      </c>
      <c r="D101" s="18">
        <v>2.0</v>
      </c>
      <c r="E101" s="19">
        <v>1.0</v>
      </c>
      <c r="F101" s="20">
        <v>12000.0</v>
      </c>
      <c r="G101" s="21" t="s">
        <v>2711</v>
      </c>
      <c r="H101" s="19">
        <v>3.0</v>
      </c>
      <c r="I101" s="21" t="s">
        <v>170</v>
      </c>
      <c r="J101" s="22" t="s">
        <v>2532</v>
      </c>
    </row>
    <row r="102">
      <c r="A102" s="15" t="s">
        <v>2812</v>
      </c>
      <c r="B102" s="16">
        <v>45080.0</v>
      </c>
      <c r="C102" s="17">
        <v>45085.0</v>
      </c>
      <c r="D102" s="18">
        <v>2.0</v>
      </c>
      <c r="E102" s="19">
        <v>2.0</v>
      </c>
      <c r="F102" s="20">
        <v>14000.0</v>
      </c>
      <c r="G102" s="21" t="s">
        <v>2711</v>
      </c>
      <c r="H102" s="19">
        <v>5.0</v>
      </c>
      <c r="I102" s="21" t="s">
        <v>640</v>
      </c>
      <c r="J102" s="22" t="s">
        <v>2677</v>
      </c>
    </row>
    <row r="103">
      <c r="A103" s="15" t="s">
        <v>2813</v>
      </c>
      <c r="B103" s="16">
        <v>45080.0</v>
      </c>
      <c r="C103" s="17">
        <v>45083.0</v>
      </c>
      <c r="D103" s="18">
        <v>5.0</v>
      </c>
      <c r="E103" s="19">
        <v>2.0</v>
      </c>
      <c r="F103" s="20">
        <v>14000.0</v>
      </c>
      <c r="G103" s="21" t="s">
        <v>2711</v>
      </c>
      <c r="H103" s="19">
        <v>4.0</v>
      </c>
      <c r="I103" s="21" t="s">
        <v>230</v>
      </c>
      <c r="J103" s="22" t="s">
        <v>2506</v>
      </c>
    </row>
    <row r="104">
      <c r="A104" s="15" t="s">
        <v>2814</v>
      </c>
      <c r="B104" s="16">
        <v>45080.0</v>
      </c>
      <c r="C104" s="17">
        <v>45083.0</v>
      </c>
      <c r="D104" s="18">
        <v>4.0</v>
      </c>
      <c r="E104" s="19">
        <v>2.0</v>
      </c>
      <c r="F104" s="20">
        <v>14000.0</v>
      </c>
      <c r="G104" s="21" t="s">
        <v>2711</v>
      </c>
      <c r="H104" s="19">
        <v>5.0</v>
      </c>
      <c r="I104" s="21" t="s">
        <v>1768</v>
      </c>
      <c r="J104" s="22" t="s">
        <v>2602</v>
      </c>
    </row>
    <row r="105">
      <c r="A105" s="15" t="s">
        <v>2815</v>
      </c>
      <c r="B105" s="16">
        <v>45080.0</v>
      </c>
      <c r="C105" s="17">
        <v>45083.0</v>
      </c>
      <c r="D105" s="18">
        <v>8.0</v>
      </c>
      <c r="E105" s="19">
        <v>7.0</v>
      </c>
      <c r="F105" s="20">
        <v>24000.0</v>
      </c>
      <c r="G105" s="21" t="s">
        <v>2711</v>
      </c>
      <c r="H105" s="19">
        <v>5.0</v>
      </c>
      <c r="I105" s="21" t="s">
        <v>438</v>
      </c>
      <c r="J105" s="22" t="s">
        <v>2627</v>
      </c>
    </row>
    <row r="106">
      <c r="A106" s="15" t="s">
        <v>2816</v>
      </c>
      <c r="B106" s="16">
        <v>45080.0</v>
      </c>
      <c r="C106" s="17">
        <v>45085.0</v>
      </c>
      <c r="D106" s="18">
        <v>7.0</v>
      </c>
      <c r="E106" s="19">
        <v>9.0</v>
      </c>
      <c r="F106" s="20">
        <v>28000.0</v>
      </c>
      <c r="G106" s="21" t="s">
        <v>2711</v>
      </c>
      <c r="H106" s="19">
        <v>5.0</v>
      </c>
      <c r="I106" s="21" t="s">
        <v>466</v>
      </c>
      <c r="J106" s="22" t="s">
        <v>2587</v>
      </c>
    </row>
    <row r="107">
      <c r="A107" s="15" t="s">
        <v>2817</v>
      </c>
      <c r="B107" s="16">
        <v>45080.0</v>
      </c>
      <c r="C107" s="17">
        <v>45081.0</v>
      </c>
      <c r="D107" s="18">
        <v>14.0</v>
      </c>
      <c r="E107" s="19">
        <v>9.0</v>
      </c>
      <c r="F107" s="20">
        <v>28000.0</v>
      </c>
      <c r="G107" s="21" t="s">
        <v>2711</v>
      </c>
      <c r="H107" s="19">
        <v>5.0</v>
      </c>
      <c r="I107" s="21" t="s">
        <v>118</v>
      </c>
      <c r="J107" s="22" t="s">
        <v>2501</v>
      </c>
    </row>
    <row r="108">
      <c r="A108" s="15" t="s">
        <v>2818</v>
      </c>
      <c r="B108" s="16">
        <v>45080.0</v>
      </c>
      <c r="C108" s="17">
        <v>45083.0</v>
      </c>
      <c r="D108" s="18">
        <v>17.0</v>
      </c>
      <c r="E108" s="19">
        <v>9.0</v>
      </c>
      <c r="F108" s="20">
        <v>33100.0</v>
      </c>
      <c r="G108" s="21" t="s">
        <v>2711</v>
      </c>
      <c r="H108" s="19">
        <v>4.0</v>
      </c>
      <c r="I108" s="21" t="s">
        <v>589</v>
      </c>
      <c r="J108" s="22" t="s">
        <v>2501</v>
      </c>
      <c r="K108" s="27"/>
    </row>
    <row r="109">
      <c r="A109" s="15" t="s">
        <v>2819</v>
      </c>
      <c r="B109" s="16">
        <v>45080.0</v>
      </c>
      <c r="C109" s="17">
        <v>45083.0</v>
      </c>
      <c r="D109" s="18">
        <v>20.0</v>
      </c>
      <c r="E109" s="19">
        <v>5.0</v>
      </c>
      <c r="F109" s="20">
        <v>26000.0</v>
      </c>
      <c r="G109" s="21" t="s">
        <v>2711</v>
      </c>
      <c r="H109" s="19">
        <v>5.0</v>
      </c>
      <c r="I109" s="21" t="s">
        <v>402</v>
      </c>
      <c r="J109" s="22" t="s">
        <v>2627</v>
      </c>
    </row>
    <row r="110">
      <c r="A110" s="15" t="s">
        <v>2820</v>
      </c>
      <c r="B110" s="16">
        <v>45080.0</v>
      </c>
      <c r="C110" s="17">
        <v>45082.0</v>
      </c>
      <c r="D110" s="18">
        <v>1.0</v>
      </c>
      <c r="E110" s="19">
        <v>1.0</v>
      </c>
      <c r="F110" s="20">
        <v>12000.0</v>
      </c>
      <c r="G110" s="21" t="s">
        <v>2711</v>
      </c>
      <c r="H110" s="19">
        <v>4.0</v>
      </c>
      <c r="I110" s="21" t="s">
        <v>2377</v>
      </c>
      <c r="J110" s="22" t="s">
        <v>2557</v>
      </c>
    </row>
    <row r="111">
      <c r="A111" s="15" t="s">
        <v>2821</v>
      </c>
      <c r="B111" s="16">
        <v>45080.0</v>
      </c>
      <c r="C111" s="17">
        <v>45083.0</v>
      </c>
      <c r="D111" s="18">
        <v>8.0</v>
      </c>
      <c r="E111" s="19">
        <v>6.0</v>
      </c>
      <c r="F111" s="20">
        <v>22000.0</v>
      </c>
      <c r="G111" s="21" t="s">
        <v>2711</v>
      </c>
      <c r="H111" s="19">
        <v>4.0</v>
      </c>
      <c r="I111" s="21" t="s">
        <v>458</v>
      </c>
      <c r="J111" s="22" t="s">
        <v>2672</v>
      </c>
    </row>
    <row r="112">
      <c r="A112" s="15" t="s">
        <v>2822</v>
      </c>
      <c r="B112" s="16">
        <v>45080.0</v>
      </c>
      <c r="C112" s="17">
        <v>45083.0</v>
      </c>
      <c r="D112" s="18">
        <v>13.0</v>
      </c>
      <c r="E112" s="19">
        <v>8.0</v>
      </c>
      <c r="F112" s="20">
        <v>26000.0</v>
      </c>
      <c r="G112" s="21" t="s">
        <v>2711</v>
      </c>
      <c r="H112" s="19">
        <v>4.0</v>
      </c>
      <c r="I112" s="21" t="s">
        <v>2180</v>
      </c>
      <c r="J112" s="22" t="s">
        <v>2672</v>
      </c>
    </row>
    <row r="113">
      <c r="A113" s="15" t="s">
        <v>2823</v>
      </c>
      <c r="B113" s="16">
        <v>45080.0</v>
      </c>
      <c r="C113" s="17">
        <v>45085.0</v>
      </c>
      <c r="D113" s="18">
        <v>2.0</v>
      </c>
      <c r="E113" s="19">
        <v>3.0</v>
      </c>
      <c r="F113" s="20">
        <v>16000.0</v>
      </c>
      <c r="G113" s="21" t="s">
        <v>2711</v>
      </c>
      <c r="H113" s="19">
        <v>4.0</v>
      </c>
      <c r="I113" s="21" t="s">
        <v>1894</v>
      </c>
      <c r="J113" s="22" t="s">
        <v>2547</v>
      </c>
    </row>
    <row r="114">
      <c r="A114" s="15" t="s">
        <v>2824</v>
      </c>
      <c r="B114" s="16">
        <v>45080.0</v>
      </c>
      <c r="C114" s="17">
        <v>45082.0</v>
      </c>
      <c r="D114" s="18">
        <v>5.0</v>
      </c>
      <c r="E114" s="19">
        <v>1.0</v>
      </c>
      <c r="F114" s="20">
        <v>12000.0</v>
      </c>
      <c r="G114" s="21" t="s">
        <v>2711</v>
      </c>
      <c r="H114" s="19">
        <v>4.0</v>
      </c>
      <c r="I114" s="21" t="s">
        <v>2461</v>
      </c>
      <c r="J114" s="22" t="s">
        <v>2597</v>
      </c>
    </row>
    <row r="115">
      <c r="A115" s="15" t="s">
        <v>2825</v>
      </c>
      <c r="B115" s="16">
        <v>45080.0</v>
      </c>
      <c r="C115" s="17">
        <v>45085.0</v>
      </c>
      <c r="D115" s="18">
        <v>1.0</v>
      </c>
      <c r="E115" s="19">
        <v>3.0</v>
      </c>
      <c r="F115" s="20">
        <v>16000.0</v>
      </c>
      <c r="G115" s="21" t="s">
        <v>2711</v>
      </c>
      <c r="H115" s="19">
        <v>4.0</v>
      </c>
      <c r="I115" s="21" t="s">
        <v>2017</v>
      </c>
      <c r="J115" s="22" t="s">
        <v>2602</v>
      </c>
    </row>
    <row r="116">
      <c r="A116" s="15" t="s">
        <v>2826</v>
      </c>
      <c r="B116" s="16">
        <v>45081.0</v>
      </c>
      <c r="C116" s="17">
        <v>45086.0</v>
      </c>
      <c r="D116" s="18">
        <v>3.0</v>
      </c>
      <c r="E116" s="19">
        <v>1.0</v>
      </c>
      <c r="F116" s="20">
        <v>12000.0</v>
      </c>
      <c r="G116" s="21" t="s">
        <v>2711</v>
      </c>
      <c r="H116" s="19">
        <v>4.0</v>
      </c>
      <c r="I116" s="21" t="s">
        <v>1268</v>
      </c>
      <c r="J116" s="22" t="s">
        <v>2692</v>
      </c>
    </row>
    <row r="117">
      <c r="A117" s="15" t="s">
        <v>2827</v>
      </c>
      <c r="B117" s="16">
        <v>45081.0</v>
      </c>
      <c r="C117" s="17">
        <v>45083.0</v>
      </c>
      <c r="D117" s="18">
        <v>20.0</v>
      </c>
      <c r="E117" s="19">
        <v>8.0</v>
      </c>
      <c r="F117" s="20">
        <v>32000.0</v>
      </c>
      <c r="G117" s="21" t="s">
        <v>2711</v>
      </c>
      <c r="H117" s="19">
        <v>4.0</v>
      </c>
      <c r="I117" s="21" t="s">
        <v>1125</v>
      </c>
      <c r="J117" s="22" t="s">
        <v>2501</v>
      </c>
    </row>
    <row r="118">
      <c r="A118" s="15" t="s">
        <v>2828</v>
      </c>
      <c r="B118" s="16">
        <v>45081.0</v>
      </c>
      <c r="C118" s="17">
        <v>45082.0</v>
      </c>
      <c r="D118" s="18">
        <v>10.0</v>
      </c>
      <c r="E118" s="19">
        <v>7.0</v>
      </c>
      <c r="F118" s="20">
        <v>24000.0</v>
      </c>
      <c r="G118" s="21" t="s">
        <v>2711</v>
      </c>
      <c r="H118" s="19">
        <v>4.0</v>
      </c>
      <c r="I118" s="21" t="s">
        <v>1244</v>
      </c>
      <c r="J118" s="22" t="s">
        <v>2662</v>
      </c>
    </row>
    <row r="119">
      <c r="A119" s="15" t="s">
        <v>2829</v>
      </c>
      <c r="B119" s="16">
        <v>45081.0</v>
      </c>
      <c r="C119" s="17">
        <v>45082.0</v>
      </c>
      <c r="D119" s="18">
        <v>10.0</v>
      </c>
      <c r="E119" s="19">
        <v>5.0</v>
      </c>
      <c r="F119" s="20">
        <v>20000.0</v>
      </c>
      <c r="G119" s="21" t="s">
        <v>2711</v>
      </c>
      <c r="H119" s="19">
        <v>5.0</v>
      </c>
      <c r="I119" s="21" t="s">
        <v>942</v>
      </c>
      <c r="J119" s="22" t="s">
        <v>2587</v>
      </c>
    </row>
    <row r="120">
      <c r="A120" s="15" t="s">
        <v>2830</v>
      </c>
      <c r="B120" s="16">
        <v>45081.0</v>
      </c>
      <c r="C120" s="17">
        <v>45085.0</v>
      </c>
      <c r="D120" s="18">
        <v>2.0</v>
      </c>
      <c r="E120" s="19">
        <v>3.0</v>
      </c>
      <c r="F120" s="20">
        <v>16000.0</v>
      </c>
      <c r="G120" s="21" t="s">
        <v>2711</v>
      </c>
      <c r="H120" s="19">
        <v>4.0</v>
      </c>
      <c r="I120" s="21" t="s">
        <v>1129</v>
      </c>
      <c r="J120" s="22" t="s">
        <v>2602</v>
      </c>
    </row>
    <row r="121">
      <c r="A121" s="15" t="s">
        <v>2831</v>
      </c>
      <c r="B121" s="16">
        <v>45081.0</v>
      </c>
      <c r="C121" s="17">
        <v>45085.0</v>
      </c>
      <c r="D121" s="18">
        <v>6.0</v>
      </c>
      <c r="E121" s="19">
        <v>3.0</v>
      </c>
      <c r="F121" s="20">
        <v>16000.0</v>
      </c>
      <c r="G121" s="21" t="s">
        <v>2711</v>
      </c>
      <c r="H121" s="19">
        <v>4.0</v>
      </c>
      <c r="I121" s="21" t="s">
        <v>787</v>
      </c>
      <c r="J121" s="22" t="s">
        <v>2496</v>
      </c>
    </row>
    <row r="122">
      <c r="A122" s="15" t="s">
        <v>2832</v>
      </c>
      <c r="B122" s="16">
        <v>45081.0</v>
      </c>
      <c r="C122" s="17">
        <v>45084.0</v>
      </c>
      <c r="D122" s="18">
        <v>5.0</v>
      </c>
      <c r="E122" s="19">
        <v>3.0</v>
      </c>
      <c r="F122" s="20">
        <v>16000.0</v>
      </c>
      <c r="G122" s="21" t="s">
        <v>2711</v>
      </c>
      <c r="H122" s="19">
        <v>5.0</v>
      </c>
      <c r="I122" s="21" t="s">
        <v>894</v>
      </c>
      <c r="J122" s="22" t="s">
        <v>2532</v>
      </c>
    </row>
    <row r="123">
      <c r="A123" s="15" t="s">
        <v>2833</v>
      </c>
      <c r="B123" s="16">
        <v>45081.0</v>
      </c>
      <c r="C123" s="17">
        <v>45082.0</v>
      </c>
      <c r="D123" s="18">
        <v>7.0</v>
      </c>
      <c r="E123" s="19">
        <v>8.0</v>
      </c>
      <c r="F123" s="20">
        <v>26000.0</v>
      </c>
      <c r="G123" s="21" t="s">
        <v>2711</v>
      </c>
      <c r="H123" s="19">
        <v>5.0</v>
      </c>
      <c r="I123" s="21" t="s">
        <v>910</v>
      </c>
      <c r="J123" s="22" t="s">
        <v>2667</v>
      </c>
    </row>
    <row r="124">
      <c r="A124" s="15" t="s">
        <v>2834</v>
      </c>
      <c r="B124" s="16">
        <v>45081.0</v>
      </c>
      <c r="C124" s="17">
        <v>45084.0</v>
      </c>
      <c r="D124" s="18">
        <v>2.0</v>
      </c>
      <c r="E124" s="19">
        <v>1.0</v>
      </c>
      <c r="F124" s="20">
        <v>12000.0</v>
      </c>
      <c r="G124" s="21" t="s">
        <v>2711</v>
      </c>
      <c r="H124" s="19">
        <v>4.0</v>
      </c>
      <c r="I124" s="21" t="s">
        <v>338</v>
      </c>
      <c r="J124" s="22" t="s">
        <v>2506</v>
      </c>
    </row>
    <row r="125">
      <c r="A125" s="15" t="s">
        <v>2835</v>
      </c>
      <c r="B125" s="16">
        <v>45081.0</v>
      </c>
      <c r="C125" s="17">
        <v>45084.0</v>
      </c>
      <c r="D125" s="18">
        <v>13.0</v>
      </c>
      <c r="E125" s="19">
        <v>8.0</v>
      </c>
      <c r="F125" s="20">
        <v>26000.0</v>
      </c>
      <c r="G125" s="24" t="s">
        <v>2711</v>
      </c>
      <c r="H125" s="19">
        <v>5.0</v>
      </c>
      <c r="I125" s="21" t="s">
        <v>1945</v>
      </c>
      <c r="J125" s="22" t="s">
        <v>2537</v>
      </c>
    </row>
    <row r="126">
      <c r="A126" s="15" t="s">
        <v>2836</v>
      </c>
      <c r="B126" s="16">
        <v>45081.0</v>
      </c>
      <c r="C126" s="17">
        <v>45085.0</v>
      </c>
      <c r="D126" s="18">
        <v>10.0</v>
      </c>
      <c r="E126" s="19">
        <v>7.0</v>
      </c>
      <c r="F126" s="20">
        <v>24000.0</v>
      </c>
      <c r="G126" s="24" t="s">
        <v>2711</v>
      </c>
      <c r="H126" s="19">
        <v>5.0</v>
      </c>
      <c r="I126" s="21" t="s">
        <v>158</v>
      </c>
      <c r="J126" s="22" t="s">
        <v>2627</v>
      </c>
    </row>
    <row r="127">
      <c r="A127" s="15" t="s">
        <v>2837</v>
      </c>
      <c r="B127" s="16">
        <v>45081.0</v>
      </c>
      <c r="C127" s="17">
        <v>45084.0</v>
      </c>
      <c r="D127" s="18">
        <v>4.0</v>
      </c>
      <c r="E127" s="19">
        <v>2.0</v>
      </c>
      <c r="F127" s="20">
        <v>14000.0</v>
      </c>
      <c r="G127" s="21" t="s">
        <v>2711</v>
      </c>
      <c r="H127" s="19">
        <v>5.0</v>
      </c>
      <c r="I127" s="21" t="s">
        <v>418</v>
      </c>
      <c r="J127" s="22" t="s">
        <v>2622</v>
      </c>
    </row>
    <row r="128">
      <c r="A128" s="15" t="s">
        <v>2838</v>
      </c>
      <c r="B128" s="16">
        <v>45081.0</v>
      </c>
      <c r="C128" s="17">
        <v>45085.0</v>
      </c>
      <c r="D128" s="18">
        <v>20.0</v>
      </c>
      <c r="E128" s="19">
        <v>8.0</v>
      </c>
      <c r="F128" s="20">
        <v>32000.0</v>
      </c>
      <c r="G128" s="21" t="s">
        <v>2711</v>
      </c>
      <c r="H128" s="19">
        <v>5.0</v>
      </c>
      <c r="I128" s="21" t="s">
        <v>58</v>
      </c>
      <c r="J128" s="22" t="s">
        <v>2672</v>
      </c>
    </row>
    <row r="129">
      <c r="A129" s="15" t="s">
        <v>2839</v>
      </c>
      <c r="B129" s="16">
        <v>45081.0</v>
      </c>
      <c r="C129" s="17">
        <v>45082.0</v>
      </c>
      <c r="D129" s="18">
        <v>16.0</v>
      </c>
      <c r="E129" s="19">
        <v>4.0</v>
      </c>
      <c r="F129" s="20">
        <v>22800.0</v>
      </c>
      <c r="G129" s="21" t="s">
        <v>2711</v>
      </c>
      <c r="H129" s="19">
        <v>4.0</v>
      </c>
      <c r="I129" s="21" t="s">
        <v>918</v>
      </c>
      <c r="J129" s="22" t="s">
        <v>2627</v>
      </c>
    </row>
    <row r="130">
      <c r="A130" s="15" t="s">
        <v>2840</v>
      </c>
      <c r="B130" s="16">
        <v>45081.0</v>
      </c>
      <c r="C130" s="17">
        <v>45085.0</v>
      </c>
      <c r="D130" s="18">
        <v>6.0</v>
      </c>
      <c r="E130" s="19">
        <v>3.0</v>
      </c>
      <c r="F130" s="20">
        <v>16000.0</v>
      </c>
      <c r="G130" s="21" t="s">
        <v>2711</v>
      </c>
      <c r="H130" s="19">
        <v>5.0</v>
      </c>
      <c r="I130" s="21" t="s">
        <v>1842</v>
      </c>
      <c r="J130" s="22" t="s">
        <v>2532</v>
      </c>
    </row>
    <row r="131">
      <c r="A131" s="15" t="s">
        <v>2841</v>
      </c>
      <c r="B131" s="16">
        <v>45081.0</v>
      </c>
      <c r="C131" s="17">
        <v>45082.0</v>
      </c>
      <c r="D131" s="18">
        <v>11.0</v>
      </c>
      <c r="E131" s="19">
        <v>7.0</v>
      </c>
      <c r="F131" s="20">
        <v>24000.0</v>
      </c>
      <c r="G131" s="24" t="s">
        <v>2711</v>
      </c>
      <c r="H131" s="19">
        <v>5.0</v>
      </c>
      <c r="I131" s="21" t="s">
        <v>1910</v>
      </c>
      <c r="J131" s="22" t="s">
        <v>2637</v>
      </c>
    </row>
    <row r="132">
      <c r="A132" s="15" t="s">
        <v>2842</v>
      </c>
      <c r="B132" s="16">
        <v>45081.0</v>
      </c>
      <c r="C132" s="17">
        <v>45085.0</v>
      </c>
      <c r="D132" s="18">
        <v>1.0</v>
      </c>
      <c r="E132" s="19">
        <v>1.0</v>
      </c>
      <c r="F132" s="20">
        <v>12000.0</v>
      </c>
      <c r="G132" s="24" t="s">
        <v>2711</v>
      </c>
      <c r="H132" s="19">
        <v>5.0</v>
      </c>
      <c r="I132" s="21" t="s">
        <v>1264</v>
      </c>
      <c r="J132" s="22" t="s">
        <v>2647</v>
      </c>
    </row>
    <row r="133">
      <c r="A133" s="15" t="s">
        <v>2843</v>
      </c>
      <c r="B133" s="16">
        <v>45081.0</v>
      </c>
      <c r="C133" s="17">
        <v>45083.0</v>
      </c>
      <c r="D133" s="18">
        <v>4.0</v>
      </c>
      <c r="E133" s="19">
        <v>2.0</v>
      </c>
      <c r="F133" s="20">
        <v>14000.0</v>
      </c>
      <c r="G133" s="21" t="s">
        <v>2711</v>
      </c>
      <c r="H133" s="19">
        <v>4.0</v>
      </c>
      <c r="I133" s="21" t="s">
        <v>1784</v>
      </c>
      <c r="J133" s="22" t="s">
        <v>2652</v>
      </c>
    </row>
    <row r="134">
      <c r="A134" s="15" t="s">
        <v>2844</v>
      </c>
      <c r="B134" s="16">
        <v>45081.0</v>
      </c>
      <c r="C134" s="17">
        <v>45084.0</v>
      </c>
      <c r="D134" s="18">
        <v>17.0</v>
      </c>
      <c r="E134" s="19">
        <v>5.0</v>
      </c>
      <c r="F134" s="20">
        <v>25100.0</v>
      </c>
      <c r="G134" s="21" t="s">
        <v>2711</v>
      </c>
      <c r="H134" s="19">
        <v>4.0</v>
      </c>
      <c r="I134" s="21" t="s">
        <v>1748</v>
      </c>
      <c r="J134" s="22" t="s">
        <v>2672</v>
      </c>
    </row>
    <row r="135">
      <c r="A135" s="15" t="s">
        <v>2845</v>
      </c>
      <c r="B135" s="16">
        <v>45081.0</v>
      </c>
      <c r="C135" s="17">
        <v>45086.0</v>
      </c>
      <c r="D135" s="18">
        <v>1.0</v>
      </c>
      <c r="E135" s="19">
        <v>1.0</v>
      </c>
      <c r="F135" s="20">
        <v>12000.0</v>
      </c>
      <c r="G135" s="21" t="s">
        <v>2711</v>
      </c>
      <c r="H135" s="19">
        <v>4.0</v>
      </c>
      <c r="I135" s="21" t="s">
        <v>1886</v>
      </c>
      <c r="J135" s="22" t="s">
        <v>2652</v>
      </c>
    </row>
    <row r="136">
      <c r="A136" s="15" t="s">
        <v>2846</v>
      </c>
      <c r="B136" s="16">
        <v>45081.0</v>
      </c>
      <c r="C136" s="17">
        <v>45084.0</v>
      </c>
      <c r="D136" s="18">
        <v>7.0</v>
      </c>
      <c r="E136" s="19">
        <v>5.0</v>
      </c>
      <c r="F136" s="20">
        <v>20000.0</v>
      </c>
      <c r="G136" s="21" t="s">
        <v>2711</v>
      </c>
      <c r="H136" s="19">
        <v>5.0</v>
      </c>
      <c r="I136" s="21" t="s">
        <v>545</v>
      </c>
      <c r="J136" s="22" t="s">
        <v>2587</v>
      </c>
    </row>
    <row r="137">
      <c r="A137" s="15" t="s">
        <v>2847</v>
      </c>
      <c r="B137" s="16">
        <v>45081.0</v>
      </c>
      <c r="C137" s="17">
        <v>45086.0</v>
      </c>
      <c r="D137" s="18">
        <v>2.0</v>
      </c>
      <c r="E137" s="19">
        <v>2.0</v>
      </c>
      <c r="F137" s="20">
        <v>14000.0</v>
      </c>
      <c r="G137" s="21" t="s">
        <v>2711</v>
      </c>
      <c r="H137" s="19">
        <v>5.0</v>
      </c>
      <c r="I137" s="21" t="s">
        <v>518</v>
      </c>
      <c r="J137" s="22" t="s">
        <v>2547</v>
      </c>
    </row>
    <row r="138">
      <c r="A138" s="15" t="s">
        <v>2848</v>
      </c>
      <c r="B138" s="16">
        <v>45081.0</v>
      </c>
      <c r="C138" s="17">
        <v>45084.0</v>
      </c>
      <c r="D138" s="18">
        <v>6.0</v>
      </c>
      <c r="E138" s="19">
        <v>2.0</v>
      </c>
      <c r="F138" s="20">
        <v>14000.0</v>
      </c>
      <c r="G138" s="21" t="s">
        <v>2711</v>
      </c>
      <c r="H138" s="19">
        <v>4.0</v>
      </c>
      <c r="I138" s="21" t="s">
        <v>34</v>
      </c>
      <c r="J138" s="22" t="s">
        <v>2602</v>
      </c>
    </row>
    <row r="139">
      <c r="A139" s="15" t="s">
        <v>2849</v>
      </c>
      <c r="B139" s="16">
        <v>45081.0</v>
      </c>
      <c r="C139" s="17">
        <v>45083.0</v>
      </c>
      <c r="D139" s="18">
        <v>16.0</v>
      </c>
      <c r="E139" s="19">
        <v>4.0</v>
      </c>
      <c r="F139" s="20">
        <v>22800.0</v>
      </c>
      <c r="G139" s="21" t="s">
        <v>2711</v>
      </c>
      <c r="H139" s="19">
        <v>5.0</v>
      </c>
      <c r="I139" s="21" t="s">
        <v>1216</v>
      </c>
      <c r="J139" s="22" t="s">
        <v>2587</v>
      </c>
    </row>
    <row r="140">
      <c r="A140" s="15" t="s">
        <v>2850</v>
      </c>
      <c r="B140" s="16">
        <v>45081.0</v>
      </c>
      <c r="C140" s="17">
        <v>45085.0</v>
      </c>
      <c r="D140" s="18">
        <v>5.0</v>
      </c>
      <c r="E140" s="19">
        <v>2.0</v>
      </c>
      <c r="F140" s="20">
        <v>14000.0</v>
      </c>
      <c r="G140" s="21" t="s">
        <v>2711</v>
      </c>
      <c r="H140" s="19">
        <v>5.0</v>
      </c>
      <c r="I140" s="21" t="s">
        <v>1808</v>
      </c>
      <c r="J140" s="22" t="s">
        <v>2547</v>
      </c>
    </row>
    <row r="141">
      <c r="A141" s="15" t="s">
        <v>2851</v>
      </c>
      <c r="B141" s="16">
        <v>45081.0</v>
      </c>
      <c r="C141" s="17">
        <v>45082.0</v>
      </c>
      <c r="D141" s="18">
        <v>6.0</v>
      </c>
      <c r="E141" s="19">
        <v>1.0</v>
      </c>
      <c r="F141" s="20">
        <v>12000.0</v>
      </c>
      <c r="G141" s="21" t="s">
        <v>2711</v>
      </c>
      <c r="H141" s="19">
        <v>5.0</v>
      </c>
      <c r="I141" s="21" t="s">
        <v>174</v>
      </c>
      <c r="J141" s="22" t="s">
        <v>2622</v>
      </c>
    </row>
    <row r="142">
      <c r="A142" s="15" t="s">
        <v>2852</v>
      </c>
      <c r="B142" s="16">
        <v>45081.0</v>
      </c>
      <c r="C142" s="17">
        <v>45083.0</v>
      </c>
      <c r="D142" s="18">
        <v>2.0</v>
      </c>
      <c r="E142" s="19">
        <v>3.0</v>
      </c>
      <c r="F142" s="20">
        <v>16000.0</v>
      </c>
      <c r="G142" s="21" t="s">
        <v>2711</v>
      </c>
      <c r="H142" s="19">
        <v>5.0</v>
      </c>
      <c r="I142" s="21" t="s">
        <v>652</v>
      </c>
      <c r="J142" s="22" t="s">
        <v>2562</v>
      </c>
    </row>
    <row r="143">
      <c r="A143" s="15" t="s">
        <v>2853</v>
      </c>
      <c r="B143" s="16">
        <v>45081.0</v>
      </c>
      <c r="C143" s="17">
        <v>45086.0</v>
      </c>
      <c r="D143" s="18">
        <v>4.0</v>
      </c>
      <c r="E143" s="19">
        <v>1.0</v>
      </c>
      <c r="F143" s="20">
        <v>12000.0</v>
      </c>
      <c r="G143" s="21" t="s">
        <v>2711</v>
      </c>
      <c r="H143" s="19">
        <v>5.0</v>
      </c>
      <c r="I143" s="21" t="s">
        <v>1053</v>
      </c>
      <c r="J143" s="22" t="s">
        <v>2572</v>
      </c>
    </row>
    <row r="144">
      <c r="A144" s="15" t="s">
        <v>2854</v>
      </c>
      <c r="B144" s="16">
        <v>45081.0</v>
      </c>
      <c r="C144" s="17">
        <v>45083.0</v>
      </c>
      <c r="D144" s="18">
        <v>2.0</v>
      </c>
      <c r="E144" s="19">
        <v>2.0</v>
      </c>
      <c r="F144" s="20">
        <v>14000.0</v>
      </c>
      <c r="G144" s="21" t="s">
        <v>2711</v>
      </c>
      <c r="H144" s="19">
        <v>3.0</v>
      </c>
      <c r="I144" s="21" t="s">
        <v>684</v>
      </c>
      <c r="J144" s="22" t="s">
        <v>2511</v>
      </c>
    </row>
    <row r="145">
      <c r="A145" s="15" t="s">
        <v>2855</v>
      </c>
      <c r="B145" s="16">
        <v>45081.0</v>
      </c>
      <c r="C145" s="17">
        <v>45083.0</v>
      </c>
      <c r="D145" s="18">
        <v>3.0</v>
      </c>
      <c r="E145" s="19">
        <v>2.0</v>
      </c>
      <c r="F145" s="20">
        <v>14000.0</v>
      </c>
      <c r="G145" s="21" t="s">
        <v>2711</v>
      </c>
      <c r="H145" s="19">
        <v>5.0</v>
      </c>
      <c r="I145" s="21" t="s">
        <v>1280</v>
      </c>
      <c r="J145" s="22" t="s">
        <v>2642</v>
      </c>
    </row>
    <row r="146">
      <c r="A146" s="15" t="s">
        <v>2856</v>
      </c>
      <c r="B146" s="16">
        <v>45081.0</v>
      </c>
      <c r="C146" s="17">
        <v>45085.0</v>
      </c>
      <c r="D146" s="18">
        <v>11.0</v>
      </c>
      <c r="E146" s="19">
        <v>5.0</v>
      </c>
      <c r="F146" s="20">
        <v>20000.0</v>
      </c>
      <c r="G146" s="21" t="s">
        <v>2711</v>
      </c>
      <c r="H146" s="19">
        <v>3.0</v>
      </c>
      <c r="I146" s="21" t="s">
        <v>2413</v>
      </c>
      <c r="J146" s="22" t="s">
        <v>2484</v>
      </c>
    </row>
    <row r="147">
      <c r="A147" s="15" t="s">
        <v>2857</v>
      </c>
      <c r="B147" s="16">
        <v>45081.0</v>
      </c>
      <c r="C147" s="17">
        <v>45082.0</v>
      </c>
      <c r="D147" s="18">
        <v>1.0</v>
      </c>
      <c r="E147" s="19">
        <v>2.0</v>
      </c>
      <c r="F147" s="20">
        <v>14000.0</v>
      </c>
      <c r="G147" s="21" t="s">
        <v>2711</v>
      </c>
      <c r="H147" s="19">
        <v>5.0</v>
      </c>
      <c r="I147" s="21" t="s">
        <v>198</v>
      </c>
      <c r="J147" s="22" t="s">
        <v>2642</v>
      </c>
      <c r="K147" s="27"/>
    </row>
    <row r="148">
      <c r="A148" s="15" t="s">
        <v>2858</v>
      </c>
      <c r="B148" s="16">
        <v>45081.0</v>
      </c>
      <c r="C148" s="17">
        <v>45084.0</v>
      </c>
      <c r="D148" s="18">
        <v>18.0</v>
      </c>
      <c r="E148" s="19">
        <v>9.0</v>
      </c>
      <c r="F148" s="20">
        <v>33400.0</v>
      </c>
      <c r="G148" s="21" t="s">
        <v>2711</v>
      </c>
      <c r="H148" s="19">
        <v>5.0</v>
      </c>
      <c r="I148" s="21" t="s">
        <v>1089</v>
      </c>
      <c r="J148" s="22" t="s">
        <v>2637</v>
      </c>
      <c r="K148" s="27"/>
    </row>
    <row r="149">
      <c r="A149" s="15" t="s">
        <v>2859</v>
      </c>
      <c r="B149" s="16">
        <v>45081.0</v>
      </c>
      <c r="C149" s="17">
        <v>45082.0</v>
      </c>
      <c r="D149" s="18">
        <v>4.0</v>
      </c>
      <c r="E149" s="19">
        <v>2.0</v>
      </c>
      <c r="F149" s="20">
        <v>14000.0</v>
      </c>
      <c r="G149" s="21" t="s">
        <v>2711</v>
      </c>
      <c r="H149" s="19">
        <v>5.0</v>
      </c>
      <c r="I149" s="21" t="s">
        <v>1344</v>
      </c>
      <c r="J149" s="22" t="s">
        <v>2511</v>
      </c>
    </row>
    <row r="150">
      <c r="A150" s="15" t="s">
        <v>2860</v>
      </c>
      <c r="B150" s="16">
        <v>45081.0</v>
      </c>
      <c r="C150" s="17">
        <v>45085.0</v>
      </c>
      <c r="D150" s="18">
        <v>2.0</v>
      </c>
      <c r="E150" s="19">
        <v>1.0</v>
      </c>
      <c r="F150" s="20">
        <v>12000.0</v>
      </c>
      <c r="G150" s="21" t="s">
        <v>2711</v>
      </c>
      <c r="H150" s="19">
        <v>3.0</v>
      </c>
      <c r="I150" s="21" t="s">
        <v>1363</v>
      </c>
      <c r="J150" s="22" t="s">
        <v>2642</v>
      </c>
    </row>
    <row r="151">
      <c r="A151" s="15" t="s">
        <v>2861</v>
      </c>
      <c r="B151" s="17">
        <v>45082.0</v>
      </c>
      <c r="C151" s="17">
        <f t="shared" ref="C151:C152" si="2">B151 + RANDBETWEEN(1,5)</f>
        <v>45085</v>
      </c>
      <c r="D151" s="18">
        <v>6.0</v>
      </c>
      <c r="E151" s="19">
        <v>2.0</v>
      </c>
      <c r="F151" s="20">
        <v>14000.0</v>
      </c>
      <c r="G151" s="21" t="s">
        <v>2711</v>
      </c>
      <c r="H151" s="19">
        <v>5.0</v>
      </c>
      <c r="I151" s="21" t="s">
        <v>1961</v>
      </c>
      <c r="J151" s="22" t="s">
        <v>2577</v>
      </c>
    </row>
    <row r="152">
      <c r="A152" s="15" t="s">
        <v>2862</v>
      </c>
      <c r="B152" s="17">
        <v>45082.0</v>
      </c>
      <c r="C152" s="17">
        <f t="shared" si="2"/>
        <v>45087</v>
      </c>
      <c r="D152" s="18">
        <v>2.0</v>
      </c>
      <c r="E152" s="19">
        <v>3.0</v>
      </c>
      <c r="F152" s="20">
        <v>16000.0</v>
      </c>
      <c r="G152" s="21" t="s">
        <v>2711</v>
      </c>
      <c r="H152" s="19">
        <v>5.0</v>
      </c>
      <c r="I152" s="21" t="s">
        <v>2196</v>
      </c>
      <c r="J152" s="22" t="s">
        <v>2622</v>
      </c>
    </row>
    <row r="153">
      <c r="A153" s="15" t="s">
        <v>2863</v>
      </c>
      <c r="B153" s="16">
        <v>45082.0</v>
      </c>
      <c r="C153" s="17">
        <v>45083.0</v>
      </c>
      <c r="D153" s="18">
        <v>2.0</v>
      </c>
      <c r="E153" s="19">
        <v>2.0</v>
      </c>
      <c r="F153" s="20">
        <v>14000.0</v>
      </c>
      <c r="G153" s="21" t="s">
        <v>2711</v>
      </c>
      <c r="H153" s="19">
        <v>5.0</v>
      </c>
      <c r="I153" s="21" t="s">
        <v>330</v>
      </c>
      <c r="J153" s="22" t="s">
        <v>2511</v>
      </c>
    </row>
    <row r="154">
      <c r="A154" s="15" t="s">
        <v>2864</v>
      </c>
      <c r="B154" s="16">
        <v>45082.0</v>
      </c>
      <c r="C154" s="17">
        <v>45085.0</v>
      </c>
      <c r="D154" s="18">
        <v>2.0</v>
      </c>
      <c r="E154" s="19">
        <v>1.0</v>
      </c>
      <c r="F154" s="20">
        <v>12000.0</v>
      </c>
      <c r="G154" s="21" t="s">
        <v>2711</v>
      </c>
      <c r="H154" s="19">
        <v>5.0</v>
      </c>
      <c r="I154" s="21" t="s">
        <v>114</v>
      </c>
      <c r="J154" s="22" t="s">
        <v>2567</v>
      </c>
    </row>
    <row r="155">
      <c r="A155" s="15" t="s">
        <v>2865</v>
      </c>
      <c r="B155" s="16">
        <v>45082.0</v>
      </c>
      <c r="C155" s="17">
        <v>45087.0</v>
      </c>
      <c r="D155" s="18">
        <v>3.0</v>
      </c>
      <c r="E155" s="19">
        <v>3.0</v>
      </c>
      <c r="F155" s="20">
        <v>16000.0</v>
      </c>
      <c r="G155" s="21" t="s">
        <v>2711</v>
      </c>
      <c r="H155" s="19">
        <v>3.0</v>
      </c>
      <c r="I155" s="21" t="s">
        <v>202</v>
      </c>
      <c r="J155" s="22" t="s">
        <v>2490</v>
      </c>
    </row>
    <row r="156">
      <c r="A156" s="15" t="s">
        <v>2866</v>
      </c>
      <c r="B156" s="16">
        <v>45082.0</v>
      </c>
      <c r="C156" s="17">
        <v>45084.0</v>
      </c>
      <c r="D156" s="18">
        <v>1.0</v>
      </c>
      <c r="E156" s="19">
        <v>2.0</v>
      </c>
      <c r="F156" s="20">
        <v>14000.0</v>
      </c>
      <c r="G156" s="21" t="s">
        <v>2711</v>
      </c>
      <c r="H156" s="19">
        <v>3.0</v>
      </c>
      <c r="I156" s="21" t="s">
        <v>648</v>
      </c>
      <c r="J156" s="22" t="s">
        <v>2490</v>
      </c>
    </row>
    <row r="157">
      <c r="A157" s="15" t="s">
        <v>2867</v>
      </c>
      <c r="B157" s="16">
        <v>45082.0</v>
      </c>
      <c r="C157" s="17">
        <v>45085.0</v>
      </c>
      <c r="D157" s="18">
        <v>1.0</v>
      </c>
      <c r="E157" s="19">
        <v>3.0</v>
      </c>
      <c r="F157" s="20">
        <v>16000.0</v>
      </c>
      <c r="G157" s="21" t="s">
        <v>2711</v>
      </c>
      <c r="H157" s="19">
        <v>5.0</v>
      </c>
      <c r="I157" s="21" t="s">
        <v>553</v>
      </c>
      <c r="J157" s="22" t="s">
        <v>2562</v>
      </c>
    </row>
    <row r="158">
      <c r="A158" s="15" t="s">
        <v>2868</v>
      </c>
      <c r="B158" s="16">
        <v>45082.0</v>
      </c>
      <c r="C158" s="17">
        <v>45086.0</v>
      </c>
      <c r="D158" s="18">
        <v>7.0</v>
      </c>
      <c r="E158" s="19">
        <v>8.0</v>
      </c>
      <c r="F158" s="20">
        <v>26000.0</v>
      </c>
      <c r="G158" s="21" t="s">
        <v>2711</v>
      </c>
      <c r="H158" s="19">
        <v>5.0</v>
      </c>
      <c r="I158" s="21" t="s">
        <v>2100</v>
      </c>
      <c r="J158" s="22" t="s">
        <v>2607</v>
      </c>
    </row>
    <row r="159">
      <c r="A159" s="15" t="s">
        <v>2869</v>
      </c>
      <c r="B159" s="16">
        <v>45082.0</v>
      </c>
      <c r="C159" s="17">
        <v>45085.0</v>
      </c>
      <c r="D159" s="18">
        <v>6.0</v>
      </c>
      <c r="E159" s="19">
        <v>3.0</v>
      </c>
      <c r="F159" s="20">
        <v>16000.0</v>
      </c>
      <c r="G159" s="21" t="s">
        <v>2711</v>
      </c>
      <c r="H159" s="19">
        <v>4.0</v>
      </c>
      <c r="I159" s="21" t="s">
        <v>954</v>
      </c>
      <c r="J159" s="22" t="s">
        <v>2496</v>
      </c>
    </row>
    <row r="160">
      <c r="A160" s="15" t="s">
        <v>2870</v>
      </c>
      <c r="B160" s="16">
        <v>45082.0</v>
      </c>
      <c r="C160" s="17">
        <v>45083.0</v>
      </c>
      <c r="D160" s="18">
        <v>20.0</v>
      </c>
      <c r="E160" s="19">
        <v>4.0</v>
      </c>
      <c r="F160" s="20">
        <v>24000.0</v>
      </c>
      <c r="G160" s="21" t="s">
        <v>2711</v>
      </c>
      <c r="H160" s="19">
        <v>5.0</v>
      </c>
      <c r="I160" s="21" t="s">
        <v>1161</v>
      </c>
      <c r="J160" s="22" t="s">
        <v>2662</v>
      </c>
    </row>
    <row r="161">
      <c r="A161" s="15" t="s">
        <v>2871</v>
      </c>
      <c r="B161" s="16">
        <v>45082.0</v>
      </c>
      <c r="C161" s="17">
        <v>45086.0</v>
      </c>
      <c r="D161" s="18">
        <v>6.0</v>
      </c>
      <c r="E161" s="19">
        <v>1.0</v>
      </c>
      <c r="F161" s="20">
        <v>12000.0</v>
      </c>
      <c r="G161" s="21" t="s">
        <v>2711</v>
      </c>
      <c r="H161" s="19">
        <v>5.0</v>
      </c>
      <c r="I161" s="21" t="s">
        <v>1244</v>
      </c>
      <c r="J161" s="22" t="s">
        <v>2677</v>
      </c>
    </row>
    <row r="162">
      <c r="A162" s="15" t="s">
        <v>2872</v>
      </c>
      <c r="B162" s="16">
        <v>45082.0</v>
      </c>
      <c r="C162" s="17">
        <v>45087.0</v>
      </c>
      <c r="D162" s="18">
        <v>3.0</v>
      </c>
      <c r="E162" s="19">
        <v>2.0</v>
      </c>
      <c r="F162" s="20">
        <v>14000.0</v>
      </c>
      <c r="G162" s="21" t="s">
        <v>2711</v>
      </c>
      <c r="H162" s="19">
        <v>5.0</v>
      </c>
      <c r="I162" s="21" t="s">
        <v>42</v>
      </c>
      <c r="J162" s="22" t="s">
        <v>2592</v>
      </c>
    </row>
    <row r="163">
      <c r="A163" s="15" t="s">
        <v>2873</v>
      </c>
      <c r="B163" s="16">
        <v>45082.0</v>
      </c>
      <c r="C163" s="17">
        <v>45086.0</v>
      </c>
      <c r="D163" s="18">
        <v>20.0</v>
      </c>
      <c r="E163" s="19">
        <v>6.0</v>
      </c>
      <c r="F163" s="20">
        <v>28000.0</v>
      </c>
      <c r="G163" s="21" t="s">
        <v>2711</v>
      </c>
      <c r="H163" s="19">
        <v>5.0</v>
      </c>
      <c r="I163" s="21" t="s">
        <v>1224</v>
      </c>
      <c r="J163" s="22" t="s">
        <v>2537</v>
      </c>
    </row>
    <row r="164">
      <c r="A164" s="15" t="s">
        <v>2874</v>
      </c>
      <c r="B164" s="16">
        <v>45082.0</v>
      </c>
      <c r="C164" s="17">
        <v>45083.0</v>
      </c>
      <c r="D164" s="18">
        <v>5.0</v>
      </c>
      <c r="E164" s="19">
        <v>2.0</v>
      </c>
      <c r="F164" s="20">
        <v>14000.0</v>
      </c>
      <c r="G164" s="21" t="s">
        <v>2711</v>
      </c>
      <c r="H164" s="19">
        <v>5.0</v>
      </c>
      <c r="I164" s="21" t="s">
        <v>2053</v>
      </c>
      <c r="J164" s="22" t="s">
        <v>2577</v>
      </c>
    </row>
    <row r="165">
      <c r="A165" s="15" t="s">
        <v>2875</v>
      </c>
      <c r="B165" s="16">
        <v>45082.0</v>
      </c>
      <c r="C165" s="17">
        <v>45084.0</v>
      </c>
      <c r="D165" s="18">
        <v>12.0</v>
      </c>
      <c r="E165" s="19">
        <v>6.0</v>
      </c>
      <c r="F165" s="20">
        <v>22000.0</v>
      </c>
      <c r="G165" s="21" t="s">
        <v>2711</v>
      </c>
      <c r="H165" s="19">
        <v>5.0</v>
      </c>
      <c r="I165" s="21" t="s">
        <v>1141</v>
      </c>
      <c r="J165" s="22" t="s">
        <v>2537</v>
      </c>
    </row>
    <row r="166">
      <c r="A166" s="15" t="s">
        <v>2876</v>
      </c>
      <c r="B166" s="16">
        <v>45082.0</v>
      </c>
      <c r="C166" s="17">
        <v>45084.0</v>
      </c>
      <c r="D166" s="18">
        <v>2.0</v>
      </c>
      <c r="E166" s="19">
        <v>3.0</v>
      </c>
      <c r="F166" s="20">
        <v>16000.0</v>
      </c>
      <c r="G166" s="21" t="s">
        <v>2711</v>
      </c>
      <c r="H166" s="19">
        <v>4.0</v>
      </c>
      <c r="I166" s="21" t="s">
        <v>1025</v>
      </c>
      <c r="J166" s="22" t="s">
        <v>2632</v>
      </c>
    </row>
    <row r="167">
      <c r="A167" s="15" t="s">
        <v>2877</v>
      </c>
      <c r="B167" s="16">
        <v>45082.0</v>
      </c>
      <c r="C167" s="17">
        <v>45084.0</v>
      </c>
      <c r="D167" s="18">
        <v>3.0</v>
      </c>
      <c r="E167" s="19">
        <v>1.0</v>
      </c>
      <c r="F167" s="20">
        <v>12000.0</v>
      </c>
      <c r="G167" s="21" t="s">
        <v>2711</v>
      </c>
      <c r="H167" s="19">
        <v>4.0</v>
      </c>
      <c r="I167" s="21" t="s">
        <v>2021</v>
      </c>
      <c r="J167" s="22" t="s">
        <v>2567</v>
      </c>
    </row>
    <row r="168">
      <c r="A168" s="15" t="s">
        <v>2878</v>
      </c>
      <c r="B168" s="16">
        <v>45082.0</v>
      </c>
      <c r="C168" s="17">
        <v>45083.0</v>
      </c>
      <c r="D168" s="18">
        <v>2.0</v>
      </c>
      <c r="E168" s="19">
        <v>3.0</v>
      </c>
      <c r="F168" s="20">
        <v>16000.0</v>
      </c>
      <c r="G168" s="21" t="s">
        <v>2711</v>
      </c>
      <c r="H168" s="19">
        <v>4.0</v>
      </c>
      <c r="I168" s="21" t="s">
        <v>2330</v>
      </c>
      <c r="J168" s="22" t="s">
        <v>2547</v>
      </c>
    </row>
    <row r="169">
      <c r="A169" s="15" t="s">
        <v>2879</v>
      </c>
      <c r="B169" s="16">
        <v>45082.0</v>
      </c>
      <c r="C169" s="17">
        <v>45086.0</v>
      </c>
      <c r="D169" s="18">
        <v>6.0</v>
      </c>
      <c r="E169" s="19">
        <v>2.0</v>
      </c>
      <c r="F169" s="20">
        <v>14000.0</v>
      </c>
      <c r="G169" s="21" t="s">
        <v>2711</v>
      </c>
      <c r="H169" s="19">
        <v>4.0</v>
      </c>
      <c r="I169" s="21" t="s">
        <v>1740</v>
      </c>
      <c r="J169" s="22" t="s">
        <v>2516</v>
      </c>
    </row>
    <row r="170">
      <c r="A170" s="15" t="s">
        <v>2880</v>
      </c>
      <c r="B170" s="16">
        <v>45082.0</v>
      </c>
      <c r="C170" s="17">
        <v>45084.0</v>
      </c>
      <c r="D170" s="18">
        <v>5.0</v>
      </c>
      <c r="E170" s="19">
        <v>3.0</v>
      </c>
      <c r="F170" s="20">
        <v>16000.0</v>
      </c>
      <c r="G170" s="21" t="s">
        <v>2711</v>
      </c>
      <c r="H170" s="19">
        <v>5.0</v>
      </c>
      <c r="I170" s="21" t="s">
        <v>712</v>
      </c>
      <c r="J170" s="22" t="s">
        <v>2490</v>
      </c>
    </row>
    <row r="171">
      <c r="A171" s="15" t="s">
        <v>2881</v>
      </c>
      <c r="B171" s="16">
        <v>45082.0</v>
      </c>
      <c r="C171" s="17">
        <v>45083.0</v>
      </c>
      <c r="D171" s="18">
        <v>6.0</v>
      </c>
      <c r="E171" s="19">
        <v>2.0</v>
      </c>
      <c r="F171" s="20">
        <v>14000.0</v>
      </c>
      <c r="G171" s="21" t="s">
        <v>2711</v>
      </c>
      <c r="H171" s="19">
        <v>5.0</v>
      </c>
      <c r="I171" s="21" t="s">
        <v>1109</v>
      </c>
      <c r="J171" s="22" t="s">
        <v>2506</v>
      </c>
    </row>
    <row r="172">
      <c r="A172" s="15" t="s">
        <v>2882</v>
      </c>
      <c r="B172" s="16">
        <v>45082.0</v>
      </c>
      <c r="C172" s="17">
        <v>45086.0</v>
      </c>
      <c r="D172" s="18">
        <v>2.0</v>
      </c>
      <c r="E172" s="19">
        <v>1.0</v>
      </c>
      <c r="F172" s="20">
        <v>12000.0</v>
      </c>
      <c r="G172" s="21" t="s">
        <v>2711</v>
      </c>
      <c r="H172" s="19">
        <v>5.0</v>
      </c>
      <c r="I172" s="21" t="s">
        <v>942</v>
      </c>
      <c r="J172" s="22" t="s">
        <v>2597</v>
      </c>
    </row>
    <row r="173">
      <c r="A173" s="15" t="s">
        <v>2883</v>
      </c>
      <c r="B173" s="16">
        <v>45082.0</v>
      </c>
      <c r="C173" s="17">
        <v>45086.0</v>
      </c>
      <c r="D173" s="18">
        <v>2.0</v>
      </c>
      <c r="E173" s="19">
        <v>3.0</v>
      </c>
      <c r="F173" s="20">
        <v>16000.0</v>
      </c>
      <c r="G173" s="21" t="s">
        <v>2711</v>
      </c>
      <c r="H173" s="19">
        <v>4.0</v>
      </c>
      <c r="I173" s="21" t="s">
        <v>605</v>
      </c>
      <c r="J173" s="22" t="s">
        <v>2642</v>
      </c>
    </row>
    <row r="174">
      <c r="A174" s="15" t="s">
        <v>2884</v>
      </c>
      <c r="B174" s="16">
        <v>45082.0</v>
      </c>
      <c r="C174" s="17">
        <v>45087.0</v>
      </c>
      <c r="D174" s="18">
        <v>9.0</v>
      </c>
      <c r="E174" s="19">
        <v>6.0</v>
      </c>
      <c r="F174" s="20">
        <v>22000.0</v>
      </c>
      <c r="G174" s="21" t="s">
        <v>2711</v>
      </c>
      <c r="H174" s="19">
        <v>4.0</v>
      </c>
      <c r="I174" s="21" t="s">
        <v>2469</v>
      </c>
      <c r="J174" s="22" t="s">
        <v>2484</v>
      </c>
    </row>
    <row r="175">
      <c r="A175" s="15" t="s">
        <v>2885</v>
      </c>
      <c r="B175" s="17">
        <v>45083.0</v>
      </c>
      <c r="C175" s="17">
        <f>B175 + RANDBETWEEN(1,5)</f>
        <v>45087</v>
      </c>
      <c r="D175" s="18">
        <v>6.0</v>
      </c>
      <c r="E175" s="19">
        <v>1.0</v>
      </c>
      <c r="F175" s="20">
        <v>12000.0</v>
      </c>
      <c r="G175" s="24" t="s">
        <v>2711</v>
      </c>
      <c r="H175" s="19">
        <v>4.0</v>
      </c>
      <c r="I175" s="21" t="s">
        <v>1304</v>
      </c>
      <c r="J175" s="22" t="s">
        <v>2692</v>
      </c>
    </row>
    <row r="176">
      <c r="A176" s="15" t="s">
        <v>2886</v>
      </c>
      <c r="B176" s="16">
        <v>45083.0</v>
      </c>
      <c r="C176" s="17">
        <v>45088.0</v>
      </c>
      <c r="D176" s="18">
        <v>4.0</v>
      </c>
      <c r="E176" s="19">
        <v>1.0</v>
      </c>
      <c r="F176" s="20">
        <v>12000.0</v>
      </c>
      <c r="G176" s="21" t="s">
        <v>2711</v>
      </c>
      <c r="H176" s="19">
        <v>4.0</v>
      </c>
      <c r="I176" s="21" t="s">
        <v>1390</v>
      </c>
      <c r="J176" s="22" t="s">
        <v>2642</v>
      </c>
    </row>
    <row r="177">
      <c r="A177" s="15" t="s">
        <v>2887</v>
      </c>
      <c r="B177" s="16">
        <v>45083.0</v>
      </c>
      <c r="C177" s="17">
        <v>45085.0</v>
      </c>
      <c r="D177" s="18">
        <v>14.0</v>
      </c>
      <c r="E177" s="19">
        <v>6.0</v>
      </c>
      <c r="F177" s="20">
        <v>22000.0</v>
      </c>
      <c r="G177" s="24" t="s">
        <v>2711</v>
      </c>
      <c r="H177" s="19">
        <v>4.0</v>
      </c>
      <c r="I177" s="21" t="s">
        <v>1425</v>
      </c>
      <c r="J177" s="22" t="s">
        <v>2662</v>
      </c>
    </row>
    <row r="178">
      <c r="A178" s="15" t="s">
        <v>2888</v>
      </c>
      <c r="B178" s="16">
        <v>45083.0</v>
      </c>
      <c r="C178" s="17">
        <v>45088.0</v>
      </c>
      <c r="D178" s="18">
        <v>5.0</v>
      </c>
      <c r="E178" s="19">
        <v>2.0</v>
      </c>
      <c r="F178" s="20">
        <v>14000.0</v>
      </c>
      <c r="G178" s="21" t="s">
        <v>2711</v>
      </c>
      <c r="H178" s="19">
        <v>4.0</v>
      </c>
      <c r="I178" s="21" t="s">
        <v>918</v>
      </c>
      <c r="J178" s="22" t="s">
        <v>2542</v>
      </c>
    </row>
    <row r="179">
      <c r="A179" s="15" t="s">
        <v>2889</v>
      </c>
      <c r="B179" s="16">
        <v>45083.0</v>
      </c>
      <c r="C179" s="17">
        <v>45085.0</v>
      </c>
      <c r="D179" s="18">
        <v>18.0</v>
      </c>
      <c r="E179" s="19">
        <v>9.0</v>
      </c>
      <c r="F179" s="20">
        <v>33400.0</v>
      </c>
      <c r="G179" s="21" t="s">
        <v>2711</v>
      </c>
      <c r="H179" s="19">
        <v>5.0</v>
      </c>
      <c r="I179" s="21" t="s">
        <v>2104</v>
      </c>
      <c r="J179" s="22" t="s">
        <v>2537</v>
      </c>
    </row>
    <row r="180">
      <c r="A180" s="15" t="s">
        <v>2890</v>
      </c>
      <c r="B180" s="16">
        <v>45083.0</v>
      </c>
      <c r="C180" s="17">
        <v>45087.0</v>
      </c>
      <c r="D180" s="18">
        <v>3.0</v>
      </c>
      <c r="E180" s="19">
        <v>3.0</v>
      </c>
      <c r="F180" s="20">
        <v>16000.0</v>
      </c>
      <c r="G180" s="21" t="s">
        <v>2711</v>
      </c>
      <c r="H180" s="19">
        <v>5.0</v>
      </c>
      <c r="I180" s="21" t="s">
        <v>1001</v>
      </c>
      <c r="J180" s="22" t="s">
        <v>2602</v>
      </c>
    </row>
    <row r="181">
      <c r="A181" s="15" t="s">
        <v>2891</v>
      </c>
      <c r="B181" s="16">
        <v>45083.0</v>
      </c>
      <c r="C181" s="17">
        <v>45088.0</v>
      </c>
      <c r="D181" s="29">
        <v>13.0</v>
      </c>
      <c r="E181" s="19">
        <v>7.0</v>
      </c>
      <c r="F181" s="20">
        <v>24000.0</v>
      </c>
      <c r="G181" s="24" t="s">
        <v>2711</v>
      </c>
      <c r="H181" s="19">
        <v>5.0</v>
      </c>
      <c r="I181" s="21" t="s">
        <v>668</v>
      </c>
      <c r="J181" s="22" t="s">
        <v>2637</v>
      </c>
    </row>
    <row r="182">
      <c r="A182" s="15" t="s">
        <v>2892</v>
      </c>
      <c r="B182" s="16">
        <v>45083.0</v>
      </c>
      <c r="C182" s="17">
        <v>45085.0</v>
      </c>
      <c r="D182" s="29">
        <v>6.0</v>
      </c>
      <c r="E182" s="19">
        <v>3.0</v>
      </c>
      <c r="F182" s="20">
        <v>16000.0</v>
      </c>
      <c r="G182" s="21" t="s">
        <v>2711</v>
      </c>
      <c r="H182" s="19">
        <v>4.0</v>
      </c>
      <c r="I182" s="21" t="s">
        <v>342</v>
      </c>
      <c r="J182" s="22" t="s">
        <v>2542</v>
      </c>
    </row>
    <row r="183">
      <c r="A183" s="15" t="s">
        <v>2893</v>
      </c>
      <c r="B183" s="16">
        <v>45083.0</v>
      </c>
      <c r="C183" s="17">
        <v>45088.0</v>
      </c>
      <c r="D183" s="18">
        <v>1.0</v>
      </c>
      <c r="E183" s="19">
        <v>3.0</v>
      </c>
      <c r="F183" s="20">
        <v>16000.0</v>
      </c>
      <c r="G183" s="21" t="s">
        <v>2711</v>
      </c>
      <c r="H183" s="19">
        <v>5.0</v>
      </c>
      <c r="I183" s="21" t="s">
        <v>1093</v>
      </c>
      <c r="J183" s="22" t="s">
        <v>2516</v>
      </c>
    </row>
    <row r="184">
      <c r="A184" s="15" t="s">
        <v>2894</v>
      </c>
      <c r="B184" s="16">
        <v>45083.0</v>
      </c>
      <c r="C184" s="17">
        <v>45086.0</v>
      </c>
      <c r="D184" s="18">
        <v>1.0</v>
      </c>
      <c r="E184" s="19">
        <v>2.0</v>
      </c>
      <c r="F184" s="20">
        <v>14000.0</v>
      </c>
      <c r="G184" s="24" t="s">
        <v>2711</v>
      </c>
      <c r="H184" s="19">
        <v>5.0</v>
      </c>
      <c r="I184" s="21" t="s">
        <v>2248</v>
      </c>
      <c r="J184" s="22" t="s">
        <v>2682</v>
      </c>
    </row>
    <row r="185">
      <c r="A185" s="15" t="s">
        <v>2895</v>
      </c>
      <c r="B185" s="16">
        <v>45083.0</v>
      </c>
      <c r="C185" s="17">
        <v>45088.0</v>
      </c>
      <c r="D185" s="18">
        <v>1.0</v>
      </c>
      <c r="E185" s="19">
        <v>3.0</v>
      </c>
      <c r="F185" s="20">
        <v>16000.0</v>
      </c>
      <c r="G185" s="24" t="s">
        <v>2711</v>
      </c>
      <c r="H185" s="19">
        <v>5.0</v>
      </c>
      <c r="I185" s="21" t="s">
        <v>708</v>
      </c>
      <c r="J185" s="22" t="s">
        <v>2652</v>
      </c>
    </row>
    <row r="186">
      <c r="A186" s="15" t="s">
        <v>2896</v>
      </c>
      <c r="B186" s="16">
        <v>45083.0</v>
      </c>
      <c r="C186" s="17">
        <v>45084.0</v>
      </c>
      <c r="D186" s="18">
        <v>7.0</v>
      </c>
      <c r="E186" s="19">
        <v>7.0</v>
      </c>
      <c r="F186" s="20">
        <v>24000.0</v>
      </c>
      <c r="G186" s="21" t="s">
        <v>2711</v>
      </c>
      <c r="H186" s="19">
        <v>5.0</v>
      </c>
      <c r="I186" s="21" t="s">
        <v>775</v>
      </c>
      <c r="J186" s="22" t="s">
        <v>2484</v>
      </c>
    </row>
    <row r="187">
      <c r="A187" s="15" t="s">
        <v>2897</v>
      </c>
      <c r="B187" s="16">
        <v>45083.0</v>
      </c>
      <c r="C187" s="17">
        <v>45088.0</v>
      </c>
      <c r="D187" s="18">
        <v>14.0</v>
      </c>
      <c r="E187" s="19">
        <v>10.0</v>
      </c>
      <c r="F187" s="20">
        <v>30000.0</v>
      </c>
      <c r="G187" s="21" t="s">
        <v>2711</v>
      </c>
      <c r="H187" s="19">
        <v>5.0</v>
      </c>
      <c r="I187" s="21" t="s">
        <v>1760</v>
      </c>
      <c r="J187" s="22" t="s">
        <v>2484</v>
      </c>
    </row>
    <row r="188">
      <c r="A188" s="15" t="s">
        <v>2898</v>
      </c>
      <c r="B188" s="16">
        <v>45083.0</v>
      </c>
      <c r="C188" s="17">
        <v>45085.0</v>
      </c>
      <c r="D188" s="18">
        <v>17.0</v>
      </c>
      <c r="E188" s="19">
        <v>5.0</v>
      </c>
      <c r="F188" s="20">
        <v>25100.0</v>
      </c>
      <c r="G188" s="21" t="s">
        <v>2711</v>
      </c>
      <c r="H188" s="19">
        <v>4.0</v>
      </c>
      <c r="I188" s="21" t="s">
        <v>146</v>
      </c>
      <c r="J188" s="22" t="s">
        <v>2484</v>
      </c>
    </row>
    <row r="189">
      <c r="A189" s="15" t="s">
        <v>2899</v>
      </c>
      <c r="B189" s="16">
        <v>45083.0</v>
      </c>
      <c r="C189" s="17">
        <v>45084.0</v>
      </c>
      <c r="D189" s="18">
        <v>4.0</v>
      </c>
      <c r="E189" s="19">
        <v>2.0</v>
      </c>
      <c r="F189" s="20">
        <v>14000.0</v>
      </c>
      <c r="G189" s="21" t="s">
        <v>2711</v>
      </c>
      <c r="H189" s="19">
        <v>4.0</v>
      </c>
      <c r="I189" s="21" t="s">
        <v>2009</v>
      </c>
      <c r="J189" s="22" t="s">
        <v>2527</v>
      </c>
    </row>
    <row r="190">
      <c r="A190" s="15" t="s">
        <v>2900</v>
      </c>
      <c r="B190" s="16">
        <v>45083.0</v>
      </c>
      <c r="C190" s="17">
        <v>45085.0</v>
      </c>
      <c r="D190" s="18">
        <v>2.0</v>
      </c>
      <c r="E190" s="19">
        <v>1.0</v>
      </c>
      <c r="F190" s="20">
        <v>12000.0</v>
      </c>
      <c r="G190" s="21" t="s">
        <v>2711</v>
      </c>
      <c r="H190" s="19">
        <v>5.0</v>
      </c>
      <c r="I190" s="21" t="s">
        <v>2064</v>
      </c>
      <c r="J190" s="22" t="s">
        <v>2647</v>
      </c>
    </row>
    <row r="191">
      <c r="A191" s="15" t="s">
        <v>2901</v>
      </c>
      <c r="B191" s="16">
        <v>45083.0</v>
      </c>
      <c r="C191" s="17">
        <v>45085.0</v>
      </c>
      <c r="D191" s="18">
        <v>9.0</v>
      </c>
      <c r="E191" s="19">
        <v>6.0</v>
      </c>
      <c r="F191" s="20">
        <v>22000.0</v>
      </c>
      <c r="G191" s="21" t="s">
        <v>2711</v>
      </c>
      <c r="H191" s="19">
        <v>4.0</v>
      </c>
      <c r="I191" s="21" t="s">
        <v>894</v>
      </c>
      <c r="J191" s="22" t="s">
        <v>2587</v>
      </c>
    </row>
    <row r="192">
      <c r="A192" s="15" t="s">
        <v>2902</v>
      </c>
      <c r="B192" s="16">
        <v>45083.0</v>
      </c>
      <c r="C192" s="17">
        <v>45084.0</v>
      </c>
      <c r="D192" s="18">
        <v>11.0</v>
      </c>
      <c r="E192" s="19">
        <v>4.0</v>
      </c>
      <c r="F192" s="20">
        <v>18000.0</v>
      </c>
      <c r="G192" s="21" t="s">
        <v>2711</v>
      </c>
      <c r="H192" s="19">
        <v>5.0</v>
      </c>
      <c r="I192" s="21" t="s">
        <v>2425</v>
      </c>
      <c r="J192" s="22" t="s">
        <v>2484</v>
      </c>
    </row>
    <row r="193">
      <c r="A193" s="15" t="s">
        <v>2903</v>
      </c>
      <c r="B193" s="16">
        <v>45083.0</v>
      </c>
      <c r="C193" s="17">
        <v>45087.0</v>
      </c>
      <c r="D193" s="18">
        <v>2.0</v>
      </c>
      <c r="E193" s="19">
        <v>2.0</v>
      </c>
      <c r="F193" s="20">
        <v>14000.0</v>
      </c>
      <c r="G193" s="21" t="s">
        <v>2711</v>
      </c>
      <c r="H193" s="19">
        <v>5.0</v>
      </c>
      <c r="I193" s="21" t="s">
        <v>795</v>
      </c>
      <c r="J193" s="22" t="s">
        <v>2642</v>
      </c>
    </row>
    <row r="194">
      <c r="A194" s="15" t="s">
        <v>2904</v>
      </c>
      <c r="B194" s="16">
        <v>45083.0</v>
      </c>
      <c r="C194" s="17">
        <v>45084.0</v>
      </c>
      <c r="D194" s="18">
        <v>9.0</v>
      </c>
      <c r="E194" s="19">
        <v>8.0</v>
      </c>
      <c r="F194" s="20">
        <v>26000.0</v>
      </c>
      <c r="G194" s="21" t="s">
        <v>2711</v>
      </c>
      <c r="H194" s="19">
        <v>4.0</v>
      </c>
      <c r="I194" s="21" t="s">
        <v>529</v>
      </c>
      <c r="J194" s="22" t="s">
        <v>2484</v>
      </c>
    </row>
    <row r="195">
      <c r="A195" s="15" t="s">
        <v>2905</v>
      </c>
      <c r="B195" s="16">
        <v>45083.0</v>
      </c>
      <c r="C195" s="17">
        <v>45086.0</v>
      </c>
      <c r="D195" s="18">
        <v>5.0</v>
      </c>
      <c r="E195" s="19">
        <v>1.0</v>
      </c>
      <c r="F195" s="20">
        <v>12000.0</v>
      </c>
      <c r="G195" s="21" t="s">
        <v>2711</v>
      </c>
      <c r="H195" s="19">
        <v>4.0</v>
      </c>
      <c r="I195" s="21" t="s">
        <v>1280</v>
      </c>
      <c r="J195" s="22" t="s">
        <v>2506</v>
      </c>
    </row>
    <row r="196">
      <c r="A196" s="15" t="s">
        <v>2906</v>
      </c>
      <c r="B196" s="16">
        <v>45083.0</v>
      </c>
      <c r="C196" s="17">
        <v>45088.0</v>
      </c>
      <c r="D196" s="18">
        <v>3.0</v>
      </c>
      <c r="E196" s="19">
        <v>3.0</v>
      </c>
      <c r="F196" s="20">
        <v>16000.0</v>
      </c>
      <c r="G196" s="21" t="s">
        <v>2711</v>
      </c>
      <c r="H196" s="19">
        <v>5.0</v>
      </c>
      <c r="I196" s="21" t="s">
        <v>1842</v>
      </c>
      <c r="J196" s="22" t="s">
        <v>2622</v>
      </c>
    </row>
    <row r="197">
      <c r="A197" s="15" t="s">
        <v>2907</v>
      </c>
      <c r="B197" s="16">
        <v>45083.0</v>
      </c>
      <c r="C197" s="17">
        <v>45084.0</v>
      </c>
      <c r="D197" s="18">
        <v>2.0</v>
      </c>
      <c r="E197" s="19">
        <v>2.0</v>
      </c>
      <c r="F197" s="20">
        <v>14000.0</v>
      </c>
      <c r="G197" s="21" t="s">
        <v>2711</v>
      </c>
      <c r="H197" s="19">
        <v>4.0</v>
      </c>
      <c r="I197" s="21" t="s">
        <v>1965</v>
      </c>
      <c r="J197" s="22" t="s">
        <v>2612</v>
      </c>
    </row>
    <row r="198">
      <c r="A198" s="15" t="s">
        <v>2908</v>
      </c>
      <c r="B198" s="16">
        <v>45083.0</v>
      </c>
      <c r="C198" s="17">
        <v>45085.0</v>
      </c>
      <c r="D198" s="18">
        <v>20.0</v>
      </c>
      <c r="E198" s="19">
        <v>5.0</v>
      </c>
      <c r="F198" s="20">
        <v>26000.0</v>
      </c>
      <c r="G198" s="21" t="s">
        <v>2711</v>
      </c>
      <c r="H198" s="19">
        <v>5.0</v>
      </c>
      <c r="I198" s="21" t="s">
        <v>2330</v>
      </c>
      <c r="J198" s="22" t="s">
        <v>2537</v>
      </c>
    </row>
    <row r="199">
      <c r="A199" s="15" t="s">
        <v>2909</v>
      </c>
      <c r="B199" s="16">
        <v>45083.0</v>
      </c>
      <c r="C199" s="17">
        <v>45087.0</v>
      </c>
      <c r="D199" s="18">
        <v>20.0</v>
      </c>
      <c r="E199" s="19">
        <v>10.0</v>
      </c>
      <c r="F199" s="20">
        <v>36000.0</v>
      </c>
      <c r="G199" s="21" t="s">
        <v>2711</v>
      </c>
      <c r="H199" s="19">
        <v>4.0</v>
      </c>
      <c r="I199" s="21" t="s">
        <v>617</v>
      </c>
      <c r="J199" s="22" t="s">
        <v>2607</v>
      </c>
    </row>
    <row r="200">
      <c r="A200" s="15" t="s">
        <v>2910</v>
      </c>
      <c r="B200" s="16">
        <v>45083.0</v>
      </c>
      <c r="C200" s="17">
        <v>45088.0</v>
      </c>
      <c r="D200" s="18">
        <v>6.0</v>
      </c>
      <c r="E200" s="19">
        <v>3.0</v>
      </c>
      <c r="F200" s="20">
        <v>16000.0</v>
      </c>
      <c r="G200" s="21" t="s">
        <v>2711</v>
      </c>
      <c r="H200" s="19">
        <v>5.0</v>
      </c>
      <c r="I200" s="21" t="s">
        <v>2255</v>
      </c>
      <c r="J200" s="22" t="s">
        <v>2612</v>
      </c>
    </row>
    <row r="201">
      <c r="A201" s="15" t="s">
        <v>2911</v>
      </c>
      <c r="B201" s="16">
        <v>45083.0</v>
      </c>
      <c r="C201" s="17">
        <v>45088.0</v>
      </c>
      <c r="D201" s="18">
        <v>5.0</v>
      </c>
      <c r="E201" s="19">
        <v>2.0</v>
      </c>
      <c r="F201" s="20">
        <v>14000.0</v>
      </c>
      <c r="G201" s="21" t="s">
        <v>2711</v>
      </c>
      <c r="H201" s="19">
        <v>4.0</v>
      </c>
      <c r="I201" s="21" t="s">
        <v>406</v>
      </c>
      <c r="J201" s="22" t="s">
        <v>2647</v>
      </c>
    </row>
    <row r="202">
      <c r="A202" s="15" t="s">
        <v>2912</v>
      </c>
      <c r="B202" s="16">
        <v>45083.0</v>
      </c>
      <c r="C202" s="17">
        <v>45086.0</v>
      </c>
      <c r="D202" s="18">
        <v>4.0</v>
      </c>
      <c r="E202" s="19">
        <v>3.0</v>
      </c>
      <c r="F202" s="20">
        <v>16000.0</v>
      </c>
      <c r="G202" s="21" t="s">
        <v>2711</v>
      </c>
      <c r="H202" s="19">
        <v>3.0</v>
      </c>
      <c r="I202" s="21" t="s">
        <v>2302</v>
      </c>
      <c r="J202" s="22" t="s">
        <v>2682</v>
      </c>
    </row>
    <row r="203">
      <c r="A203" s="15" t="s">
        <v>2913</v>
      </c>
      <c r="B203" s="16">
        <v>45083.0</v>
      </c>
      <c r="C203" s="17">
        <v>45086.0</v>
      </c>
      <c r="D203" s="18">
        <v>6.0</v>
      </c>
      <c r="E203" s="19">
        <v>2.0</v>
      </c>
      <c r="F203" s="20">
        <v>14000.0</v>
      </c>
      <c r="G203" s="21" t="s">
        <v>2711</v>
      </c>
      <c r="H203" s="19">
        <v>3.0</v>
      </c>
      <c r="I203" s="21" t="s">
        <v>1093</v>
      </c>
      <c r="J203" s="22" t="s">
        <v>2506</v>
      </c>
    </row>
    <row r="204">
      <c r="A204" s="15" t="s">
        <v>2914</v>
      </c>
      <c r="B204" s="16">
        <v>45083.0</v>
      </c>
      <c r="C204" s="17">
        <v>45085.0</v>
      </c>
      <c r="D204" s="18">
        <v>13.0</v>
      </c>
      <c r="E204" s="19">
        <v>8.0</v>
      </c>
      <c r="F204" s="20">
        <v>26000.0</v>
      </c>
      <c r="G204" s="21" t="s">
        <v>2711</v>
      </c>
      <c r="H204" s="19">
        <v>4.0</v>
      </c>
      <c r="I204" s="21" t="s">
        <v>846</v>
      </c>
      <c r="J204" s="22" t="s">
        <v>2672</v>
      </c>
      <c r="K204" s="27"/>
    </row>
    <row r="205">
      <c r="A205" s="15" t="s">
        <v>2915</v>
      </c>
      <c r="B205" s="16">
        <v>45083.0</v>
      </c>
      <c r="C205" s="17">
        <v>45084.0</v>
      </c>
      <c r="D205" s="18">
        <v>5.0</v>
      </c>
      <c r="E205" s="19">
        <v>3.0</v>
      </c>
      <c r="F205" s="20">
        <v>16000.0</v>
      </c>
      <c r="G205" s="21" t="s">
        <v>2711</v>
      </c>
      <c r="H205" s="19">
        <v>3.0</v>
      </c>
      <c r="I205" s="21" t="s">
        <v>462</v>
      </c>
      <c r="J205" s="22" t="s">
        <v>2642</v>
      </c>
    </row>
    <row r="206">
      <c r="A206" s="15" t="s">
        <v>2916</v>
      </c>
      <c r="B206" s="16">
        <v>45083.0</v>
      </c>
      <c r="C206" s="17">
        <v>45086.0</v>
      </c>
      <c r="D206" s="18">
        <v>10.0</v>
      </c>
      <c r="E206" s="19">
        <v>9.0</v>
      </c>
      <c r="F206" s="20">
        <v>28000.0</v>
      </c>
      <c r="G206" s="21" t="s">
        <v>2711</v>
      </c>
      <c r="H206" s="19">
        <v>5.0</v>
      </c>
      <c r="I206" s="21" t="s">
        <v>1870</v>
      </c>
      <c r="J206" s="22" t="s">
        <v>2537</v>
      </c>
    </row>
    <row r="207">
      <c r="A207" s="15" t="s">
        <v>2917</v>
      </c>
      <c r="B207" s="16">
        <v>45084.0</v>
      </c>
      <c r="C207" s="17">
        <v>45088.0</v>
      </c>
      <c r="D207" s="18">
        <v>2.0</v>
      </c>
      <c r="E207" s="19">
        <v>1.0</v>
      </c>
      <c r="F207" s="20">
        <v>12000.0</v>
      </c>
      <c r="G207" s="21" t="s">
        <v>2711</v>
      </c>
      <c r="H207" s="19">
        <v>4.0</v>
      </c>
      <c r="I207" s="21" t="s">
        <v>1244</v>
      </c>
      <c r="J207" s="22" t="s">
        <v>2490</v>
      </c>
    </row>
    <row r="208">
      <c r="A208" s="15" t="s">
        <v>2918</v>
      </c>
      <c r="B208" s="16">
        <v>45084.0</v>
      </c>
      <c r="C208" s="17">
        <v>45089.0</v>
      </c>
      <c r="D208" s="18">
        <v>2.0</v>
      </c>
      <c r="E208" s="19">
        <v>1.0</v>
      </c>
      <c r="F208" s="20">
        <v>12000.0</v>
      </c>
      <c r="G208" s="21" t="s">
        <v>2711</v>
      </c>
      <c r="H208" s="19">
        <v>4.0</v>
      </c>
      <c r="I208" s="21" t="s">
        <v>1344</v>
      </c>
      <c r="J208" s="22" t="s">
        <v>2597</v>
      </c>
    </row>
    <row r="209">
      <c r="A209" s="15" t="s">
        <v>2919</v>
      </c>
      <c r="B209" s="16">
        <v>45084.0</v>
      </c>
      <c r="C209" s="17">
        <v>45089.0</v>
      </c>
      <c r="D209" s="18">
        <v>1.0</v>
      </c>
      <c r="E209" s="19">
        <v>3.0</v>
      </c>
      <c r="F209" s="20">
        <v>16000.0</v>
      </c>
      <c r="G209" s="21" t="s">
        <v>2711</v>
      </c>
      <c r="H209" s="19">
        <v>5.0</v>
      </c>
      <c r="I209" s="21" t="s">
        <v>522</v>
      </c>
      <c r="J209" s="22" t="s">
        <v>2567</v>
      </c>
    </row>
    <row r="210">
      <c r="A210" s="15" t="s">
        <v>2920</v>
      </c>
      <c r="B210" s="16">
        <v>45084.0</v>
      </c>
      <c r="C210" s="17">
        <v>45088.0</v>
      </c>
      <c r="D210" s="18">
        <v>6.0</v>
      </c>
      <c r="E210" s="19">
        <v>1.0</v>
      </c>
      <c r="F210" s="20">
        <v>12000.0</v>
      </c>
      <c r="G210" s="21" t="s">
        <v>2711</v>
      </c>
      <c r="H210" s="19">
        <v>4.0</v>
      </c>
      <c r="I210" s="21" t="s">
        <v>118</v>
      </c>
      <c r="J210" s="22" t="s">
        <v>2562</v>
      </c>
    </row>
    <row r="211">
      <c r="A211" s="15" t="s">
        <v>2921</v>
      </c>
      <c r="B211" s="16">
        <v>45084.0</v>
      </c>
      <c r="C211" s="17">
        <v>45086.0</v>
      </c>
      <c r="D211" s="18">
        <v>18.0</v>
      </c>
      <c r="E211" s="19">
        <v>7.0</v>
      </c>
      <c r="F211" s="20">
        <v>29400.0</v>
      </c>
      <c r="G211" s="21" t="s">
        <v>2711</v>
      </c>
      <c r="H211" s="19">
        <v>4.0</v>
      </c>
      <c r="I211" s="21" t="s">
        <v>1842</v>
      </c>
      <c r="J211" s="22" t="s">
        <v>2697</v>
      </c>
    </row>
    <row r="212">
      <c r="A212" s="15" t="s">
        <v>2922</v>
      </c>
      <c r="B212" s="16">
        <v>45084.0</v>
      </c>
      <c r="C212" s="17">
        <v>45087.0</v>
      </c>
      <c r="D212" s="18">
        <v>1.0</v>
      </c>
      <c r="E212" s="19">
        <v>3.0</v>
      </c>
      <c r="F212" s="20">
        <v>16000.0</v>
      </c>
      <c r="G212" s="21" t="s">
        <v>2711</v>
      </c>
      <c r="H212" s="19">
        <v>4.0</v>
      </c>
      <c r="I212" s="21" t="s">
        <v>358</v>
      </c>
      <c r="J212" s="22" t="s">
        <v>2692</v>
      </c>
    </row>
    <row r="213">
      <c r="A213" s="15" t="s">
        <v>2923</v>
      </c>
      <c r="B213" s="16">
        <v>45084.0</v>
      </c>
      <c r="C213" s="17">
        <v>45086.0</v>
      </c>
      <c r="D213" s="18">
        <v>8.0</v>
      </c>
      <c r="E213" s="19">
        <v>9.0</v>
      </c>
      <c r="F213" s="20">
        <v>28000.0</v>
      </c>
      <c r="G213" s="21" t="s">
        <v>2711</v>
      </c>
      <c r="H213" s="19">
        <v>4.0</v>
      </c>
      <c r="I213" s="21" t="s">
        <v>2373</v>
      </c>
      <c r="J213" s="22" t="s">
        <v>2672</v>
      </c>
    </row>
    <row r="214">
      <c r="A214" s="15" t="s">
        <v>2924</v>
      </c>
      <c r="B214" s="16">
        <v>45084.0</v>
      </c>
      <c r="C214" s="17">
        <v>45085.0</v>
      </c>
      <c r="D214" s="18">
        <v>1.0</v>
      </c>
      <c r="E214" s="19">
        <v>2.0</v>
      </c>
      <c r="F214" s="20">
        <v>14000.0</v>
      </c>
      <c r="G214" s="21" t="s">
        <v>2711</v>
      </c>
      <c r="H214" s="19">
        <v>5.0</v>
      </c>
      <c r="I214" s="21" t="s">
        <v>498</v>
      </c>
      <c r="J214" s="22" t="s">
        <v>2496</v>
      </c>
    </row>
    <row r="215">
      <c r="A215" s="15" t="s">
        <v>2925</v>
      </c>
      <c r="B215" s="16">
        <v>45084.0</v>
      </c>
      <c r="C215" s="17">
        <v>45087.0</v>
      </c>
      <c r="D215" s="18">
        <v>5.0</v>
      </c>
      <c r="E215" s="19">
        <v>1.0</v>
      </c>
      <c r="F215" s="20">
        <v>12000.0</v>
      </c>
      <c r="G215" s="21" t="s">
        <v>2711</v>
      </c>
      <c r="H215" s="19">
        <v>5.0</v>
      </c>
      <c r="I215" s="21" t="s">
        <v>2216</v>
      </c>
      <c r="J215" s="22" t="s">
        <v>2542</v>
      </c>
    </row>
    <row r="216">
      <c r="A216" s="15" t="s">
        <v>2926</v>
      </c>
      <c r="B216" s="16">
        <v>45084.0</v>
      </c>
      <c r="C216" s="17">
        <v>45087.0</v>
      </c>
      <c r="D216" s="18">
        <v>14.0</v>
      </c>
      <c r="E216" s="19">
        <v>9.0</v>
      </c>
      <c r="F216" s="20">
        <v>28000.0</v>
      </c>
      <c r="G216" s="21" t="s">
        <v>2747</v>
      </c>
      <c r="H216" s="21"/>
      <c r="I216" s="21" t="s">
        <v>510</v>
      </c>
      <c r="J216" s="22" t="s">
        <v>2627</v>
      </c>
    </row>
    <row r="217">
      <c r="A217" s="15" t="s">
        <v>2927</v>
      </c>
      <c r="B217" s="16">
        <v>45084.0</v>
      </c>
      <c r="C217" s="17">
        <v>45089.0</v>
      </c>
      <c r="D217" s="18">
        <v>4.0</v>
      </c>
      <c r="E217" s="19">
        <v>2.0</v>
      </c>
      <c r="F217" s="20">
        <v>14000.0</v>
      </c>
      <c r="G217" s="21" t="s">
        <v>2711</v>
      </c>
      <c r="H217" s="19">
        <v>4.0</v>
      </c>
      <c r="I217" s="21" t="s">
        <v>122</v>
      </c>
      <c r="J217" s="22" t="s">
        <v>2511</v>
      </c>
    </row>
    <row r="218">
      <c r="A218" s="15" t="s">
        <v>2928</v>
      </c>
      <c r="B218" s="16">
        <v>45084.0</v>
      </c>
      <c r="C218" s="17">
        <v>45089.0</v>
      </c>
      <c r="D218" s="18">
        <v>1.0</v>
      </c>
      <c r="E218" s="19">
        <v>3.0</v>
      </c>
      <c r="F218" s="20">
        <v>16000.0</v>
      </c>
      <c r="G218" s="21" t="s">
        <v>2711</v>
      </c>
      <c r="H218" s="19">
        <v>4.0</v>
      </c>
      <c r="I218" s="21" t="s">
        <v>206</v>
      </c>
      <c r="J218" s="22" t="s">
        <v>2572</v>
      </c>
    </row>
    <row r="219">
      <c r="A219" s="15" t="s">
        <v>2929</v>
      </c>
      <c r="B219" s="16">
        <v>45084.0</v>
      </c>
      <c r="C219" s="17">
        <v>45086.0</v>
      </c>
      <c r="D219" s="18">
        <v>17.0</v>
      </c>
      <c r="E219" s="19">
        <v>7.0</v>
      </c>
      <c r="F219" s="20">
        <v>29100.0</v>
      </c>
      <c r="G219" s="21" t="s">
        <v>2711</v>
      </c>
      <c r="H219" s="19">
        <v>4.0</v>
      </c>
      <c r="I219" s="21" t="s">
        <v>210</v>
      </c>
      <c r="J219" s="22" t="s">
        <v>2587</v>
      </c>
    </row>
    <row r="220">
      <c r="A220" s="15" t="s">
        <v>2930</v>
      </c>
      <c r="B220" s="16">
        <v>45084.0</v>
      </c>
      <c r="C220" s="17">
        <v>45087.0</v>
      </c>
      <c r="D220" s="18">
        <v>2.0</v>
      </c>
      <c r="E220" s="19">
        <v>1.0</v>
      </c>
      <c r="F220" s="20">
        <v>12000.0</v>
      </c>
      <c r="G220" s="21" t="s">
        <v>2711</v>
      </c>
      <c r="H220" s="19">
        <v>4.0</v>
      </c>
      <c r="I220" s="21" t="s">
        <v>1176</v>
      </c>
      <c r="J220" s="22" t="s">
        <v>2557</v>
      </c>
    </row>
    <row r="221">
      <c r="A221" s="15" t="s">
        <v>2931</v>
      </c>
      <c r="B221" s="16">
        <v>45084.0</v>
      </c>
      <c r="C221" s="17">
        <v>45085.0</v>
      </c>
      <c r="D221" s="18">
        <v>1.0</v>
      </c>
      <c r="E221" s="19">
        <v>1.0</v>
      </c>
      <c r="F221" s="20">
        <v>12000.0</v>
      </c>
      <c r="G221" s="21" t="s">
        <v>2711</v>
      </c>
      <c r="H221" s="19">
        <v>4.0</v>
      </c>
      <c r="I221" s="21" t="s">
        <v>1390</v>
      </c>
      <c r="J221" s="22" t="s">
        <v>2652</v>
      </c>
    </row>
    <row r="222">
      <c r="A222" s="15" t="s">
        <v>2932</v>
      </c>
      <c r="B222" s="16">
        <v>45084.0</v>
      </c>
      <c r="C222" s="17">
        <v>45088.0</v>
      </c>
      <c r="D222" s="18">
        <v>15.0</v>
      </c>
      <c r="E222" s="19">
        <v>5.0</v>
      </c>
      <c r="F222" s="20">
        <v>24500.0</v>
      </c>
      <c r="G222" s="21" t="s">
        <v>2711</v>
      </c>
      <c r="H222" s="19">
        <v>4.0</v>
      </c>
      <c r="I222" s="21" t="s">
        <v>1374</v>
      </c>
      <c r="J222" s="22" t="s">
        <v>2587</v>
      </c>
    </row>
    <row r="223">
      <c r="A223" s="15" t="s">
        <v>2933</v>
      </c>
      <c r="B223" s="16">
        <v>45084.0</v>
      </c>
      <c r="C223" s="17">
        <v>45088.0</v>
      </c>
      <c r="D223" s="18">
        <v>2.0</v>
      </c>
      <c r="E223" s="19">
        <v>3.0</v>
      </c>
      <c r="F223" s="20">
        <v>16000.0</v>
      </c>
      <c r="G223" s="21" t="s">
        <v>2711</v>
      </c>
      <c r="H223" s="19">
        <v>5.0</v>
      </c>
      <c r="I223" s="21" t="s">
        <v>2473</v>
      </c>
      <c r="J223" s="22" t="s">
        <v>2516</v>
      </c>
    </row>
    <row r="224">
      <c r="A224" s="15" t="s">
        <v>2934</v>
      </c>
      <c r="B224" s="16">
        <v>45084.0</v>
      </c>
      <c r="C224" s="17">
        <v>45085.0</v>
      </c>
      <c r="D224" s="18">
        <v>3.0</v>
      </c>
      <c r="E224" s="19">
        <v>2.0</v>
      </c>
      <c r="F224" s="20">
        <v>14000.0</v>
      </c>
      <c r="G224" s="21" t="s">
        <v>2711</v>
      </c>
      <c r="H224" s="19">
        <v>4.0</v>
      </c>
      <c r="I224" s="21" t="s">
        <v>2330</v>
      </c>
      <c r="J224" s="22" t="s">
        <v>2612</v>
      </c>
    </row>
    <row r="225">
      <c r="A225" s="15" t="s">
        <v>2935</v>
      </c>
      <c r="B225" s="16">
        <v>45084.0</v>
      </c>
      <c r="C225" s="17">
        <v>45087.0</v>
      </c>
      <c r="D225" s="18">
        <v>3.0</v>
      </c>
      <c r="E225" s="19">
        <v>1.0</v>
      </c>
      <c r="F225" s="20">
        <v>12000.0</v>
      </c>
      <c r="G225" s="21" t="s">
        <v>2711</v>
      </c>
      <c r="H225" s="19">
        <v>5.0</v>
      </c>
      <c r="I225" s="21" t="s">
        <v>1045</v>
      </c>
      <c r="J225" s="22" t="s">
        <v>2692</v>
      </c>
    </row>
    <row r="226">
      <c r="A226" s="15" t="s">
        <v>2936</v>
      </c>
      <c r="B226" s="16">
        <v>45084.0</v>
      </c>
      <c r="C226" s="17">
        <v>45086.0</v>
      </c>
      <c r="D226" s="18">
        <v>4.0</v>
      </c>
      <c r="E226" s="19">
        <v>3.0</v>
      </c>
      <c r="F226" s="20">
        <v>16000.0</v>
      </c>
      <c r="G226" s="21" t="s">
        <v>2711</v>
      </c>
      <c r="H226" s="19">
        <v>4.0</v>
      </c>
      <c r="I226" s="21" t="s">
        <v>1910</v>
      </c>
      <c r="J226" s="22" t="s">
        <v>2647</v>
      </c>
    </row>
    <row r="227">
      <c r="A227" s="15" t="s">
        <v>2937</v>
      </c>
      <c r="B227" s="16">
        <v>45084.0</v>
      </c>
      <c r="C227" s="17">
        <v>45088.0</v>
      </c>
      <c r="D227" s="18">
        <v>5.0</v>
      </c>
      <c r="E227" s="19">
        <v>3.0</v>
      </c>
      <c r="F227" s="20">
        <v>16000.0</v>
      </c>
      <c r="G227" s="21" t="s">
        <v>2711</v>
      </c>
      <c r="H227" s="19">
        <v>5.0</v>
      </c>
      <c r="I227" s="21" t="s">
        <v>664</v>
      </c>
      <c r="J227" s="22" t="s">
        <v>2647</v>
      </c>
    </row>
    <row r="228">
      <c r="A228" s="15" t="s">
        <v>2938</v>
      </c>
      <c r="B228" s="16">
        <v>45084.0</v>
      </c>
      <c r="C228" s="17">
        <v>45085.0</v>
      </c>
      <c r="D228" s="18">
        <v>2.0</v>
      </c>
      <c r="E228" s="19">
        <v>1.0</v>
      </c>
      <c r="F228" s="20">
        <v>12000.0</v>
      </c>
      <c r="G228" s="21" t="s">
        <v>2711</v>
      </c>
      <c r="H228" s="19">
        <v>5.0</v>
      </c>
      <c r="I228" s="21" t="s">
        <v>254</v>
      </c>
      <c r="J228" s="22" t="s">
        <v>2652</v>
      </c>
    </row>
    <row r="229">
      <c r="A229" s="15" t="s">
        <v>2939</v>
      </c>
      <c r="B229" s="16">
        <v>45084.0</v>
      </c>
      <c r="C229" s="17">
        <v>45086.0</v>
      </c>
      <c r="D229" s="18">
        <v>5.0</v>
      </c>
      <c r="E229" s="19">
        <v>2.0</v>
      </c>
      <c r="F229" s="20">
        <v>14000.0</v>
      </c>
      <c r="G229" s="21" t="s">
        <v>2711</v>
      </c>
      <c r="H229" s="19">
        <v>5.0</v>
      </c>
      <c r="I229" s="21" t="s">
        <v>2457</v>
      </c>
      <c r="J229" s="22" t="s">
        <v>2547</v>
      </c>
    </row>
    <row r="230">
      <c r="A230" s="15" t="s">
        <v>2940</v>
      </c>
      <c r="B230" s="16">
        <v>45084.0</v>
      </c>
      <c r="C230" s="17">
        <v>45085.0</v>
      </c>
      <c r="D230" s="18">
        <v>4.0</v>
      </c>
      <c r="E230" s="19">
        <v>2.0</v>
      </c>
      <c r="F230" s="20">
        <v>14000.0</v>
      </c>
      <c r="G230" s="24" t="s">
        <v>2711</v>
      </c>
      <c r="H230" s="19">
        <v>5.0</v>
      </c>
      <c r="I230" s="21" t="s">
        <v>2473</v>
      </c>
      <c r="J230" s="22" t="s">
        <v>2677</v>
      </c>
    </row>
    <row r="231">
      <c r="A231" s="15" t="s">
        <v>2941</v>
      </c>
      <c r="B231" s="16">
        <v>45084.0</v>
      </c>
      <c r="C231" s="17">
        <v>45086.0</v>
      </c>
      <c r="D231" s="18">
        <v>3.0</v>
      </c>
      <c r="E231" s="19">
        <v>1.0</v>
      </c>
      <c r="F231" s="20">
        <v>12000.0</v>
      </c>
      <c r="G231" s="24" t="s">
        <v>2711</v>
      </c>
      <c r="H231" s="19">
        <v>5.0</v>
      </c>
      <c r="I231" s="21" t="s">
        <v>2314</v>
      </c>
      <c r="J231" s="22" t="s">
        <v>2490</v>
      </c>
    </row>
    <row r="232">
      <c r="A232" s="15" t="s">
        <v>2942</v>
      </c>
      <c r="B232" s="16">
        <v>45084.0</v>
      </c>
      <c r="C232" s="17">
        <v>45087.0</v>
      </c>
      <c r="D232" s="18">
        <v>5.0</v>
      </c>
      <c r="E232" s="19">
        <v>1.0</v>
      </c>
      <c r="F232" s="20">
        <v>12000.0</v>
      </c>
      <c r="G232" s="21" t="s">
        <v>2711</v>
      </c>
      <c r="H232" s="19">
        <v>5.0</v>
      </c>
      <c r="I232" s="21" t="s">
        <v>1792</v>
      </c>
      <c r="J232" s="22" t="s">
        <v>2617</v>
      </c>
    </row>
    <row r="233">
      <c r="A233" s="15" t="s">
        <v>2943</v>
      </c>
      <c r="B233" s="16">
        <v>45084.0</v>
      </c>
      <c r="C233" s="17">
        <v>45088.0</v>
      </c>
      <c r="D233" s="18">
        <v>5.0</v>
      </c>
      <c r="E233" s="19">
        <v>2.0</v>
      </c>
      <c r="F233" s="20">
        <v>14000.0</v>
      </c>
      <c r="G233" s="24" t="s">
        <v>2711</v>
      </c>
      <c r="H233" s="19">
        <v>4.0</v>
      </c>
      <c r="I233" s="21" t="s">
        <v>2088</v>
      </c>
      <c r="J233" s="22" t="s">
        <v>2687</v>
      </c>
    </row>
    <row r="234">
      <c r="A234" s="15" t="s">
        <v>2944</v>
      </c>
      <c r="B234" s="16">
        <v>45084.0</v>
      </c>
      <c r="C234" s="17">
        <v>45085.0</v>
      </c>
      <c r="D234" s="18">
        <v>3.0</v>
      </c>
      <c r="E234" s="19">
        <v>1.0</v>
      </c>
      <c r="F234" s="20">
        <v>12000.0</v>
      </c>
      <c r="G234" s="21" t="s">
        <v>2711</v>
      </c>
      <c r="H234" s="19">
        <v>4.0</v>
      </c>
      <c r="I234" s="21" t="s">
        <v>2088</v>
      </c>
      <c r="J234" s="22" t="s">
        <v>2677</v>
      </c>
    </row>
    <row r="235">
      <c r="A235" s="15" t="s">
        <v>2945</v>
      </c>
      <c r="B235" s="16">
        <v>45084.0</v>
      </c>
      <c r="C235" s="17">
        <v>45087.0</v>
      </c>
      <c r="D235" s="18">
        <v>3.0</v>
      </c>
      <c r="E235" s="19">
        <v>3.0</v>
      </c>
      <c r="F235" s="20">
        <v>16000.0</v>
      </c>
      <c r="G235" s="21" t="s">
        <v>2711</v>
      </c>
      <c r="H235" s="19">
        <v>5.0</v>
      </c>
      <c r="I235" s="21" t="s">
        <v>222</v>
      </c>
      <c r="J235" s="22" t="s">
        <v>2557</v>
      </c>
      <c r="K235" s="27"/>
    </row>
    <row r="236">
      <c r="A236" s="15" t="s">
        <v>2946</v>
      </c>
      <c r="B236" s="16">
        <v>45084.0</v>
      </c>
      <c r="C236" s="17">
        <v>45086.0</v>
      </c>
      <c r="D236" s="18">
        <v>20.0</v>
      </c>
      <c r="E236" s="19">
        <v>4.0</v>
      </c>
      <c r="F236" s="20">
        <v>24000.0</v>
      </c>
      <c r="G236" s="21" t="s">
        <v>2711</v>
      </c>
      <c r="H236" s="19">
        <v>4.0</v>
      </c>
      <c r="I236" s="21" t="s">
        <v>954</v>
      </c>
      <c r="J236" s="22" t="s">
        <v>2537</v>
      </c>
      <c r="K236" s="27"/>
    </row>
    <row r="237">
      <c r="A237" s="15" t="s">
        <v>2947</v>
      </c>
      <c r="B237" s="16">
        <v>45084.0</v>
      </c>
      <c r="C237" s="17">
        <v>45089.0</v>
      </c>
      <c r="D237" s="18">
        <v>8.0</v>
      </c>
      <c r="E237" s="19">
        <v>10.0</v>
      </c>
      <c r="F237" s="20">
        <v>30000.0</v>
      </c>
      <c r="G237" s="21" t="s">
        <v>2711</v>
      </c>
      <c r="H237" s="19">
        <v>5.0</v>
      </c>
      <c r="I237" s="21" t="s">
        <v>202</v>
      </c>
      <c r="J237" s="22" t="s">
        <v>2484</v>
      </c>
    </row>
    <row r="238">
      <c r="A238" s="15" t="s">
        <v>2948</v>
      </c>
      <c r="B238" s="16">
        <v>45084.0</v>
      </c>
      <c r="C238" s="17">
        <v>45086.0</v>
      </c>
      <c r="D238" s="18">
        <v>7.0</v>
      </c>
      <c r="E238" s="19">
        <v>7.0</v>
      </c>
      <c r="F238" s="20">
        <v>24000.0</v>
      </c>
      <c r="G238" s="21" t="s">
        <v>2711</v>
      </c>
      <c r="H238" s="19">
        <v>5.0</v>
      </c>
      <c r="I238" s="21" t="s">
        <v>1941</v>
      </c>
      <c r="J238" s="22" t="s">
        <v>2537</v>
      </c>
    </row>
    <row r="239">
      <c r="A239" s="15" t="s">
        <v>2949</v>
      </c>
      <c r="B239" s="16">
        <v>45084.0</v>
      </c>
      <c r="C239" s="17">
        <v>45086.0</v>
      </c>
      <c r="D239" s="18">
        <v>1.0</v>
      </c>
      <c r="E239" s="19">
        <v>1.0</v>
      </c>
      <c r="F239" s="20">
        <v>12000.0</v>
      </c>
      <c r="G239" s="21" t="s">
        <v>2711</v>
      </c>
      <c r="H239" s="19">
        <v>4.0</v>
      </c>
      <c r="I239" s="21" t="s">
        <v>2314</v>
      </c>
      <c r="J239" s="22" t="s">
        <v>2506</v>
      </c>
    </row>
    <row r="240">
      <c r="A240" s="15" t="s">
        <v>2950</v>
      </c>
      <c r="B240" s="16">
        <v>45084.0</v>
      </c>
      <c r="C240" s="17">
        <v>45086.0</v>
      </c>
      <c r="D240" s="18">
        <v>11.0</v>
      </c>
      <c r="E240" s="19">
        <v>4.0</v>
      </c>
      <c r="F240" s="20">
        <v>18000.0</v>
      </c>
      <c r="G240" s="21" t="s">
        <v>2711</v>
      </c>
      <c r="H240" s="19">
        <v>5.0</v>
      </c>
      <c r="I240" s="21" t="s">
        <v>1918</v>
      </c>
      <c r="J240" s="22" t="s">
        <v>2607</v>
      </c>
    </row>
    <row r="241">
      <c r="A241" s="15" t="s">
        <v>2951</v>
      </c>
      <c r="B241" s="16">
        <v>45084.0</v>
      </c>
      <c r="C241" s="17">
        <v>45086.0</v>
      </c>
      <c r="D241" s="18">
        <v>2.0</v>
      </c>
      <c r="E241" s="19">
        <v>2.0</v>
      </c>
      <c r="F241" s="20">
        <v>14000.0</v>
      </c>
      <c r="G241" s="21" t="s">
        <v>2711</v>
      </c>
      <c r="H241" s="19">
        <v>4.0</v>
      </c>
      <c r="I241" s="21" t="s">
        <v>716</v>
      </c>
      <c r="J241" s="22" t="s">
        <v>2490</v>
      </c>
    </row>
    <row r="242">
      <c r="A242" s="15" t="s">
        <v>2952</v>
      </c>
      <c r="B242" s="17">
        <v>45085.0</v>
      </c>
      <c r="C242" s="17">
        <f>B242 + RANDBETWEEN(1,5)</f>
        <v>45090</v>
      </c>
      <c r="D242" s="18">
        <v>5.0</v>
      </c>
      <c r="E242" s="19">
        <v>1.0</v>
      </c>
      <c r="F242" s="20">
        <v>12000.0</v>
      </c>
      <c r="G242" s="21" t="s">
        <v>2711</v>
      </c>
      <c r="H242" s="19">
        <v>5.0</v>
      </c>
      <c r="I242" s="21" t="s">
        <v>830</v>
      </c>
      <c r="J242" s="22" t="s">
        <v>2532</v>
      </c>
    </row>
    <row r="243">
      <c r="A243" s="15" t="s">
        <v>2953</v>
      </c>
      <c r="B243" s="16">
        <v>45085.0</v>
      </c>
      <c r="C243" s="17">
        <v>45090.0</v>
      </c>
      <c r="D243" s="18">
        <v>35.0</v>
      </c>
      <c r="E243" s="19">
        <v>22.0</v>
      </c>
      <c r="F243" s="20">
        <v>64500.0</v>
      </c>
      <c r="G243" s="21" t="s">
        <v>2711</v>
      </c>
      <c r="H243" s="19">
        <v>4.0</v>
      </c>
      <c r="I243" s="21" t="s">
        <v>1918</v>
      </c>
      <c r="J243" s="22" t="s">
        <v>2521</v>
      </c>
    </row>
    <row r="244">
      <c r="A244" s="15" t="s">
        <v>2954</v>
      </c>
      <c r="B244" s="16">
        <v>45085.0</v>
      </c>
      <c r="C244" s="17">
        <v>45088.0</v>
      </c>
      <c r="D244" s="18">
        <v>3.0</v>
      </c>
      <c r="E244" s="19">
        <v>2.0</v>
      </c>
      <c r="F244" s="20">
        <v>14000.0</v>
      </c>
      <c r="G244" s="21" t="s">
        <v>2711</v>
      </c>
      <c r="H244" s="19">
        <v>4.0</v>
      </c>
      <c r="I244" s="21" t="s">
        <v>518</v>
      </c>
      <c r="J244" s="22" t="s">
        <v>2642</v>
      </c>
    </row>
    <row r="245">
      <c r="A245" s="15" t="s">
        <v>2955</v>
      </c>
      <c r="B245" s="16">
        <v>45085.0</v>
      </c>
      <c r="C245" s="17">
        <v>45086.0</v>
      </c>
      <c r="D245" s="18">
        <v>18.0</v>
      </c>
      <c r="E245" s="19">
        <v>4.0</v>
      </c>
      <c r="F245" s="20">
        <v>23400.0</v>
      </c>
      <c r="G245" s="21" t="s">
        <v>2711</v>
      </c>
      <c r="H245" s="19">
        <v>4.0</v>
      </c>
      <c r="I245" s="21" t="s">
        <v>446</v>
      </c>
      <c r="J245" s="22" t="s">
        <v>2607</v>
      </c>
    </row>
    <row r="246">
      <c r="A246" s="15" t="s">
        <v>2956</v>
      </c>
      <c r="B246" s="16">
        <v>45085.0</v>
      </c>
      <c r="C246" s="17">
        <v>45088.0</v>
      </c>
      <c r="D246" s="18">
        <v>18.0</v>
      </c>
      <c r="E246" s="19">
        <v>5.0</v>
      </c>
      <c r="F246" s="20">
        <v>25400.0</v>
      </c>
      <c r="G246" s="21" t="s">
        <v>2711</v>
      </c>
      <c r="H246" s="19">
        <v>5.0</v>
      </c>
      <c r="I246" s="21" t="s">
        <v>1065</v>
      </c>
      <c r="J246" s="22" t="s">
        <v>2637</v>
      </c>
    </row>
    <row r="247">
      <c r="A247" s="15" t="s">
        <v>2957</v>
      </c>
      <c r="B247" s="16">
        <v>45085.0</v>
      </c>
      <c r="C247" s="17">
        <v>45088.0</v>
      </c>
      <c r="D247" s="18">
        <v>9.0</v>
      </c>
      <c r="E247" s="19">
        <v>10.0</v>
      </c>
      <c r="F247" s="20">
        <v>30000.0</v>
      </c>
      <c r="G247" s="21" t="s">
        <v>2711</v>
      </c>
      <c r="H247" s="19">
        <v>5.0</v>
      </c>
      <c r="I247" s="21" t="s">
        <v>958</v>
      </c>
      <c r="J247" s="22" t="s">
        <v>2537</v>
      </c>
    </row>
    <row r="248">
      <c r="A248" s="15" t="s">
        <v>2958</v>
      </c>
      <c r="B248" s="16">
        <v>45085.0</v>
      </c>
      <c r="C248" s="17">
        <v>45086.0</v>
      </c>
      <c r="D248" s="18">
        <v>3.0</v>
      </c>
      <c r="E248" s="19">
        <v>3.0</v>
      </c>
      <c r="F248" s="20">
        <v>16000.0</v>
      </c>
      <c r="G248" s="21" t="s">
        <v>2711</v>
      </c>
      <c r="H248" s="19">
        <v>4.0</v>
      </c>
      <c r="I248" s="21" t="s">
        <v>1149</v>
      </c>
      <c r="J248" s="22" t="s">
        <v>2572</v>
      </c>
    </row>
    <row r="249">
      <c r="A249" s="15" t="s">
        <v>2959</v>
      </c>
      <c r="B249" s="16">
        <v>45085.0</v>
      </c>
      <c r="C249" s="17">
        <v>45089.0</v>
      </c>
      <c r="D249" s="18">
        <v>1.0</v>
      </c>
      <c r="E249" s="19">
        <v>2.0</v>
      </c>
      <c r="F249" s="20">
        <v>14000.0</v>
      </c>
      <c r="G249" s="21" t="s">
        <v>2711</v>
      </c>
      <c r="H249" s="19">
        <v>5.0</v>
      </c>
      <c r="I249" s="21" t="s">
        <v>2072</v>
      </c>
      <c r="J249" s="22" t="s">
        <v>2527</v>
      </c>
    </row>
    <row r="250">
      <c r="A250" s="15" t="s">
        <v>2960</v>
      </c>
      <c r="B250" s="16">
        <v>45085.0</v>
      </c>
      <c r="C250" s="17">
        <v>45087.0</v>
      </c>
      <c r="D250" s="18">
        <v>5.0</v>
      </c>
      <c r="E250" s="19">
        <v>3.0</v>
      </c>
      <c r="F250" s="20">
        <v>16000.0</v>
      </c>
      <c r="G250" s="21" t="s">
        <v>2711</v>
      </c>
      <c r="H250" s="19">
        <v>5.0</v>
      </c>
      <c r="I250" s="21" t="s">
        <v>1101</v>
      </c>
      <c r="J250" s="22" t="s">
        <v>2532</v>
      </c>
    </row>
    <row r="251">
      <c r="A251" s="15" t="s">
        <v>2961</v>
      </c>
      <c r="B251" s="16">
        <v>45085.0</v>
      </c>
      <c r="C251" s="17">
        <v>45088.0</v>
      </c>
      <c r="D251" s="18">
        <v>43.0</v>
      </c>
      <c r="E251" s="19">
        <v>16.0</v>
      </c>
      <c r="F251" s="20">
        <v>54900.0</v>
      </c>
      <c r="G251" s="21" t="s">
        <v>2711</v>
      </c>
      <c r="H251" s="19">
        <v>4.0</v>
      </c>
      <c r="I251" s="21" t="s">
        <v>2096</v>
      </c>
      <c r="J251" s="22" t="s">
        <v>2521</v>
      </c>
    </row>
    <row r="252">
      <c r="A252" s="15" t="s">
        <v>2962</v>
      </c>
      <c r="B252" s="16">
        <v>45085.0</v>
      </c>
      <c r="C252" s="17">
        <v>45088.0</v>
      </c>
      <c r="D252" s="18">
        <v>6.0</v>
      </c>
      <c r="E252" s="19">
        <v>2.0</v>
      </c>
      <c r="F252" s="20">
        <v>14000.0</v>
      </c>
      <c r="G252" s="21" t="s">
        <v>2711</v>
      </c>
      <c r="H252" s="19">
        <v>4.0</v>
      </c>
      <c r="I252" s="21" t="s">
        <v>934</v>
      </c>
      <c r="J252" s="22" t="s">
        <v>2567</v>
      </c>
    </row>
    <row r="253">
      <c r="A253" s="15" t="s">
        <v>2963</v>
      </c>
      <c r="B253" s="16">
        <v>45085.0</v>
      </c>
      <c r="C253" s="17">
        <v>45088.0</v>
      </c>
      <c r="D253" s="18">
        <v>1.0</v>
      </c>
      <c r="E253" s="19">
        <v>1.0</v>
      </c>
      <c r="F253" s="20">
        <v>12000.0</v>
      </c>
      <c r="G253" s="21" t="s">
        <v>2711</v>
      </c>
      <c r="H253" s="19">
        <v>4.0</v>
      </c>
      <c r="I253" s="21" t="s">
        <v>1049</v>
      </c>
      <c r="J253" s="22" t="s">
        <v>2547</v>
      </c>
    </row>
    <row r="254">
      <c r="A254" s="15" t="s">
        <v>2964</v>
      </c>
      <c r="B254" s="16">
        <v>45085.0</v>
      </c>
      <c r="C254" s="17">
        <v>45090.0</v>
      </c>
      <c r="D254" s="18">
        <v>58.0</v>
      </c>
      <c r="E254" s="19">
        <v>12.0</v>
      </c>
      <c r="F254" s="20">
        <v>51400.0</v>
      </c>
      <c r="G254" s="21" t="s">
        <v>2711</v>
      </c>
      <c r="H254" s="19">
        <v>4.0</v>
      </c>
      <c r="I254" s="21" t="s">
        <v>2148</v>
      </c>
      <c r="J254" s="22" t="s">
        <v>2521</v>
      </c>
    </row>
    <row r="255">
      <c r="A255" s="15" t="s">
        <v>2965</v>
      </c>
      <c r="B255" s="16">
        <v>45085.0</v>
      </c>
      <c r="C255" s="17">
        <v>45087.0</v>
      </c>
      <c r="D255" s="18">
        <v>6.0</v>
      </c>
      <c r="E255" s="19">
        <v>1.0</v>
      </c>
      <c r="F255" s="20">
        <v>12000.0</v>
      </c>
      <c r="G255" s="21" t="s">
        <v>2711</v>
      </c>
      <c r="H255" s="19">
        <v>4.0</v>
      </c>
      <c r="I255" s="21" t="s">
        <v>969</v>
      </c>
      <c r="J255" s="22" t="s">
        <v>2622</v>
      </c>
    </row>
    <row r="256">
      <c r="A256" s="15" t="s">
        <v>2966</v>
      </c>
      <c r="B256" s="16">
        <v>45085.0</v>
      </c>
      <c r="C256" s="17">
        <v>45089.0</v>
      </c>
      <c r="D256" s="18">
        <v>15.0</v>
      </c>
      <c r="E256" s="19">
        <v>8.0</v>
      </c>
      <c r="F256" s="20">
        <v>30500.0</v>
      </c>
      <c r="G256" s="21" t="s">
        <v>2711</v>
      </c>
      <c r="H256" s="19">
        <v>5.0</v>
      </c>
      <c r="I256" s="21" t="s">
        <v>146</v>
      </c>
      <c r="J256" s="22" t="s">
        <v>2537</v>
      </c>
    </row>
    <row r="257">
      <c r="A257" s="15" t="s">
        <v>2967</v>
      </c>
      <c r="B257" s="16">
        <v>45085.0</v>
      </c>
      <c r="C257" s="17">
        <v>45087.0</v>
      </c>
      <c r="D257" s="18">
        <v>2.0</v>
      </c>
      <c r="E257" s="19">
        <v>1.0</v>
      </c>
      <c r="F257" s="20">
        <v>12000.0</v>
      </c>
      <c r="G257" s="21" t="s">
        <v>2711</v>
      </c>
      <c r="H257" s="19">
        <v>4.0</v>
      </c>
      <c r="I257" s="21" t="s">
        <v>2259</v>
      </c>
      <c r="J257" s="22" t="s">
        <v>2602</v>
      </c>
    </row>
    <row r="258">
      <c r="A258" s="15" t="s">
        <v>2968</v>
      </c>
      <c r="B258" s="16">
        <v>45085.0</v>
      </c>
      <c r="C258" s="17">
        <v>45089.0</v>
      </c>
      <c r="D258" s="18">
        <v>4.0</v>
      </c>
      <c r="E258" s="19">
        <v>2.0</v>
      </c>
      <c r="F258" s="20">
        <v>14000.0</v>
      </c>
      <c r="G258" s="21" t="s">
        <v>2711</v>
      </c>
      <c r="H258" s="19">
        <v>5.0</v>
      </c>
      <c r="I258" s="21" t="s">
        <v>640</v>
      </c>
      <c r="J258" s="22" t="s">
        <v>2506</v>
      </c>
    </row>
    <row r="259">
      <c r="A259" s="15" t="s">
        <v>2969</v>
      </c>
      <c r="B259" s="16">
        <v>45085.0</v>
      </c>
      <c r="C259" s="17">
        <v>45087.0</v>
      </c>
      <c r="D259" s="18">
        <v>8.0</v>
      </c>
      <c r="E259" s="19">
        <v>7.0</v>
      </c>
      <c r="F259" s="20">
        <v>24000.0</v>
      </c>
      <c r="G259" s="21" t="s">
        <v>2711</v>
      </c>
      <c r="H259" s="19">
        <v>5.0</v>
      </c>
      <c r="I259" s="21" t="s">
        <v>830</v>
      </c>
      <c r="J259" s="22" t="s">
        <v>2537</v>
      </c>
    </row>
    <row r="260">
      <c r="A260" s="15" t="s">
        <v>2970</v>
      </c>
      <c r="B260" s="16">
        <v>45085.0</v>
      </c>
      <c r="C260" s="17">
        <v>45089.0</v>
      </c>
      <c r="D260" s="18">
        <v>1.0</v>
      </c>
      <c r="E260" s="19">
        <v>3.0</v>
      </c>
      <c r="F260" s="20">
        <v>16000.0</v>
      </c>
      <c r="G260" s="21" t="s">
        <v>2711</v>
      </c>
      <c r="H260" s="19">
        <v>4.0</v>
      </c>
      <c r="I260" s="21" t="s">
        <v>1089</v>
      </c>
      <c r="J260" s="22" t="s">
        <v>2567</v>
      </c>
    </row>
    <row r="261">
      <c r="A261" s="15" t="s">
        <v>2971</v>
      </c>
      <c r="B261" s="16">
        <v>45085.0</v>
      </c>
      <c r="C261" s="17">
        <v>45088.0</v>
      </c>
      <c r="D261" s="18">
        <v>18.0</v>
      </c>
      <c r="E261" s="19">
        <v>4.0</v>
      </c>
      <c r="F261" s="20">
        <v>23400.0</v>
      </c>
      <c r="G261" s="21" t="s">
        <v>2711</v>
      </c>
      <c r="H261" s="19">
        <v>5.0</v>
      </c>
      <c r="I261" s="21" t="s">
        <v>514</v>
      </c>
      <c r="J261" s="22" t="s">
        <v>2627</v>
      </c>
    </row>
    <row r="262">
      <c r="A262" s="15" t="s">
        <v>2972</v>
      </c>
      <c r="B262" s="16">
        <v>45085.0</v>
      </c>
      <c r="C262" s="17">
        <v>45086.0</v>
      </c>
      <c r="D262" s="18">
        <v>9.0</v>
      </c>
      <c r="E262" s="19">
        <v>9.0</v>
      </c>
      <c r="F262" s="20">
        <v>28000.0</v>
      </c>
      <c r="G262" s="21" t="s">
        <v>2711</v>
      </c>
      <c r="H262" s="19">
        <v>4.0</v>
      </c>
      <c r="I262" s="21" t="s">
        <v>890</v>
      </c>
      <c r="J262" s="22" t="s">
        <v>2667</v>
      </c>
    </row>
    <row r="263">
      <c r="A263" s="15" t="s">
        <v>2973</v>
      </c>
      <c r="B263" s="16">
        <v>45085.0</v>
      </c>
      <c r="C263" s="17">
        <v>45088.0</v>
      </c>
      <c r="D263" s="18">
        <v>5.0</v>
      </c>
      <c r="E263" s="19">
        <v>1.0</v>
      </c>
      <c r="F263" s="20">
        <v>12000.0</v>
      </c>
      <c r="G263" s="21" t="s">
        <v>2711</v>
      </c>
      <c r="H263" s="19">
        <v>5.0</v>
      </c>
      <c r="I263" s="21" t="s">
        <v>815</v>
      </c>
      <c r="J263" s="22" t="s">
        <v>2506</v>
      </c>
    </row>
    <row r="264">
      <c r="A264" s="15" t="s">
        <v>2974</v>
      </c>
      <c r="B264" s="16">
        <v>45085.0</v>
      </c>
      <c r="C264" s="17">
        <v>45089.0</v>
      </c>
      <c r="D264" s="18">
        <v>24.0</v>
      </c>
      <c r="E264" s="19">
        <v>11.0</v>
      </c>
      <c r="F264" s="20">
        <v>39200.0</v>
      </c>
      <c r="G264" s="21" t="s">
        <v>2711</v>
      </c>
      <c r="H264" s="19">
        <v>5.0</v>
      </c>
      <c r="I264" s="21" t="s">
        <v>1953</v>
      </c>
      <c r="J264" s="22" t="s">
        <v>2521</v>
      </c>
    </row>
    <row r="265">
      <c r="A265" s="15" t="s">
        <v>2975</v>
      </c>
      <c r="B265" s="16">
        <v>45085.0</v>
      </c>
      <c r="C265" s="17">
        <v>45090.0</v>
      </c>
      <c r="D265" s="18">
        <v>5.0</v>
      </c>
      <c r="E265" s="19">
        <v>2.0</v>
      </c>
      <c r="F265" s="20">
        <v>14000.0</v>
      </c>
      <c r="G265" s="21" t="s">
        <v>2711</v>
      </c>
      <c r="H265" s="19">
        <v>4.0</v>
      </c>
      <c r="I265" s="21" t="s">
        <v>2457</v>
      </c>
      <c r="J265" s="22" t="s">
        <v>2597</v>
      </c>
    </row>
    <row r="266">
      <c r="A266" s="15" t="s">
        <v>2976</v>
      </c>
      <c r="B266" s="16">
        <v>45085.0</v>
      </c>
      <c r="C266" s="17">
        <v>45088.0</v>
      </c>
      <c r="D266" s="18">
        <v>12.0</v>
      </c>
      <c r="E266" s="19">
        <v>9.0</v>
      </c>
      <c r="F266" s="20">
        <v>28000.0</v>
      </c>
      <c r="G266" s="21" t="s">
        <v>2711</v>
      </c>
      <c r="H266" s="19">
        <v>5.0</v>
      </c>
      <c r="I266" s="21" t="s">
        <v>198</v>
      </c>
      <c r="J266" s="22" t="s">
        <v>2667</v>
      </c>
    </row>
    <row r="267">
      <c r="A267" s="15" t="s">
        <v>2977</v>
      </c>
      <c r="B267" s="16">
        <v>45085.0</v>
      </c>
      <c r="C267" s="17">
        <v>45086.0</v>
      </c>
      <c r="D267" s="18">
        <v>12.0</v>
      </c>
      <c r="E267" s="19">
        <v>6.0</v>
      </c>
      <c r="F267" s="20">
        <v>22000.0</v>
      </c>
      <c r="G267" s="21" t="s">
        <v>2711</v>
      </c>
      <c r="H267" s="19">
        <v>5.0</v>
      </c>
      <c r="I267" s="21" t="s">
        <v>506</v>
      </c>
      <c r="J267" s="22" t="s">
        <v>2537</v>
      </c>
    </row>
    <row r="268">
      <c r="A268" s="15" t="s">
        <v>2978</v>
      </c>
      <c r="B268" s="16">
        <v>45085.0</v>
      </c>
      <c r="C268" s="17">
        <v>45089.0</v>
      </c>
      <c r="D268" s="18">
        <v>19.0</v>
      </c>
      <c r="E268" s="19">
        <v>4.0</v>
      </c>
      <c r="F268" s="20">
        <v>23700.0</v>
      </c>
      <c r="G268" s="21" t="s">
        <v>2711</v>
      </c>
      <c r="H268" s="19">
        <v>5.0</v>
      </c>
      <c r="I268" s="21" t="s">
        <v>142</v>
      </c>
      <c r="J268" s="22" t="s">
        <v>2537</v>
      </c>
    </row>
    <row r="269">
      <c r="A269" s="15" t="s">
        <v>2979</v>
      </c>
      <c r="B269" s="16">
        <v>45085.0</v>
      </c>
      <c r="C269" s="17">
        <v>45087.0</v>
      </c>
      <c r="D269" s="18">
        <v>1.0</v>
      </c>
      <c r="E269" s="19">
        <v>1.0</v>
      </c>
      <c r="F269" s="20">
        <v>12000.0</v>
      </c>
      <c r="G269" s="21" t="s">
        <v>2711</v>
      </c>
      <c r="H269" s="19">
        <v>4.0</v>
      </c>
      <c r="I269" s="21" t="s">
        <v>1324</v>
      </c>
      <c r="J269" s="22" t="s">
        <v>2496</v>
      </c>
      <c r="K269" s="27"/>
    </row>
    <row r="270">
      <c r="A270" s="15" t="s">
        <v>2980</v>
      </c>
      <c r="B270" s="16">
        <v>45085.0</v>
      </c>
      <c r="C270" s="17">
        <v>45089.0</v>
      </c>
      <c r="D270" s="18">
        <v>43.0</v>
      </c>
      <c r="E270" s="19">
        <v>22.0</v>
      </c>
      <c r="F270" s="20">
        <v>66900.0</v>
      </c>
      <c r="G270" s="21" t="s">
        <v>2711</v>
      </c>
      <c r="H270" s="19">
        <v>5.0</v>
      </c>
      <c r="I270" s="21" t="s">
        <v>1097</v>
      </c>
      <c r="J270" s="22" t="s">
        <v>2521</v>
      </c>
    </row>
    <row r="271">
      <c r="A271" s="15" t="s">
        <v>2981</v>
      </c>
      <c r="B271" s="16">
        <v>45085.0</v>
      </c>
      <c r="C271" s="17">
        <v>45086.0</v>
      </c>
      <c r="D271" s="18">
        <v>1.0</v>
      </c>
      <c r="E271" s="19">
        <v>3.0</v>
      </c>
      <c r="F271" s="20">
        <v>16000.0</v>
      </c>
      <c r="G271" s="21" t="s">
        <v>2711</v>
      </c>
      <c r="H271" s="19">
        <v>4.0</v>
      </c>
      <c r="I271" s="21" t="s">
        <v>902</v>
      </c>
      <c r="J271" s="22" t="s">
        <v>2577</v>
      </c>
    </row>
    <row r="272">
      <c r="A272" s="15" t="s">
        <v>2982</v>
      </c>
      <c r="B272" s="16">
        <v>45085.0</v>
      </c>
      <c r="C272" s="17">
        <v>45087.0</v>
      </c>
      <c r="D272" s="18">
        <v>5.0</v>
      </c>
      <c r="E272" s="19">
        <v>1.0</v>
      </c>
      <c r="F272" s="20">
        <v>12000.0</v>
      </c>
      <c r="G272" s="21" t="s">
        <v>2711</v>
      </c>
      <c r="H272" s="19">
        <v>5.0</v>
      </c>
      <c r="I272" s="21" t="s">
        <v>302</v>
      </c>
      <c r="J272" s="22" t="s">
        <v>2516</v>
      </c>
    </row>
    <row r="273">
      <c r="A273" s="15" t="s">
        <v>2983</v>
      </c>
      <c r="B273" s="17">
        <v>45086.0</v>
      </c>
      <c r="C273" s="17">
        <f t="shared" ref="C273:C274" si="3">B273 + RANDBETWEEN(1,5)</f>
        <v>45087</v>
      </c>
      <c r="D273" s="18">
        <v>3.0</v>
      </c>
      <c r="E273" s="19">
        <v>2.0</v>
      </c>
      <c r="F273" s="20">
        <v>14000.0</v>
      </c>
      <c r="G273" s="21" t="s">
        <v>2711</v>
      </c>
      <c r="H273" s="19">
        <v>4.0</v>
      </c>
      <c r="I273" s="21" t="s">
        <v>1344</v>
      </c>
      <c r="J273" s="22" t="s">
        <v>2527</v>
      </c>
    </row>
    <row r="274">
      <c r="A274" s="15" t="s">
        <v>2984</v>
      </c>
      <c r="B274" s="17">
        <v>45086.0</v>
      </c>
      <c r="C274" s="17">
        <f t="shared" si="3"/>
        <v>45089</v>
      </c>
      <c r="D274" s="18">
        <v>1.0</v>
      </c>
      <c r="E274" s="19">
        <v>2.0</v>
      </c>
      <c r="F274" s="20">
        <v>14000.0</v>
      </c>
      <c r="G274" s="21" t="s">
        <v>2711</v>
      </c>
      <c r="H274" s="19">
        <v>4.0</v>
      </c>
      <c r="I274" s="21" t="s">
        <v>727</v>
      </c>
      <c r="J274" s="22" t="s">
        <v>2617</v>
      </c>
    </row>
    <row r="275">
      <c r="A275" s="15" t="s">
        <v>2985</v>
      </c>
      <c r="B275" s="16">
        <v>45086.0</v>
      </c>
      <c r="C275" s="17">
        <v>45091.0</v>
      </c>
      <c r="D275" s="18">
        <v>15.0</v>
      </c>
      <c r="E275" s="19">
        <v>9.0</v>
      </c>
      <c r="F275" s="20">
        <v>32500.0</v>
      </c>
      <c r="G275" s="21" t="s">
        <v>2711</v>
      </c>
      <c r="H275" s="19">
        <v>5.0</v>
      </c>
      <c r="I275" s="21" t="s">
        <v>1374</v>
      </c>
      <c r="J275" s="22" t="s">
        <v>2662</v>
      </c>
    </row>
    <row r="276">
      <c r="A276" s="15" t="s">
        <v>2986</v>
      </c>
      <c r="B276" s="16">
        <v>45086.0</v>
      </c>
      <c r="C276" s="17">
        <v>45090.0</v>
      </c>
      <c r="D276" s="18">
        <v>13.0</v>
      </c>
      <c r="E276" s="19">
        <v>6.0</v>
      </c>
      <c r="F276" s="20">
        <v>22000.0</v>
      </c>
      <c r="G276" s="21" t="s">
        <v>2711</v>
      </c>
      <c r="H276" s="19">
        <v>4.0</v>
      </c>
      <c r="I276" s="21" t="s">
        <v>2358</v>
      </c>
      <c r="J276" s="22" t="s">
        <v>2537</v>
      </c>
    </row>
    <row r="277">
      <c r="A277" s="15" t="s">
        <v>2987</v>
      </c>
      <c r="B277" s="16">
        <v>45086.0</v>
      </c>
      <c r="C277" s="17">
        <v>45088.0</v>
      </c>
      <c r="D277" s="18">
        <v>6.0</v>
      </c>
      <c r="E277" s="19">
        <v>2.0</v>
      </c>
      <c r="F277" s="20">
        <v>14000.0</v>
      </c>
      <c r="G277" s="21" t="s">
        <v>2711</v>
      </c>
      <c r="H277" s="19">
        <v>4.0</v>
      </c>
      <c r="I277" s="21" t="s">
        <v>2473</v>
      </c>
      <c r="J277" s="22" t="s">
        <v>2612</v>
      </c>
    </row>
    <row r="278">
      <c r="A278" s="15" t="s">
        <v>2988</v>
      </c>
      <c r="B278" s="16">
        <v>45086.0</v>
      </c>
      <c r="C278" s="17">
        <v>45090.0</v>
      </c>
      <c r="D278" s="18">
        <v>1.0</v>
      </c>
      <c r="E278" s="19">
        <v>3.0</v>
      </c>
      <c r="F278" s="20">
        <v>16000.0</v>
      </c>
      <c r="G278" s="21" t="s">
        <v>2711</v>
      </c>
      <c r="H278" s="19">
        <v>4.0</v>
      </c>
      <c r="I278" s="21" t="s">
        <v>854</v>
      </c>
      <c r="J278" s="22" t="s">
        <v>2647</v>
      </c>
    </row>
    <row r="279">
      <c r="A279" s="15" t="s">
        <v>2989</v>
      </c>
      <c r="B279" s="16">
        <v>45086.0</v>
      </c>
      <c r="C279" s="17">
        <v>45087.0</v>
      </c>
      <c r="D279" s="18">
        <v>19.0</v>
      </c>
      <c r="E279" s="19">
        <v>10.0</v>
      </c>
      <c r="F279" s="20">
        <v>35700.0</v>
      </c>
      <c r="G279" s="21" t="s">
        <v>2711</v>
      </c>
      <c r="H279" s="19">
        <v>4.0</v>
      </c>
      <c r="I279" s="21" t="s">
        <v>2005</v>
      </c>
      <c r="J279" s="22" t="s">
        <v>2637</v>
      </c>
    </row>
    <row r="280">
      <c r="A280" s="15" t="s">
        <v>2990</v>
      </c>
      <c r="B280" s="16">
        <v>45086.0</v>
      </c>
      <c r="C280" s="17">
        <v>45088.0</v>
      </c>
      <c r="D280" s="18">
        <v>2.0</v>
      </c>
      <c r="E280" s="19">
        <v>2.0</v>
      </c>
      <c r="F280" s="20">
        <v>14000.0</v>
      </c>
      <c r="G280" s="21" t="s">
        <v>2711</v>
      </c>
      <c r="H280" s="19">
        <v>5.0</v>
      </c>
      <c r="I280" s="21" t="s">
        <v>1870</v>
      </c>
      <c r="J280" s="22" t="s">
        <v>2632</v>
      </c>
    </row>
    <row r="281">
      <c r="A281" s="15" t="s">
        <v>2991</v>
      </c>
      <c r="B281" s="16">
        <v>45086.0</v>
      </c>
      <c r="C281" s="17">
        <v>45089.0</v>
      </c>
      <c r="D281" s="18">
        <v>4.0</v>
      </c>
      <c r="E281" s="19">
        <v>2.0</v>
      </c>
      <c r="F281" s="20">
        <v>14000.0</v>
      </c>
      <c r="G281" s="21" t="s">
        <v>2711</v>
      </c>
      <c r="H281" s="19">
        <v>5.0</v>
      </c>
      <c r="I281" s="21" t="s">
        <v>1252</v>
      </c>
      <c r="J281" s="22" t="s">
        <v>2562</v>
      </c>
    </row>
    <row r="282">
      <c r="A282" s="15" t="s">
        <v>2992</v>
      </c>
      <c r="B282" s="16">
        <v>45086.0</v>
      </c>
      <c r="C282" s="17">
        <v>45090.0</v>
      </c>
      <c r="D282" s="18">
        <v>2.0</v>
      </c>
      <c r="E282" s="19">
        <v>2.0</v>
      </c>
      <c r="F282" s="20">
        <v>14000.0</v>
      </c>
      <c r="G282" s="21" t="s">
        <v>2711</v>
      </c>
      <c r="H282" s="19">
        <v>5.0</v>
      </c>
      <c r="I282" s="21" t="s">
        <v>6</v>
      </c>
      <c r="J282" s="22" t="s">
        <v>2617</v>
      </c>
    </row>
    <row r="283">
      <c r="A283" s="15" t="s">
        <v>2993</v>
      </c>
      <c r="B283" s="16">
        <v>45086.0</v>
      </c>
      <c r="C283" s="17">
        <v>45088.0</v>
      </c>
      <c r="D283" s="18">
        <v>6.0</v>
      </c>
      <c r="E283" s="19">
        <v>1.0</v>
      </c>
      <c r="F283" s="20">
        <v>12000.0</v>
      </c>
      <c r="G283" s="21" t="s">
        <v>2711</v>
      </c>
      <c r="H283" s="19">
        <v>5.0</v>
      </c>
      <c r="I283" s="21" t="s">
        <v>2116</v>
      </c>
      <c r="J283" s="22" t="s">
        <v>2547</v>
      </c>
    </row>
    <row r="284">
      <c r="A284" s="15" t="s">
        <v>2994</v>
      </c>
      <c r="B284" s="16">
        <v>45086.0</v>
      </c>
      <c r="C284" s="17">
        <v>45087.0</v>
      </c>
      <c r="D284" s="18">
        <v>13.0</v>
      </c>
      <c r="E284" s="19">
        <v>8.0</v>
      </c>
      <c r="F284" s="20">
        <v>26000.0</v>
      </c>
      <c r="G284" s="21" t="s">
        <v>2711</v>
      </c>
      <c r="H284" s="19">
        <v>5.0</v>
      </c>
      <c r="I284" s="21" t="s">
        <v>230</v>
      </c>
      <c r="J284" s="22" t="s">
        <v>2667</v>
      </c>
    </row>
    <row r="285">
      <c r="A285" s="15" t="s">
        <v>2995</v>
      </c>
      <c r="B285" s="16">
        <v>45086.0</v>
      </c>
      <c r="C285" s="17">
        <v>45087.0</v>
      </c>
      <c r="D285" s="18">
        <v>11.0</v>
      </c>
      <c r="E285" s="19">
        <v>7.0</v>
      </c>
      <c r="F285" s="20">
        <v>24000.0</v>
      </c>
      <c r="G285" s="21" t="s">
        <v>2711</v>
      </c>
      <c r="H285" s="19">
        <v>5.0</v>
      </c>
      <c r="I285" s="21" t="s">
        <v>206</v>
      </c>
      <c r="J285" s="22" t="s">
        <v>2662</v>
      </c>
    </row>
    <row r="286">
      <c r="A286" s="15" t="s">
        <v>2996</v>
      </c>
      <c r="B286" s="16">
        <v>45086.0</v>
      </c>
      <c r="C286" s="17">
        <v>45090.0</v>
      </c>
      <c r="D286" s="18">
        <v>5.0</v>
      </c>
      <c r="E286" s="19">
        <v>1.0</v>
      </c>
      <c r="F286" s="20">
        <v>12000.0</v>
      </c>
      <c r="G286" s="21" t="s">
        <v>2711</v>
      </c>
      <c r="H286" s="19">
        <v>4.0</v>
      </c>
      <c r="I286" s="21" t="s">
        <v>1804</v>
      </c>
      <c r="J286" s="22" t="s">
        <v>2692</v>
      </c>
    </row>
    <row r="287">
      <c r="A287" s="15" t="s">
        <v>2997</v>
      </c>
      <c r="B287" s="16">
        <v>45086.0</v>
      </c>
      <c r="C287" s="17">
        <v>45089.0</v>
      </c>
      <c r="D287" s="18">
        <v>1.0</v>
      </c>
      <c r="E287" s="19">
        <v>1.0</v>
      </c>
      <c r="F287" s="20">
        <v>12000.0</v>
      </c>
      <c r="G287" s="21" t="s">
        <v>2711</v>
      </c>
      <c r="H287" s="19">
        <v>4.0</v>
      </c>
      <c r="I287" s="21" t="s">
        <v>834</v>
      </c>
      <c r="J287" s="22" t="s">
        <v>2567</v>
      </c>
    </row>
    <row r="288">
      <c r="A288" s="15" t="s">
        <v>2998</v>
      </c>
      <c r="B288" s="16">
        <v>45086.0</v>
      </c>
      <c r="C288" s="17">
        <v>45090.0</v>
      </c>
      <c r="D288" s="18">
        <v>4.0</v>
      </c>
      <c r="E288" s="19">
        <v>2.0</v>
      </c>
      <c r="F288" s="20">
        <v>14000.0</v>
      </c>
      <c r="G288" s="21" t="s">
        <v>2711</v>
      </c>
      <c r="H288" s="19">
        <v>5.0</v>
      </c>
      <c r="I288" s="21" t="s">
        <v>1906</v>
      </c>
      <c r="J288" s="22" t="s">
        <v>2557</v>
      </c>
    </row>
    <row r="289">
      <c r="A289" s="15" t="s">
        <v>2999</v>
      </c>
      <c r="B289" s="16">
        <v>45086.0</v>
      </c>
      <c r="C289" s="17">
        <v>45091.0</v>
      </c>
      <c r="D289" s="18">
        <v>11.0</v>
      </c>
      <c r="E289" s="19">
        <v>4.0</v>
      </c>
      <c r="F289" s="20">
        <v>18000.0</v>
      </c>
      <c r="G289" s="21" t="s">
        <v>2711</v>
      </c>
      <c r="H289" s="19">
        <v>5.0</v>
      </c>
      <c r="I289" s="21" t="s">
        <v>854</v>
      </c>
      <c r="J289" s="22" t="s">
        <v>2697</v>
      </c>
    </row>
    <row r="290">
      <c r="A290" s="15" t="s">
        <v>3000</v>
      </c>
      <c r="B290" s="16">
        <v>45086.0</v>
      </c>
      <c r="C290" s="17">
        <v>45087.0</v>
      </c>
      <c r="D290" s="18">
        <v>6.0</v>
      </c>
      <c r="E290" s="19">
        <v>1.0</v>
      </c>
      <c r="F290" s="20">
        <v>12000.0</v>
      </c>
      <c r="G290" s="21" t="s">
        <v>2711</v>
      </c>
      <c r="H290" s="19">
        <v>4.0</v>
      </c>
      <c r="I290" s="21" t="s">
        <v>422</v>
      </c>
      <c r="J290" s="22" t="s">
        <v>2617</v>
      </c>
    </row>
    <row r="291">
      <c r="A291" s="15" t="s">
        <v>3001</v>
      </c>
      <c r="B291" s="16">
        <v>45086.0</v>
      </c>
      <c r="C291" s="17">
        <v>45088.0</v>
      </c>
      <c r="D291" s="18">
        <v>4.0</v>
      </c>
      <c r="E291" s="19">
        <v>2.0</v>
      </c>
      <c r="F291" s="20">
        <v>14000.0</v>
      </c>
      <c r="G291" s="21" t="s">
        <v>2711</v>
      </c>
      <c r="H291" s="19">
        <v>5.0</v>
      </c>
      <c r="I291" s="21" t="s">
        <v>262</v>
      </c>
      <c r="J291" s="22" t="s">
        <v>2506</v>
      </c>
    </row>
    <row r="292">
      <c r="A292" s="15" t="s">
        <v>3002</v>
      </c>
      <c r="B292" s="16">
        <v>45086.0</v>
      </c>
      <c r="C292" s="17">
        <v>45089.0</v>
      </c>
      <c r="D292" s="18">
        <v>6.0</v>
      </c>
      <c r="E292" s="19">
        <v>1.0</v>
      </c>
      <c r="F292" s="20">
        <v>12000.0</v>
      </c>
      <c r="G292" s="21" t="s">
        <v>2711</v>
      </c>
      <c r="H292" s="19">
        <v>4.0</v>
      </c>
      <c r="I292" s="21" t="s">
        <v>866</v>
      </c>
      <c r="J292" s="22" t="s">
        <v>2506</v>
      </c>
    </row>
    <row r="293">
      <c r="A293" s="15" t="s">
        <v>3003</v>
      </c>
      <c r="B293" s="16">
        <v>45086.0</v>
      </c>
      <c r="C293" s="17">
        <v>45088.0</v>
      </c>
      <c r="D293" s="18">
        <v>11.0</v>
      </c>
      <c r="E293" s="19">
        <v>10.0</v>
      </c>
      <c r="F293" s="20">
        <v>30000.0</v>
      </c>
      <c r="G293" s="21" t="s">
        <v>2711</v>
      </c>
      <c r="H293" s="19">
        <v>4.0</v>
      </c>
      <c r="I293" s="21" t="s">
        <v>537</v>
      </c>
      <c r="J293" s="22" t="s">
        <v>2607</v>
      </c>
    </row>
    <row r="294">
      <c r="A294" s="15" t="s">
        <v>3004</v>
      </c>
      <c r="B294" s="16">
        <v>45086.0</v>
      </c>
      <c r="C294" s="17">
        <v>45088.0</v>
      </c>
      <c r="D294" s="18">
        <v>17.0</v>
      </c>
      <c r="E294" s="19">
        <v>5.0</v>
      </c>
      <c r="F294" s="20">
        <v>25100.0</v>
      </c>
      <c r="G294" s="21" t="s">
        <v>2711</v>
      </c>
      <c r="H294" s="19">
        <v>4.0</v>
      </c>
      <c r="I294" s="21" t="s">
        <v>1890</v>
      </c>
      <c r="J294" s="22" t="s">
        <v>2537</v>
      </c>
    </row>
    <row r="295">
      <c r="A295" s="15" t="s">
        <v>3005</v>
      </c>
      <c r="B295" s="16">
        <v>45086.0</v>
      </c>
      <c r="C295" s="17">
        <v>45087.0</v>
      </c>
      <c r="D295" s="18">
        <v>6.0</v>
      </c>
      <c r="E295" s="19">
        <v>1.0</v>
      </c>
      <c r="F295" s="20">
        <v>12000.0</v>
      </c>
      <c r="G295" s="21" t="s">
        <v>2711</v>
      </c>
      <c r="H295" s="19">
        <v>5.0</v>
      </c>
      <c r="I295" s="21" t="s">
        <v>250</v>
      </c>
      <c r="J295" s="22" t="s">
        <v>2516</v>
      </c>
    </row>
    <row r="296">
      <c r="A296" s="15" t="s">
        <v>3006</v>
      </c>
      <c r="B296" s="16">
        <v>45086.0</v>
      </c>
      <c r="C296" s="17">
        <v>45090.0</v>
      </c>
      <c r="D296" s="18">
        <v>6.0</v>
      </c>
      <c r="E296" s="19">
        <v>2.0</v>
      </c>
      <c r="F296" s="20">
        <v>14000.0</v>
      </c>
      <c r="G296" s="21" t="s">
        <v>2711</v>
      </c>
      <c r="H296" s="19">
        <v>4.0</v>
      </c>
      <c r="I296" s="21" t="s">
        <v>186</v>
      </c>
      <c r="J296" s="22" t="s">
        <v>2622</v>
      </c>
    </row>
    <row r="297">
      <c r="A297" s="15" t="s">
        <v>3007</v>
      </c>
      <c r="B297" s="16">
        <v>45086.0</v>
      </c>
      <c r="C297" s="17">
        <v>45090.0</v>
      </c>
      <c r="D297" s="18">
        <v>3.0</v>
      </c>
      <c r="E297" s="19">
        <v>1.0</v>
      </c>
      <c r="F297" s="20">
        <v>12000.0</v>
      </c>
      <c r="G297" s="21" t="s">
        <v>2711</v>
      </c>
      <c r="H297" s="19">
        <v>5.0</v>
      </c>
      <c r="I297" s="21" t="s">
        <v>154</v>
      </c>
      <c r="J297" s="22" t="s">
        <v>2622</v>
      </c>
    </row>
    <row r="298">
      <c r="A298" s="15" t="s">
        <v>3008</v>
      </c>
      <c r="B298" s="16">
        <v>45086.0</v>
      </c>
      <c r="C298" s="17">
        <v>45089.0</v>
      </c>
      <c r="D298" s="18">
        <v>4.0</v>
      </c>
      <c r="E298" s="19">
        <v>1.0</v>
      </c>
      <c r="F298" s="20">
        <v>12000.0</v>
      </c>
      <c r="G298" s="21" t="s">
        <v>2711</v>
      </c>
      <c r="H298" s="19">
        <v>4.0</v>
      </c>
      <c r="I298" s="21" t="s">
        <v>2449</v>
      </c>
      <c r="J298" s="22" t="s">
        <v>2687</v>
      </c>
    </row>
    <row r="299">
      <c r="A299" s="15" t="s">
        <v>3009</v>
      </c>
      <c r="B299" s="16">
        <v>45086.0</v>
      </c>
      <c r="C299" s="17">
        <v>45090.0</v>
      </c>
      <c r="D299" s="18">
        <v>3.0</v>
      </c>
      <c r="E299" s="19">
        <v>1.0</v>
      </c>
      <c r="F299" s="20">
        <v>12000.0</v>
      </c>
      <c r="G299" s="21" t="s">
        <v>2747</v>
      </c>
      <c r="H299" s="21"/>
      <c r="I299" s="21" t="s">
        <v>593</v>
      </c>
      <c r="J299" s="22" t="s">
        <v>2692</v>
      </c>
    </row>
    <row r="300">
      <c r="A300" s="15" t="s">
        <v>3010</v>
      </c>
      <c r="B300" s="16">
        <v>45086.0</v>
      </c>
      <c r="C300" s="17">
        <v>45088.0</v>
      </c>
      <c r="D300" s="18">
        <v>12.0</v>
      </c>
      <c r="E300" s="19">
        <v>4.0</v>
      </c>
      <c r="F300" s="20">
        <v>18000.0</v>
      </c>
      <c r="G300" s="21" t="s">
        <v>2711</v>
      </c>
      <c r="H300" s="19">
        <v>5.0</v>
      </c>
      <c r="I300" s="21" t="s">
        <v>625</v>
      </c>
      <c r="J300" s="22" t="s">
        <v>2637</v>
      </c>
      <c r="K300" s="27"/>
    </row>
    <row r="301">
      <c r="A301" s="15" t="s">
        <v>3011</v>
      </c>
      <c r="B301" s="16">
        <v>45086.0</v>
      </c>
      <c r="C301" s="17">
        <v>45088.0</v>
      </c>
      <c r="D301" s="18">
        <v>6.0</v>
      </c>
      <c r="E301" s="19">
        <v>3.0</v>
      </c>
      <c r="F301" s="20">
        <v>16000.0</v>
      </c>
      <c r="G301" s="21" t="s">
        <v>2711</v>
      </c>
      <c r="H301" s="19">
        <v>5.0</v>
      </c>
      <c r="I301" s="21" t="s">
        <v>146</v>
      </c>
      <c r="J301" s="22" t="s">
        <v>2632</v>
      </c>
    </row>
    <row r="302">
      <c r="A302" s="15" t="s">
        <v>3012</v>
      </c>
      <c r="B302" s="16">
        <v>45086.0</v>
      </c>
      <c r="C302" s="17">
        <v>45091.0</v>
      </c>
      <c r="D302" s="18">
        <v>5.0</v>
      </c>
      <c r="E302" s="19">
        <v>2.0</v>
      </c>
      <c r="F302" s="20">
        <v>14000.0</v>
      </c>
      <c r="G302" s="21" t="s">
        <v>2711</v>
      </c>
      <c r="H302" s="19">
        <v>5.0</v>
      </c>
      <c r="I302" s="21" t="s">
        <v>2346</v>
      </c>
      <c r="J302" s="22" t="s">
        <v>2602</v>
      </c>
    </row>
    <row r="303">
      <c r="A303" s="15" t="s">
        <v>3013</v>
      </c>
      <c r="B303" s="16">
        <v>45086.0</v>
      </c>
      <c r="C303" s="17">
        <v>45088.0</v>
      </c>
      <c r="D303" s="18">
        <v>1.0</v>
      </c>
      <c r="E303" s="19">
        <v>2.0</v>
      </c>
      <c r="F303" s="20">
        <v>14000.0</v>
      </c>
      <c r="G303" s="21" t="s">
        <v>2711</v>
      </c>
      <c r="H303" s="19">
        <v>5.0</v>
      </c>
      <c r="I303" s="21" t="s">
        <v>704</v>
      </c>
      <c r="J303" s="22" t="s">
        <v>2597</v>
      </c>
    </row>
    <row r="304">
      <c r="A304" s="15" t="s">
        <v>3014</v>
      </c>
      <c r="B304" s="17">
        <v>45087.0</v>
      </c>
      <c r="C304" s="17">
        <f>B304 + RANDBETWEEN(1,5)</f>
        <v>45089</v>
      </c>
      <c r="D304" s="18">
        <v>17.0</v>
      </c>
      <c r="E304" s="19">
        <v>4.0</v>
      </c>
      <c r="F304" s="20">
        <v>23100.0</v>
      </c>
      <c r="G304" s="21" t="s">
        <v>2711</v>
      </c>
      <c r="H304" s="19">
        <v>4.0</v>
      </c>
      <c r="I304" s="21" t="s">
        <v>2366</v>
      </c>
      <c r="J304" s="22" t="s">
        <v>2672</v>
      </c>
    </row>
    <row r="305">
      <c r="A305" s="15" t="s">
        <v>3015</v>
      </c>
      <c r="B305" s="16">
        <v>45087.0</v>
      </c>
      <c r="C305" s="17">
        <v>45088.0</v>
      </c>
      <c r="D305" s="18">
        <v>6.0</v>
      </c>
      <c r="E305" s="19">
        <v>2.0</v>
      </c>
      <c r="F305" s="20">
        <v>14000.0</v>
      </c>
      <c r="G305" s="21" t="s">
        <v>2711</v>
      </c>
      <c r="H305" s="19">
        <v>4.0</v>
      </c>
      <c r="I305" s="21" t="s">
        <v>438</v>
      </c>
      <c r="J305" s="22" t="s">
        <v>2557</v>
      </c>
    </row>
    <row r="306">
      <c r="A306" s="15" t="s">
        <v>3016</v>
      </c>
      <c r="B306" s="16">
        <v>45087.0</v>
      </c>
      <c r="C306" s="17">
        <v>45090.0</v>
      </c>
      <c r="D306" s="18">
        <v>17.0</v>
      </c>
      <c r="E306" s="19">
        <v>9.0</v>
      </c>
      <c r="F306" s="20">
        <v>33100.0</v>
      </c>
      <c r="G306" s="21" t="s">
        <v>2711</v>
      </c>
      <c r="H306" s="19">
        <v>5.0</v>
      </c>
      <c r="I306" s="21" t="s">
        <v>1366</v>
      </c>
      <c r="J306" s="22" t="s">
        <v>2697</v>
      </c>
    </row>
    <row r="307">
      <c r="A307" s="15" t="s">
        <v>3017</v>
      </c>
      <c r="B307" s="16">
        <v>45087.0</v>
      </c>
      <c r="C307" s="17">
        <v>45088.0</v>
      </c>
      <c r="D307" s="18">
        <v>6.0</v>
      </c>
      <c r="E307" s="19">
        <v>2.0</v>
      </c>
      <c r="F307" s="20">
        <v>14000.0</v>
      </c>
      <c r="G307" s="21" t="s">
        <v>2711</v>
      </c>
      <c r="H307" s="19">
        <v>4.0</v>
      </c>
      <c r="I307" s="21" t="s">
        <v>1890</v>
      </c>
      <c r="J307" s="22" t="s">
        <v>2682</v>
      </c>
    </row>
    <row r="308">
      <c r="A308" s="15" t="s">
        <v>3018</v>
      </c>
      <c r="B308" s="16">
        <v>45087.0</v>
      </c>
      <c r="C308" s="17">
        <v>45088.0</v>
      </c>
      <c r="D308" s="18">
        <v>6.0</v>
      </c>
      <c r="E308" s="19">
        <v>1.0</v>
      </c>
      <c r="F308" s="20">
        <v>12000.0</v>
      </c>
      <c r="G308" s="21" t="s">
        <v>2711</v>
      </c>
      <c r="H308" s="19">
        <v>5.0</v>
      </c>
      <c r="I308" s="21" t="s">
        <v>2350</v>
      </c>
      <c r="J308" s="22" t="s">
        <v>2527</v>
      </c>
    </row>
    <row r="309">
      <c r="A309" s="15" t="s">
        <v>3019</v>
      </c>
      <c r="B309" s="16">
        <v>45087.0</v>
      </c>
      <c r="C309" s="17">
        <v>45090.0</v>
      </c>
      <c r="D309" s="18">
        <v>3.0</v>
      </c>
      <c r="E309" s="19">
        <v>1.0</v>
      </c>
      <c r="F309" s="20">
        <v>12000.0</v>
      </c>
      <c r="G309" s="21" t="s">
        <v>2711</v>
      </c>
      <c r="H309" s="19">
        <v>4.0</v>
      </c>
      <c r="I309" s="21" t="s">
        <v>1236</v>
      </c>
      <c r="J309" s="22" t="s">
        <v>2632</v>
      </c>
    </row>
    <row r="310">
      <c r="A310" s="15" t="s">
        <v>3020</v>
      </c>
      <c r="B310" s="16">
        <v>45087.0</v>
      </c>
      <c r="C310" s="17">
        <v>45092.0</v>
      </c>
      <c r="D310" s="18">
        <v>2.0</v>
      </c>
      <c r="E310" s="19">
        <v>1.0</v>
      </c>
      <c r="F310" s="20">
        <v>12000.0</v>
      </c>
      <c r="G310" s="21" t="s">
        <v>2711</v>
      </c>
      <c r="H310" s="19">
        <v>5.0</v>
      </c>
      <c r="I310" s="21" t="s">
        <v>2441</v>
      </c>
      <c r="J310" s="22" t="s">
        <v>2612</v>
      </c>
    </row>
    <row r="311">
      <c r="A311" s="15" t="s">
        <v>3021</v>
      </c>
      <c r="B311" s="16">
        <v>45087.0</v>
      </c>
      <c r="C311" s="17">
        <v>45090.0</v>
      </c>
      <c r="D311" s="18">
        <v>1.0</v>
      </c>
      <c r="E311" s="19">
        <v>1.0</v>
      </c>
      <c r="F311" s="20">
        <v>12000.0</v>
      </c>
      <c r="G311" s="21" t="s">
        <v>2711</v>
      </c>
      <c r="H311" s="19">
        <v>5.0</v>
      </c>
      <c r="I311" s="21" t="s">
        <v>278</v>
      </c>
      <c r="J311" s="22" t="s">
        <v>2602</v>
      </c>
    </row>
    <row r="312">
      <c r="A312" s="15" t="s">
        <v>3022</v>
      </c>
      <c r="B312" s="16">
        <v>45087.0</v>
      </c>
      <c r="C312" s="17">
        <v>45088.0</v>
      </c>
      <c r="D312" s="18">
        <v>11.0</v>
      </c>
      <c r="E312" s="19">
        <v>5.0</v>
      </c>
      <c r="F312" s="20">
        <v>20000.0</v>
      </c>
      <c r="G312" s="21" t="s">
        <v>2711</v>
      </c>
      <c r="H312" s="19">
        <v>5.0</v>
      </c>
      <c r="I312" s="21" t="s">
        <v>166</v>
      </c>
      <c r="J312" s="22" t="s">
        <v>2587</v>
      </c>
    </row>
    <row r="313">
      <c r="A313" s="15" t="s">
        <v>3023</v>
      </c>
      <c r="B313" s="16">
        <v>45087.0</v>
      </c>
      <c r="C313" s="17">
        <v>45092.0</v>
      </c>
      <c r="D313" s="18">
        <v>4.0</v>
      </c>
      <c r="E313" s="19">
        <v>2.0</v>
      </c>
      <c r="F313" s="20">
        <v>14000.0</v>
      </c>
      <c r="G313" s="21" t="s">
        <v>2711</v>
      </c>
      <c r="H313" s="19">
        <v>5.0</v>
      </c>
      <c r="I313" s="21" t="s">
        <v>146</v>
      </c>
      <c r="J313" s="22" t="s">
        <v>2582</v>
      </c>
    </row>
    <row r="314">
      <c r="A314" s="15" t="s">
        <v>3024</v>
      </c>
      <c r="B314" s="16">
        <v>45087.0</v>
      </c>
      <c r="C314" s="17">
        <v>45092.0</v>
      </c>
      <c r="D314" s="18">
        <v>4.0</v>
      </c>
      <c r="E314" s="19">
        <v>1.0</v>
      </c>
      <c r="F314" s="20">
        <v>12000.0</v>
      </c>
      <c r="G314" s="21" t="s">
        <v>2711</v>
      </c>
      <c r="H314" s="19">
        <v>5.0</v>
      </c>
      <c r="I314" s="21" t="s">
        <v>2346</v>
      </c>
      <c r="J314" s="22" t="s">
        <v>2612</v>
      </c>
    </row>
    <row r="315">
      <c r="A315" s="15" t="s">
        <v>3025</v>
      </c>
      <c r="B315" s="16">
        <v>45087.0</v>
      </c>
      <c r="C315" s="17">
        <v>45091.0</v>
      </c>
      <c r="D315" s="18">
        <v>3.0</v>
      </c>
      <c r="E315" s="19">
        <v>1.0</v>
      </c>
      <c r="F315" s="20">
        <v>12000.0</v>
      </c>
      <c r="G315" s="21" t="s">
        <v>2711</v>
      </c>
      <c r="H315" s="19">
        <v>4.0</v>
      </c>
      <c r="I315" s="21" t="s">
        <v>609</v>
      </c>
      <c r="J315" s="22" t="s">
        <v>2652</v>
      </c>
    </row>
    <row r="316">
      <c r="A316" s="15" t="s">
        <v>3026</v>
      </c>
      <c r="B316" s="16">
        <v>45087.0</v>
      </c>
      <c r="C316" s="17">
        <v>45088.0</v>
      </c>
      <c r="D316" s="18">
        <v>2.0</v>
      </c>
      <c r="E316" s="19">
        <v>2.0</v>
      </c>
      <c r="F316" s="20">
        <v>14000.0</v>
      </c>
      <c r="G316" s="21" t="s">
        <v>2711</v>
      </c>
      <c r="H316" s="19">
        <v>5.0</v>
      </c>
      <c r="I316" s="21" t="s">
        <v>902</v>
      </c>
      <c r="J316" s="22" t="s">
        <v>2511</v>
      </c>
    </row>
    <row r="317">
      <c r="A317" s="15" t="s">
        <v>3027</v>
      </c>
      <c r="B317" s="16">
        <v>45087.0</v>
      </c>
      <c r="C317" s="17">
        <v>45090.0</v>
      </c>
      <c r="D317" s="18">
        <v>19.0</v>
      </c>
      <c r="E317" s="19">
        <v>8.0</v>
      </c>
      <c r="F317" s="20">
        <v>31700.0</v>
      </c>
      <c r="G317" s="21" t="s">
        <v>2711</v>
      </c>
      <c r="H317" s="19">
        <v>4.0</v>
      </c>
      <c r="I317" s="21" t="s">
        <v>625</v>
      </c>
      <c r="J317" s="22" t="s">
        <v>2501</v>
      </c>
    </row>
    <row r="318">
      <c r="A318" s="15" t="s">
        <v>3028</v>
      </c>
      <c r="B318" s="16">
        <v>45087.0</v>
      </c>
      <c r="C318" s="17">
        <v>45092.0</v>
      </c>
      <c r="D318" s="18">
        <v>2.0</v>
      </c>
      <c r="E318" s="19">
        <v>3.0</v>
      </c>
      <c r="F318" s="20">
        <v>16000.0</v>
      </c>
      <c r="G318" s="21" t="s">
        <v>2711</v>
      </c>
      <c r="H318" s="19">
        <v>4.0</v>
      </c>
      <c r="I318" s="21" t="s">
        <v>1149</v>
      </c>
      <c r="J318" s="22" t="s">
        <v>2622</v>
      </c>
    </row>
    <row r="319">
      <c r="A319" s="15" t="s">
        <v>3029</v>
      </c>
      <c r="B319" s="16">
        <v>45087.0</v>
      </c>
      <c r="C319" s="17">
        <v>45092.0</v>
      </c>
      <c r="D319" s="18">
        <v>6.0</v>
      </c>
      <c r="E319" s="19">
        <v>1.0</v>
      </c>
      <c r="F319" s="20">
        <v>12000.0</v>
      </c>
      <c r="G319" s="21" t="s">
        <v>2711</v>
      </c>
      <c r="H319" s="19">
        <v>5.0</v>
      </c>
      <c r="I319" s="21" t="s">
        <v>846</v>
      </c>
      <c r="J319" s="22" t="s">
        <v>2687</v>
      </c>
    </row>
    <row r="320">
      <c r="A320" s="15" t="s">
        <v>3030</v>
      </c>
      <c r="B320" s="16">
        <v>45087.0</v>
      </c>
      <c r="C320" s="17">
        <v>45092.0</v>
      </c>
      <c r="D320" s="18">
        <v>4.0</v>
      </c>
      <c r="E320" s="19">
        <v>3.0</v>
      </c>
      <c r="F320" s="20">
        <v>16000.0</v>
      </c>
      <c r="G320" s="21" t="s">
        <v>2711</v>
      </c>
      <c r="H320" s="19">
        <v>5.0</v>
      </c>
      <c r="I320" s="21" t="s">
        <v>2294</v>
      </c>
      <c r="J320" s="22" t="s">
        <v>2490</v>
      </c>
    </row>
    <row r="321">
      <c r="A321" s="15" t="s">
        <v>3031</v>
      </c>
      <c r="B321" s="16">
        <v>45087.0</v>
      </c>
      <c r="C321" s="17">
        <v>45088.0</v>
      </c>
      <c r="D321" s="18">
        <v>5.0</v>
      </c>
      <c r="E321" s="19">
        <v>2.0</v>
      </c>
      <c r="F321" s="20">
        <v>14000.0</v>
      </c>
      <c r="G321" s="21" t="s">
        <v>2711</v>
      </c>
      <c r="H321" s="19">
        <v>5.0</v>
      </c>
      <c r="I321" s="21" t="s">
        <v>632</v>
      </c>
      <c r="J321" s="22" t="s">
        <v>2642</v>
      </c>
    </row>
    <row r="322">
      <c r="A322" s="15" t="s">
        <v>3032</v>
      </c>
      <c r="B322" s="16">
        <v>45087.0</v>
      </c>
      <c r="C322" s="17">
        <v>45088.0</v>
      </c>
      <c r="D322" s="18">
        <v>1.0</v>
      </c>
      <c r="E322" s="19">
        <v>2.0</v>
      </c>
      <c r="F322" s="20">
        <v>14000.0</v>
      </c>
      <c r="G322" s="21" t="s">
        <v>2711</v>
      </c>
      <c r="H322" s="19">
        <v>4.0</v>
      </c>
      <c r="I322" s="21" t="s">
        <v>593</v>
      </c>
      <c r="J322" s="22" t="s">
        <v>2496</v>
      </c>
    </row>
    <row r="323">
      <c r="A323" s="15" t="s">
        <v>3033</v>
      </c>
      <c r="B323" s="16">
        <v>45087.0</v>
      </c>
      <c r="C323" s="17">
        <v>45091.0</v>
      </c>
      <c r="D323" s="18">
        <v>7.0</v>
      </c>
      <c r="E323" s="19">
        <v>10.0</v>
      </c>
      <c r="F323" s="20">
        <v>30000.0</v>
      </c>
      <c r="G323" s="21" t="s">
        <v>2711</v>
      </c>
      <c r="H323" s="19">
        <v>5.0</v>
      </c>
      <c r="I323" s="21" t="s">
        <v>2255</v>
      </c>
      <c r="J323" s="22" t="s">
        <v>2587</v>
      </c>
    </row>
    <row r="324">
      <c r="A324" s="15" t="s">
        <v>3034</v>
      </c>
      <c r="B324" s="16">
        <v>45087.0</v>
      </c>
      <c r="C324" s="17">
        <v>45088.0</v>
      </c>
      <c r="D324" s="18">
        <v>12.0</v>
      </c>
      <c r="E324" s="19">
        <v>4.0</v>
      </c>
      <c r="F324" s="20">
        <v>18000.0</v>
      </c>
      <c r="G324" s="21" t="s">
        <v>2711</v>
      </c>
      <c r="H324" s="19">
        <v>4.0</v>
      </c>
      <c r="I324" s="21" t="s">
        <v>1029</v>
      </c>
      <c r="J324" s="22" t="s">
        <v>2662</v>
      </c>
    </row>
    <row r="325">
      <c r="A325" s="15" t="s">
        <v>3035</v>
      </c>
      <c r="B325" s="16">
        <v>45087.0</v>
      </c>
      <c r="C325" s="17">
        <v>45091.0</v>
      </c>
      <c r="D325" s="18">
        <v>1.0</v>
      </c>
      <c r="E325" s="19">
        <v>2.0</v>
      </c>
      <c r="F325" s="20">
        <v>14000.0</v>
      </c>
      <c r="G325" s="21" t="s">
        <v>2711</v>
      </c>
      <c r="H325" s="19">
        <v>4.0</v>
      </c>
      <c r="I325" s="21" t="s">
        <v>2244</v>
      </c>
      <c r="J325" s="22" t="s">
        <v>2617</v>
      </c>
    </row>
    <row r="326">
      <c r="A326" s="15" t="s">
        <v>3036</v>
      </c>
      <c r="B326" s="16">
        <v>45087.0</v>
      </c>
      <c r="C326" s="17">
        <v>45092.0</v>
      </c>
      <c r="D326" s="18">
        <v>20.0</v>
      </c>
      <c r="E326" s="19">
        <v>7.0</v>
      </c>
      <c r="F326" s="20">
        <v>30000.0</v>
      </c>
      <c r="G326" s="21" t="s">
        <v>2711</v>
      </c>
      <c r="H326" s="19">
        <v>4.0</v>
      </c>
      <c r="I326" s="21" t="s">
        <v>1248</v>
      </c>
      <c r="J326" s="22" t="s">
        <v>2667</v>
      </c>
    </row>
    <row r="327">
      <c r="A327" s="15" t="s">
        <v>3037</v>
      </c>
      <c r="B327" s="16">
        <v>45087.0</v>
      </c>
      <c r="C327" s="17">
        <v>45092.0</v>
      </c>
      <c r="D327" s="18">
        <v>17.0</v>
      </c>
      <c r="E327" s="19">
        <v>4.0</v>
      </c>
      <c r="F327" s="20">
        <v>23100.0</v>
      </c>
      <c r="G327" s="21" t="s">
        <v>2711</v>
      </c>
      <c r="H327" s="19">
        <v>5.0</v>
      </c>
      <c r="I327" s="21" t="s">
        <v>210</v>
      </c>
      <c r="J327" s="22" t="s">
        <v>2501</v>
      </c>
    </row>
    <row r="328">
      <c r="A328" s="15" t="s">
        <v>3038</v>
      </c>
      <c r="B328" s="16">
        <v>45087.0</v>
      </c>
      <c r="C328" s="17">
        <v>45089.0</v>
      </c>
      <c r="D328" s="18">
        <v>2.0</v>
      </c>
      <c r="E328" s="19">
        <v>3.0</v>
      </c>
      <c r="F328" s="20">
        <v>16000.0</v>
      </c>
      <c r="G328" s="21" t="s">
        <v>2711</v>
      </c>
      <c r="H328" s="19">
        <v>5.0</v>
      </c>
      <c r="I328" s="21" t="s">
        <v>1918</v>
      </c>
      <c r="J328" s="22" t="s">
        <v>2572</v>
      </c>
    </row>
    <row r="329">
      <c r="A329" s="15" t="s">
        <v>3039</v>
      </c>
      <c r="B329" s="16">
        <v>45087.0</v>
      </c>
      <c r="C329" s="17">
        <v>45092.0</v>
      </c>
      <c r="D329" s="18">
        <v>16.0</v>
      </c>
      <c r="E329" s="19">
        <v>5.0</v>
      </c>
      <c r="F329" s="20">
        <v>24800.0</v>
      </c>
      <c r="G329" s="21" t="s">
        <v>2711</v>
      </c>
      <c r="H329" s="19">
        <v>5.0</v>
      </c>
      <c r="I329" s="21" t="s">
        <v>1001</v>
      </c>
      <c r="J329" s="22" t="s">
        <v>2587</v>
      </c>
    </row>
    <row r="330">
      <c r="A330" s="15" t="s">
        <v>3040</v>
      </c>
      <c r="B330" s="16">
        <v>45087.0</v>
      </c>
      <c r="C330" s="17">
        <v>45092.0</v>
      </c>
      <c r="D330" s="18">
        <v>5.0</v>
      </c>
      <c r="E330" s="19">
        <v>2.0</v>
      </c>
      <c r="F330" s="20">
        <v>14000.0</v>
      </c>
      <c r="G330" s="21" t="s">
        <v>2711</v>
      </c>
      <c r="H330" s="19">
        <v>5.0</v>
      </c>
      <c r="I330" s="21" t="s">
        <v>2469</v>
      </c>
      <c r="J330" s="22" t="s">
        <v>2682</v>
      </c>
      <c r="K330" s="27"/>
    </row>
    <row r="331">
      <c r="A331" s="15" t="s">
        <v>3041</v>
      </c>
      <c r="B331" s="16">
        <v>45087.0</v>
      </c>
      <c r="C331" s="17">
        <v>45090.0</v>
      </c>
      <c r="D331" s="18">
        <v>1.0</v>
      </c>
      <c r="E331" s="19">
        <v>2.0</v>
      </c>
      <c r="F331" s="20">
        <v>14000.0</v>
      </c>
      <c r="G331" s="21" t="s">
        <v>2711</v>
      </c>
      <c r="H331" s="19">
        <v>4.0</v>
      </c>
      <c r="I331" s="21" t="s">
        <v>1348</v>
      </c>
      <c r="J331" s="22" t="s">
        <v>2692</v>
      </c>
      <c r="K331" s="27"/>
    </row>
    <row r="332">
      <c r="A332" s="15" t="s">
        <v>3042</v>
      </c>
      <c r="B332" s="16">
        <v>45087.0</v>
      </c>
      <c r="C332" s="17">
        <v>45088.0</v>
      </c>
      <c r="D332" s="18">
        <v>3.0</v>
      </c>
      <c r="E332" s="19">
        <v>2.0</v>
      </c>
      <c r="F332" s="20">
        <v>14000.0</v>
      </c>
      <c r="G332" s="21" t="s">
        <v>2711</v>
      </c>
      <c r="H332" s="19">
        <v>5.0</v>
      </c>
      <c r="I332" s="21" t="s">
        <v>10</v>
      </c>
      <c r="J332" s="22" t="s">
        <v>2682</v>
      </c>
    </row>
    <row r="333">
      <c r="A333" s="15" t="s">
        <v>3043</v>
      </c>
      <c r="B333" s="16">
        <v>45087.0</v>
      </c>
      <c r="C333" s="17">
        <v>45088.0</v>
      </c>
      <c r="D333" s="18">
        <v>15.0</v>
      </c>
      <c r="E333" s="19">
        <v>7.0</v>
      </c>
      <c r="F333" s="20">
        <v>28500.0</v>
      </c>
      <c r="G333" s="21" t="s">
        <v>2711</v>
      </c>
      <c r="H333" s="19">
        <v>5.0</v>
      </c>
      <c r="I333" s="21" t="s">
        <v>1188</v>
      </c>
      <c r="J333" s="22" t="s">
        <v>2587</v>
      </c>
    </row>
    <row r="334">
      <c r="A334" s="15" t="s">
        <v>3044</v>
      </c>
      <c r="B334" s="16">
        <v>45087.0</v>
      </c>
      <c r="C334" s="17">
        <v>45089.0</v>
      </c>
      <c r="D334" s="18">
        <v>6.0</v>
      </c>
      <c r="E334" s="19">
        <v>3.0</v>
      </c>
      <c r="F334" s="20">
        <v>16000.0</v>
      </c>
      <c r="G334" s="21" t="s">
        <v>2711</v>
      </c>
      <c r="H334" s="19">
        <v>4.0</v>
      </c>
      <c r="I334" s="21" t="s">
        <v>62</v>
      </c>
      <c r="J334" s="22" t="s">
        <v>2597</v>
      </c>
    </row>
    <row r="335">
      <c r="A335" s="15" t="s">
        <v>3045</v>
      </c>
      <c r="B335" s="16">
        <v>45087.0</v>
      </c>
      <c r="C335" s="17">
        <v>45091.0</v>
      </c>
      <c r="D335" s="18">
        <v>11.0</v>
      </c>
      <c r="E335" s="19">
        <v>6.0</v>
      </c>
      <c r="F335" s="20">
        <v>22000.0</v>
      </c>
      <c r="G335" s="21" t="s">
        <v>2711</v>
      </c>
      <c r="H335" s="19">
        <v>4.0</v>
      </c>
      <c r="I335" s="21" t="s">
        <v>458</v>
      </c>
      <c r="J335" s="22" t="s">
        <v>2672</v>
      </c>
    </row>
    <row r="336">
      <c r="A336" s="40" t="s">
        <v>3046</v>
      </c>
      <c r="B336" s="42">
        <v>45088.0</v>
      </c>
      <c r="C336" s="42">
        <v>45092.0</v>
      </c>
      <c r="D336" s="40">
        <v>1.0</v>
      </c>
      <c r="E336" s="40">
        <v>1.0</v>
      </c>
      <c r="F336" s="46">
        <v>12000.0</v>
      </c>
      <c r="G336" s="40" t="s">
        <v>2711</v>
      </c>
      <c r="H336" s="40">
        <v>4.0</v>
      </c>
      <c r="I336" s="40" t="s">
        <v>458</v>
      </c>
      <c r="J336" s="40" t="s">
        <v>2542</v>
      </c>
    </row>
    <row r="337">
      <c r="A337" s="15" t="s">
        <v>3047</v>
      </c>
      <c r="B337" s="16">
        <v>45088.0</v>
      </c>
      <c r="C337" s="17">
        <v>45089.0</v>
      </c>
      <c r="D337" s="18">
        <v>4.0</v>
      </c>
      <c r="E337" s="19">
        <v>2.0</v>
      </c>
      <c r="F337" s="20">
        <v>14000.0</v>
      </c>
      <c r="G337" s="21" t="s">
        <v>2711</v>
      </c>
      <c r="H337" s="19">
        <v>5.0</v>
      </c>
      <c r="I337" s="21" t="s">
        <v>254</v>
      </c>
      <c r="J337" s="22" t="s">
        <v>2562</v>
      </c>
    </row>
    <row r="338">
      <c r="A338" s="15" t="s">
        <v>3048</v>
      </c>
      <c r="B338" s="16">
        <v>45088.0</v>
      </c>
      <c r="C338" s="17">
        <v>45090.0</v>
      </c>
      <c r="D338" s="18">
        <v>1.0</v>
      </c>
      <c r="E338" s="19">
        <v>3.0</v>
      </c>
      <c r="F338" s="20">
        <v>16000.0</v>
      </c>
      <c r="G338" s="21" t="s">
        <v>2711</v>
      </c>
      <c r="H338" s="19">
        <v>5.0</v>
      </c>
      <c r="I338" s="21" t="s">
        <v>1788</v>
      </c>
      <c r="J338" s="22" t="s">
        <v>2577</v>
      </c>
    </row>
    <row r="339">
      <c r="A339" s="15" t="s">
        <v>3049</v>
      </c>
      <c r="B339" s="16">
        <v>45088.0</v>
      </c>
      <c r="C339" s="17">
        <v>45092.0</v>
      </c>
      <c r="D339" s="18">
        <v>2.0</v>
      </c>
      <c r="E339" s="19">
        <v>3.0</v>
      </c>
      <c r="F339" s="20">
        <v>16000.0</v>
      </c>
      <c r="G339" s="21" t="s">
        <v>2711</v>
      </c>
      <c r="H339" s="19">
        <v>5.0</v>
      </c>
      <c r="I339" s="21" t="s">
        <v>422</v>
      </c>
      <c r="J339" s="22" t="s">
        <v>2562</v>
      </c>
    </row>
    <row r="340">
      <c r="A340" s="15" t="s">
        <v>3050</v>
      </c>
      <c r="B340" s="16">
        <v>45088.0</v>
      </c>
      <c r="C340" s="17">
        <v>45093.0</v>
      </c>
      <c r="D340" s="18">
        <v>1.0</v>
      </c>
      <c r="E340" s="19">
        <v>3.0</v>
      </c>
      <c r="F340" s="20">
        <v>16000.0</v>
      </c>
      <c r="G340" s="21" t="s">
        <v>2711</v>
      </c>
      <c r="H340" s="19">
        <v>4.0</v>
      </c>
      <c r="I340" s="21" t="s">
        <v>1941</v>
      </c>
      <c r="J340" s="22" t="s">
        <v>2577</v>
      </c>
    </row>
    <row r="341">
      <c r="A341" s="15" t="s">
        <v>3051</v>
      </c>
      <c r="B341" s="16">
        <v>45088.0</v>
      </c>
      <c r="C341" s="17">
        <v>45089.0</v>
      </c>
      <c r="D341" s="18">
        <v>77.0</v>
      </c>
      <c r="E341" s="19">
        <v>11.0</v>
      </c>
      <c r="F341" s="20">
        <v>55100.0</v>
      </c>
      <c r="G341" s="21" t="s">
        <v>2711</v>
      </c>
      <c r="H341" s="19">
        <v>4.0</v>
      </c>
      <c r="I341" s="21" t="s">
        <v>1133</v>
      </c>
      <c r="J341" s="22" t="s">
        <v>2552</v>
      </c>
    </row>
    <row r="342">
      <c r="A342" s="15" t="s">
        <v>3052</v>
      </c>
      <c r="B342" s="16">
        <v>45088.0</v>
      </c>
      <c r="C342" s="17">
        <v>45093.0</v>
      </c>
      <c r="D342" s="18">
        <v>3.0</v>
      </c>
      <c r="E342" s="19">
        <v>2.0</v>
      </c>
      <c r="F342" s="20">
        <v>14000.0</v>
      </c>
      <c r="G342" s="21" t="s">
        <v>2711</v>
      </c>
      <c r="H342" s="19">
        <v>4.0</v>
      </c>
      <c r="I342" s="21" t="s">
        <v>1172</v>
      </c>
      <c r="J342" s="22" t="s">
        <v>2682</v>
      </c>
    </row>
    <row r="343">
      <c r="A343" s="15" t="s">
        <v>3053</v>
      </c>
      <c r="B343" s="16">
        <v>45088.0</v>
      </c>
      <c r="C343" s="17">
        <v>45093.0</v>
      </c>
      <c r="D343" s="18">
        <v>9.0</v>
      </c>
      <c r="E343" s="19">
        <v>10.0</v>
      </c>
      <c r="F343" s="20">
        <v>30000.0</v>
      </c>
      <c r="G343" s="21" t="s">
        <v>2711</v>
      </c>
      <c r="H343" s="19">
        <v>4.0</v>
      </c>
      <c r="I343" s="21" t="s">
        <v>1717</v>
      </c>
      <c r="J343" s="22" t="s">
        <v>2697</v>
      </c>
    </row>
    <row r="344">
      <c r="A344" s="15" t="s">
        <v>3054</v>
      </c>
      <c r="B344" s="16">
        <v>45088.0</v>
      </c>
      <c r="C344" s="17">
        <v>45091.0</v>
      </c>
      <c r="D344" s="18">
        <v>5.0</v>
      </c>
      <c r="E344" s="19">
        <v>3.0</v>
      </c>
      <c r="F344" s="20">
        <v>16000.0</v>
      </c>
      <c r="G344" s="21" t="s">
        <v>2711</v>
      </c>
      <c r="H344" s="19">
        <v>5.0</v>
      </c>
      <c r="I344" s="21" t="s">
        <v>1355</v>
      </c>
      <c r="J344" s="22" t="s">
        <v>2692</v>
      </c>
    </row>
    <row r="345">
      <c r="A345" s="15" t="s">
        <v>3055</v>
      </c>
      <c r="B345" s="16">
        <v>45088.0</v>
      </c>
      <c r="C345" s="17">
        <v>45093.0</v>
      </c>
      <c r="D345" s="18">
        <v>10.0</v>
      </c>
      <c r="E345" s="19">
        <v>8.0</v>
      </c>
      <c r="F345" s="20">
        <v>26000.0</v>
      </c>
      <c r="G345" s="21" t="s">
        <v>2711</v>
      </c>
      <c r="H345" s="19">
        <v>5.0</v>
      </c>
      <c r="I345" s="21" t="s">
        <v>537</v>
      </c>
      <c r="J345" s="22" t="s">
        <v>2607</v>
      </c>
    </row>
    <row r="346">
      <c r="A346" s="15" t="s">
        <v>3056</v>
      </c>
      <c r="B346" s="16">
        <v>45088.0</v>
      </c>
      <c r="C346" s="17">
        <v>45089.0</v>
      </c>
      <c r="D346" s="18">
        <v>3.0</v>
      </c>
      <c r="E346" s="19">
        <v>3.0</v>
      </c>
      <c r="F346" s="20">
        <v>16000.0</v>
      </c>
      <c r="G346" s="21" t="s">
        <v>2711</v>
      </c>
      <c r="H346" s="19">
        <v>5.0</v>
      </c>
      <c r="I346" s="21" t="s">
        <v>537</v>
      </c>
      <c r="J346" s="22" t="s">
        <v>2572</v>
      </c>
    </row>
    <row r="347">
      <c r="A347" s="15" t="s">
        <v>3057</v>
      </c>
      <c r="B347" s="16">
        <v>45088.0</v>
      </c>
      <c r="C347" s="17">
        <v>45093.0</v>
      </c>
      <c r="D347" s="18">
        <v>6.0</v>
      </c>
      <c r="E347" s="19">
        <v>3.0</v>
      </c>
      <c r="F347" s="20">
        <v>16000.0</v>
      </c>
      <c r="G347" s="21" t="s">
        <v>2711</v>
      </c>
      <c r="H347" s="19">
        <v>5.0</v>
      </c>
      <c r="I347" s="21" t="s">
        <v>632</v>
      </c>
      <c r="J347" s="22" t="s">
        <v>2562</v>
      </c>
    </row>
    <row r="348">
      <c r="A348" s="15" t="s">
        <v>3058</v>
      </c>
      <c r="B348" s="16">
        <v>45088.0</v>
      </c>
      <c r="C348" s="17">
        <v>45091.0</v>
      </c>
      <c r="D348" s="18">
        <v>7.0</v>
      </c>
      <c r="E348" s="19">
        <v>4.0</v>
      </c>
      <c r="F348" s="20">
        <v>18000.0</v>
      </c>
      <c r="G348" s="21" t="s">
        <v>2711</v>
      </c>
      <c r="H348" s="19">
        <v>5.0</v>
      </c>
      <c r="I348" s="21" t="s">
        <v>601</v>
      </c>
      <c r="J348" s="22" t="s">
        <v>2667</v>
      </c>
    </row>
    <row r="349">
      <c r="A349" s="15" t="s">
        <v>3059</v>
      </c>
      <c r="B349" s="16">
        <v>45088.0</v>
      </c>
      <c r="C349" s="17">
        <v>45090.0</v>
      </c>
      <c r="D349" s="18">
        <v>4.0</v>
      </c>
      <c r="E349" s="19">
        <v>1.0</v>
      </c>
      <c r="F349" s="20">
        <v>12000.0</v>
      </c>
      <c r="G349" s="21" t="s">
        <v>2711</v>
      </c>
      <c r="H349" s="19">
        <v>4.0</v>
      </c>
      <c r="I349" s="21" t="s">
        <v>2136</v>
      </c>
      <c r="J349" s="22" t="s">
        <v>2677</v>
      </c>
    </row>
    <row r="350">
      <c r="A350" s="15" t="s">
        <v>3060</v>
      </c>
      <c r="B350" s="16">
        <v>45088.0</v>
      </c>
      <c r="C350" s="17">
        <v>45089.0</v>
      </c>
      <c r="D350" s="18">
        <v>10.0</v>
      </c>
      <c r="E350" s="19">
        <v>10.0</v>
      </c>
      <c r="F350" s="20">
        <v>30000.0</v>
      </c>
      <c r="G350" s="21" t="s">
        <v>2711</v>
      </c>
      <c r="H350" s="19">
        <v>5.0</v>
      </c>
      <c r="I350" s="21" t="s">
        <v>609</v>
      </c>
      <c r="J350" s="22" t="s">
        <v>2637</v>
      </c>
    </row>
    <row r="351">
      <c r="A351" s="15" t="s">
        <v>3061</v>
      </c>
      <c r="B351" s="16">
        <v>45088.0</v>
      </c>
      <c r="C351" s="17">
        <v>45093.0</v>
      </c>
      <c r="D351" s="18">
        <v>5.0</v>
      </c>
      <c r="E351" s="19">
        <v>3.0</v>
      </c>
      <c r="F351" s="20">
        <v>16000.0</v>
      </c>
      <c r="G351" s="21" t="s">
        <v>2711</v>
      </c>
      <c r="H351" s="19">
        <v>4.0</v>
      </c>
      <c r="I351" s="21" t="s">
        <v>2283</v>
      </c>
      <c r="J351" s="22" t="s">
        <v>2577</v>
      </c>
    </row>
    <row r="352">
      <c r="A352" s="15" t="s">
        <v>3062</v>
      </c>
      <c r="B352" s="16">
        <v>45088.0</v>
      </c>
      <c r="C352" s="17">
        <v>45092.0</v>
      </c>
      <c r="D352" s="18">
        <v>4.0</v>
      </c>
      <c r="E352" s="19">
        <v>3.0</v>
      </c>
      <c r="F352" s="20">
        <v>16000.0</v>
      </c>
      <c r="G352" s="21" t="s">
        <v>2711</v>
      </c>
      <c r="H352" s="19">
        <v>4.0</v>
      </c>
      <c r="I352" s="21" t="s">
        <v>2389</v>
      </c>
      <c r="J352" s="22" t="s">
        <v>2542</v>
      </c>
    </row>
    <row r="353">
      <c r="A353" s="15" t="s">
        <v>3063</v>
      </c>
      <c r="B353" s="16">
        <v>45088.0</v>
      </c>
      <c r="C353" s="17">
        <v>45092.0</v>
      </c>
      <c r="D353" s="18">
        <v>6.0</v>
      </c>
      <c r="E353" s="19">
        <v>1.0</v>
      </c>
      <c r="F353" s="20">
        <v>12000.0</v>
      </c>
      <c r="G353" s="21" t="s">
        <v>2711</v>
      </c>
      <c r="H353" s="19">
        <v>4.0</v>
      </c>
      <c r="I353" s="21" t="s">
        <v>997</v>
      </c>
      <c r="J353" s="22" t="s">
        <v>2557</v>
      </c>
    </row>
    <row r="354">
      <c r="A354" s="15" t="s">
        <v>3064</v>
      </c>
      <c r="B354" s="16">
        <v>45088.0</v>
      </c>
      <c r="C354" s="17">
        <v>45090.0</v>
      </c>
      <c r="D354" s="18">
        <v>4.0</v>
      </c>
      <c r="E354" s="19">
        <v>3.0</v>
      </c>
      <c r="F354" s="20">
        <v>16000.0</v>
      </c>
      <c r="G354" s="21" t="s">
        <v>2711</v>
      </c>
      <c r="H354" s="19">
        <v>5.0</v>
      </c>
      <c r="I354" s="21" t="s">
        <v>557</v>
      </c>
      <c r="J354" s="22" t="s">
        <v>2567</v>
      </c>
    </row>
    <row r="355">
      <c r="A355" s="15" t="s">
        <v>3065</v>
      </c>
      <c r="B355" s="16">
        <v>45088.0</v>
      </c>
      <c r="C355" s="17">
        <v>45090.0</v>
      </c>
      <c r="D355" s="18">
        <v>6.0</v>
      </c>
      <c r="E355" s="19">
        <v>3.0</v>
      </c>
      <c r="F355" s="20">
        <v>16000.0</v>
      </c>
      <c r="G355" s="21" t="s">
        <v>2711</v>
      </c>
      <c r="H355" s="19">
        <v>4.0</v>
      </c>
      <c r="I355" s="21" t="s">
        <v>946</v>
      </c>
      <c r="J355" s="22" t="s">
        <v>2547</v>
      </c>
    </row>
    <row r="356">
      <c r="A356" s="15" t="s">
        <v>3066</v>
      </c>
      <c r="B356" s="16">
        <v>45088.0</v>
      </c>
      <c r="C356" s="17">
        <v>45089.0</v>
      </c>
      <c r="D356" s="18">
        <v>6.0</v>
      </c>
      <c r="E356" s="19">
        <v>3.0</v>
      </c>
      <c r="F356" s="20">
        <v>16000.0</v>
      </c>
      <c r="G356" s="21" t="s">
        <v>2711</v>
      </c>
      <c r="H356" s="19">
        <v>5.0</v>
      </c>
      <c r="I356" s="21" t="s">
        <v>2465</v>
      </c>
      <c r="J356" s="22" t="s">
        <v>2542</v>
      </c>
    </row>
    <row r="357">
      <c r="A357" s="15" t="s">
        <v>3067</v>
      </c>
      <c r="B357" s="16">
        <v>45088.0</v>
      </c>
      <c r="C357" s="17">
        <v>45091.0</v>
      </c>
      <c r="D357" s="18">
        <v>5.0</v>
      </c>
      <c r="E357" s="19">
        <v>2.0</v>
      </c>
      <c r="F357" s="20">
        <v>14000.0</v>
      </c>
      <c r="G357" s="21" t="s">
        <v>2711</v>
      </c>
      <c r="H357" s="19">
        <v>4.0</v>
      </c>
      <c r="I357" s="21" t="s">
        <v>2216</v>
      </c>
      <c r="J357" s="22" t="s">
        <v>2572</v>
      </c>
    </row>
    <row r="358">
      <c r="A358" s="15" t="s">
        <v>3068</v>
      </c>
      <c r="B358" s="16">
        <v>45088.0</v>
      </c>
      <c r="C358" s="17">
        <v>45090.0</v>
      </c>
      <c r="D358" s="18">
        <v>13.0</v>
      </c>
      <c r="E358" s="19">
        <v>5.0</v>
      </c>
      <c r="F358" s="20">
        <v>20000.0</v>
      </c>
      <c r="G358" s="21" t="s">
        <v>2711</v>
      </c>
      <c r="H358" s="19">
        <v>5.0</v>
      </c>
      <c r="I358" s="21" t="s">
        <v>2287</v>
      </c>
      <c r="J358" s="22" t="s">
        <v>2587</v>
      </c>
      <c r="K358" s="31"/>
    </row>
    <row r="359">
      <c r="A359" s="15" t="s">
        <v>3069</v>
      </c>
      <c r="B359" s="17">
        <v>45089.0</v>
      </c>
      <c r="C359" s="17">
        <f>B359 + RANDBETWEEN(1,5)</f>
        <v>45090</v>
      </c>
      <c r="D359" s="18">
        <v>13.0</v>
      </c>
      <c r="E359" s="19">
        <v>8.0</v>
      </c>
      <c r="F359" s="20">
        <v>26000.0</v>
      </c>
      <c r="G359" s="21" t="s">
        <v>2711</v>
      </c>
      <c r="H359" s="19">
        <v>5.0</v>
      </c>
      <c r="I359" s="21" t="s">
        <v>2401</v>
      </c>
      <c r="J359" s="22" t="s">
        <v>2697</v>
      </c>
    </row>
    <row r="360">
      <c r="A360" s="15" t="s">
        <v>3070</v>
      </c>
      <c r="B360" s="16">
        <v>45089.0</v>
      </c>
      <c r="C360" s="17">
        <v>45092.0</v>
      </c>
      <c r="D360" s="18">
        <v>1.0</v>
      </c>
      <c r="E360" s="19">
        <v>2.0</v>
      </c>
      <c r="F360" s="20">
        <v>14000.0</v>
      </c>
      <c r="G360" s="21" t="s">
        <v>2711</v>
      </c>
      <c r="H360" s="19">
        <v>4.0</v>
      </c>
      <c r="I360" s="21" t="s">
        <v>648</v>
      </c>
      <c r="J360" s="22" t="s">
        <v>2632</v>
      </c>
    </row>
    <row r="361">
      <c r="A361" s="15" t="s">
        <v>3071</v>
      </c>
      <c r="B361" s="16">
        <v>45089.0</v>
      </c>
      <c r="C361" s="17">
        <v>45093.0</v>
      </c>
      <c r="D361" s="18">
        <v>1.0</v>
      </c>
      <c r="E361" s="19">
        <v>2.0</v>
      </c>
      <c r="F361" s="20">
        <v>14000.0</v>
      </c>
      <c r="G361" s="21" t="s">
        <v>2711</v>
      </c>
      <c r="H361" s="19">
        <v>4.0</v>
      </c>
      <c r="I361" s="21" t="s">
        <v>238</v>
      </c>
      <c r="J361" s="22" t="s">
        <v>2572</v>
      </c>
    </row>
    <row r="362">
      <c r="A362" s="15" t="s">
        <v>3072</v>
      </c>
      <c r="B362" s="16">
        <v>45089.0</v>
      </c>
      <c r="C362" s="17">
        <v>45090.0</v>
      </c>
      <c r="D362" s="18">
        <v>1.0</v>
      </c>
      <c r="E362" s="19">
        <v>1.0</v>
      </c>
      <c r="F362" s="20">
        <v>12000.0</v>
      </c>
      <c r="G362" s="21" t="s">
        <v>2711</v>
      </c>
      <c r="H362" s="19">
        <v>4.0</v>
      </c>
      <c r="I362" s="21" t="s">
        <v>787</v>
      </c>
      <c r="J362" s="22" t="s">
        <v>2642</v>
      </c>
    </row>
    <row r="363">
      <c r="A363" s="15" t="s">
        <v>3073</v>
      </c>
      <c r="B363" s="16">
        <v>45089.0</v>
      </c>
      <c r="C363" s="17">
        <v>45092.0</v>
      </c>
      <c r="D363" s="18">
        <v>13.0</v>
      </c>
      <c r="E363" s="19">
        <v>8.0</v>
      </c>
      <c r="F363" s="20">
        <v>26000.0</v>
      </c>
      <c r="G363" s="21" t="s">
        <v>2711</v>
      </c>
      <c r="H363" s="19">
        <v>4.0</v>
      </c>
      <c r="I363" s="21" t="s">
        <v>2338</v>
      </c>
      <c r="J363" s="22" t="s">
        <v>2484</v>
      </c>
    </row>
    <row r="364">
      <c r="A364" s="15" t="s">
        <v>3074</v>
      </c>
      <c r="B364" s="16">
        <v>45089.0</v>
      </c>
      <c r="C364" s="17">
        <v>45091.0</v>
      </c>
      <c r="D364" s="18">
        <v>3.0</v>
      </c>
      <c r="E364" s="19">
        <v>3.0</v>
      </c>
      <c r="F364" s="20">
        <v>16000.0</v>
      </c>
      <c r="G364" s="21" t="s">
        <v>2711</v>
      </c>
      <c r="H364" s="19">
        <v>5.0</v>
      </c>
      <c r="I364" s="21" t="s">
        <v>585</v>
      </c>
      <c r="J364" s="22" t="s">
        <v>2577</v>
      </c>
    </row>
    <row r="365">
      <c r="A365" s="15" t="s">
        <v>3075</v>
      </c>
      <c r="B365" s="16">
        <v>45089.0</v>
      </c>
      <c r="C365" s="17">
        <v>45091.0</v>
      </c>
      <c r="D365" s="18">
        <v>3.0</v>
      </c>
      <c r="E365" s="19">
        <v>2.0</v>
      </c>
      <c r="F365" s="20">
        <v>14000.0</v>
      </c>
      <c r="G365" s="21" t="s">
        <v>2711</v>
      </c>
      <c r="H365" s="19">
        <v>4.0</v>
      </c>
      <c r="I365" s="21" t="s">
        <v>82</v>
      </c>
      <c r="J365" s="22" t="s">
        <v>2617</v>
      </c>
    </row>
    <row r="366">
      <c r="A366" s="15" t="s">
        <v>3076</v>
      </c>
      <c r="B366" s="16">
        <v>45089.0</v>
      </c>
      <c r="C366" s="17">
        <v>45092.0</v>
      </c>
      <c r="D366" s="18">
        <v>3.0</v>
      </c>
      <c r="E366" s="19">
        <v>2.0</v>
      </c>
      <c r="F366" s="20">
        <v>14000.0</v>
      </c>
      <c r="G366" s="21" t="s">
        <v>2711</v>
      </c>
      <c r="H366" s="19">
        <v>5.0</v>
      </c>
      <c r="I366" s="21" t="s">
        <v>1232</v>
      </c>
      <c r="J366" s="22" t="s">
        <v>2647</v>
      </c>
    </row>
    <row r="367">
      <c r="A367" s="15" t="s">
        <v>3077</v>
      </c>
      <c r="B367" s="16">
        <v>45089.0</v>
      </c>
      <c r="C367" s="17">
        <v>45090.0</v>
      </c>
      <c r="D367" s="18">
        <v>2.0</v>
      </c>
      <c r="E367" s="19">
        <v>1.0</v>
      </c>
      <c r="F367" s="20">
        <v>12000.0</v>
      </c>
      <c r="G367" s="21" t="s">
        <v>2711</v>
      </c>
      <c r="H367" s="19">
        <v>5.0</v>
      </c>
      <c r="I367" s="21" t="s">
        <v>74</v>
      </c>
      <c r="J367" s="22" t="s">
        <v>2602</v>
      </c>
    </row>
    <row r="368">
      <c r="A368" s="15" t="s">
        <v>3078</v>
      </c>
      <c r="B368" s="16">
        <v>45089.0</v>
      </c>
      <c r="C368" s="17">
        <v>45094.0</v>
      </c>
      <c r="D368" s="18">
        <v>1.0</v>
      </c>
      <c r="E368" s="19">
        <v>2.0</v>
      </c>
      <c r="F368" s="20">
        <v>14000.0</v>
      </c>
      <c r="G368" s="21" t="s">
        <v>2711</v>
      </c>
      <c r="H368" s="19">
        <v>4.0</v>
      </c>
      <c r="I368" s="21" t="s">
        <v>2425</v>
      </c>
      <c r="J368" s="22" t="s">
        <v>2682</v>
      </c>
    </row>
    <row r="369">
      <c r="A369" s="15" t="s">
        <v>3079</v>
      </c>
      <c r="B369" s="16">
        <v>45089.0</v>
      </c>
      <c r="C369" s="17">
        <v>45090.0</v>
      </c>
      <c r="D369" s="18">
        <v>9.0</v>
      </c>
      <c r="E369" s="19">
        <v>10.0</v>
      </c>
      <c r="F369" s="20">
        <v>30000.0</v>
      </c>
      <c r="G369" s="21" t="s">
        <v>2711</v>
      </c>
      <c r="H369" s="19">
        <v>4.0</v>
      </c>
      <c r="I369" s="21" t="s">
        <v>2263</v>
      </c>
      <c r="J369" s="22" t="s">
        <v>2667</v>
      </c>
    </row>
    <row r="370">
      <c r="A370" s="15" t="s">
        <v>3080</v>
      </c>
      <c r="B370" s="16">
        <v>45089.0</v>
      </c>
      <c r="C370" s="17">
        <v>45092.0</v>
      </c>
      <c r="D370" s="18">
        <v>2.0</v>
      </c>
      <c r="E370" s="19">
        <v>3.0</v>
      </c>
      <c r="F370" s="20">
        <v>16000.0</v>
      </c>
      <c r="G370" s="21" t="s">
        <v>2711</v>
      </c>
      <c r="H370" s="19">
        <v>5.0</v>
      </c>
      <c r="I370" s="21" t="s">
        <v>1025</v>
      </c>
      <c r="J370" s="22" t="s">
        <v>2490</v>
      </c>
    </row>
    <row r="371">
      <c r="A371" s="15" t="s">
        <v>3081</v>
      </c>
      <c r="B371" s="16">
        <v>45089.0</v>
      </c>
      <c r="C371" s="17">
        <v>45090.0</v>
      </c>
      <c r="D371" s="18">
        <v>2.0</v>
      </c>
      <c r="E371" s="19">
        <v>3.0</v>
      </c>
      <c r="F371" s="20">
        <v>16000.0</v>
      </c>
      <c r="G371" s="21" t="s">
        <v>2711</v>
      </c>
      <c r="H371" s="19">
        <v>4.0</v>
      </c>
      <c r="I371" s="21" t="s">
        <v>934</v>
      </c>
      <c r="J371" s="22" t="s">
        <v>2612</v>
      </c>
    </row>
    <row r="372">
      <c r="A372" s="15" t="s">
        <v>3082</v>
      </c>
      <c r="B372" s="16">
        <v>45089.0</v>
      </c>
      <c r="C372" s="17">
        <v>45091.0</v>
      </c>
      <c r="D372" s="18">
        <v>3.0</v>
      </c>
      <c r="E372" s="19">
        <v>3.0</v>
      </c>
      <c r="F372" s="20">
        <v>16000.0</v>
      </c>
      <c r="G372" s="21" t="s">
        <v>2711</v>
      </c>
      <c r="H372" s="19">
        <v>4.0</v>
      </c>
      <c r="I372" s="21" t="s">
        <v>1784</v>
      </c>
      <c r="J372" s="22" t="s">
        <v>2496</v>
      </c>
    </row>
    <row r="373">
      <c r="A373" s="15" t="s">
        <v>3083</v>
      </c>
      <c r="B373" s="16">
        <v>45089.0</v>
      </c>
      <c r="C373" s="17">
        <v>45092.0</v>
      </c>
      <c r="D373" s="18">
        <v>13.0</v>
      </c>
      <c r="E373" s="19">
        <v>8.0</v>
      </c>
      <c r="F373" s="20">
        <v>26000.0</v>
      </c>
      <c r="G373" s="21" t="s">
        <v>2711</v>
      </c>
      <c r="H373" s="19">
        <v>5.0</v>
      </c>
      <c r="I373" s="21" t="s">
        <v>1842</v>
      </c>
      <c r="J373" s="22" t="s">
        <v>2501</v>
      </c>
    </row>
    <row r="374">
      <c r="A374" s="15" t="s">
        <v>3084</v>
      </c>
      <c r="B374" s="16">
        <v>45089.0</v>
      </c>
      <c r="C374" s="17">
        <v>45091.0</v>
      </c>
      <c r="D374" s="18">
        <v>5.0</v>
      </c>
      <c r="E374" s="19">
        <v>2.0</v>
      </c>
      <c r="F374" s="20">
        <v>14000.0</v>
      </c>
      <c r="G374" s="21" t="s">
        <v>2711</v>
      </c>
      <c r="H374" s="19">
        <v>4.0</v>
      </c>
      <c r="I374" s="21" t="s">
        <v>1240</v>
      </c>
      <c r="J374" s="22" t="s">
        <v>2677</v>
      </c>
    </row>
    <row r="375">
      <c r="A375" s="15" t="s">
        <v>3085</v>
      </c>
      <c r="B375" s="16">
        <v>45089.0</v>
      </c>
      <c r="C375" s="17">
        <v>45092.0</v>
      </c>
      <c r="D375" s="18">
        <v>4.0</v>
      </c>
      <c r="E375" s="19">
        <v>3.0</v>
      </c>
      <c r="F375" s="20">
        <v>16000.0</v>
      </c>
      <c r="G375" s="21" t="s">
        <v>2711</v>
      </c>
      <c r="H375" s="19">
        <v>5.0</v>
      </c>
      <c r="I375" s="21" t="s">
        <v>490</v>
      </c>
      <c r="J375" s="22" t="s">
        <v>2602</v>
      </c>
    </row>
    <row r="376">
      <c r="A376" s="15" t="s">
        <v>3086</v>
      </c>
      <c r="B376" s="16">
        <v>45089.0</v>
      </c>
      <c r="C376" s="17">
        <v>45090.0</v>
      </c>
      <c r="D376" s="18">
        <v>6.0</v>
      </c>
      <c r="E376" s="19">
        <v>3.0</v>
      </c>
      <c r="F376" s="20">
        <v>16000.0</v>
      </c>
      <c r="G376" s="21" t="s">
        <v>2711</v>
      </c>
      <c r="H376" s="19">
        <v>4.0</v>
      </c>
      <c r="I376" s="21" t="s">
        <v>26</v>
      </c>
      <c r="J376" s="22" t="s">
        <v>2622</v>
      </c>
    </row>
    <row r="377">
      <c r="A377" s="15" t="s">
        <v>3087</v>
      </c>
      <c r="B377" s="16">
        <v>45089.0</v>
      </c>
      <c r="C377" s="17">
        <v>45090.0</v>
      </c>
      <c r="D377" s="18">
        <v>10.0</v>
      </c>
      <c r="E377" s="19">
        <v>7.0</v>
      </c>
      <c r="F377" s="20">
        <v>24000.0</v>
      </c>
      <c r="G377" s="21" t="s">
        <v>2711</v>
      </c>
      <c r="H377" s="19">
        <v>5.0</v>
      </c>
      <c r="I377" s="21" t="s">
        <v>1744</v>
      </c>
      <c r="J377" s="22" t="s">
        <v>2501</v>
      </c>
    </row>
    <row r="378">
      <c r="A378" s="15" t="s">
        <v>3088</v>
      </c>
      <c r="B378" s="16">
        <v>45089.0</v>
      </c>
      <c r="C378" s="17">
        <v>45092.0</v>
      </c>
      <c r="D378" s="18">
        <v>6.0</v>
      </c>
      <c r="E378" s="19">
        <v>2.0</v>
      </c>
      <c r="F378" s="20">
        <v>14000.0</v>
      </c>
      <c r="G378" s="21" t="s">
        <v>2711</v>
      </c>
      <c r="H378" s="19">
        <v>4.0</v>
      </c>
      <c r="I378" s="21" t="s">
        <v>2389</v>
      </c>
      <c r="J378" s="22" t="s">
        <v>2562</v>
      </c>
    </row>
    <row r="379">
      <c r="A379" s="15" t="s">
        <v>3089</v>
      </c>
      <c r="B379" s="16">
        <v>45089.0</v>
      </c>
      <c r="C379" s="17">
        <v>45093.0</v>
      </c>
      <c r="D379" s="18">
        <v>2.0</v>
      </c>
      <c r="E379" s="19">
        <v>3.0</v>
      </c>
      <c r="F379" s="20">
        <v>16000.0</v>
      </c>
      <c r="G379" s="21" t="s">
        <v>2711</v>
      </c>
      <c r="H379" s="19">
        <v>5.0</v>
      </c>
      <c r="I379" s="21" t="s">
        <v>890</v>
      </c>
      <c r="J379" s="22" t="s">
        <v>2496</v>
      </c>
    </row>
    <row r="380">
      <c r="A380" s="15" t="s">
        <v>3090</v>
      </c>
      <c r="B380" s="16">
        <v>45089.0</v>
      </c>
      <c r="C380" s="17">
        <v>45091.0</v>
      </c>
      <c r="D380" s="18">
        <v>7.0</v>
      </c>
      <c r="E380" s="19">
        <v>10.0</v>
      </c>
      <c r="F380" s="20">
        <v>30000.0</v>
      </c>
      <c r="G380" s="21" t="s">
        <v>2711</v>
      </c>
      <c r="H380" s="19">
        <v>4.0</v>
      </c>
      <c r="I380" s="21" t="s">
        <v>2148</v>
      </c>
      <c r="J380" s="22" t="s">
        <v>2587</v>
      </c>
    </row>
    <row r="381">
      <c r="A381" s="15" t="s">
        <v>3091</v>
      </c>
      <c r="B381" s="16">
        <v>45089.0</v>
      </c>
      <c r="C381" s="17">
        <v>45091.0</v>
      </c>
      <c r="D381" s="18">
        <v>1.0</v>
      </c>
      <c r="E381" s="19">
        <v>3.0</v>
      </c>
      <c r="F381" s="20">
        <v>16000.0</v>
      </c>
      <c r="G381" s="21" t="s">
        <v>2711</v>
      </c>
      <c r="H381" s="19">
        <v>5.0</v>
      </c>
      <c r="I381" s="21" t="s">
        <v>2330</v>
      </c>
      <c r="J381" s="22" t="s">
        <v>2547</v>
      </c>
      <c r="K381" s="27"/>
    </row>
    <row r="382">
      <c r="A382" s="15" t="s">
        <v>3092</v>
      </c>
      <c r="B382" s="16">
        <v>45089.0</v>
      </c>
      <c r="C382" s="17">
        <v>45093.0</v>
      </c>
      <c r="D382" s="18">
        <v>6.0</v>
      </c>
      <c r="E382" s="19">
        <v>3.0</v>
      </c>
      <c r="F382" s="20">
        <v>16000.0</v>
      </c>
      <c r="G382" s="21" t="s">
        <v>2711</v>
      </c>
      <c r="H382" s="19">
        <v>4.0</v>
      </c>
      <c r="I382" s="21" t="s">
        <v>1165</v>
      </c>
      <c r="J382" s="22" t="s">
        <v>2542</v>
      </c>
      <c r="K382" s="27"/>
    </row>
    <row r="383">
      <c r="A383" s="15" t="s">
        <v>3093</v>
      </c>
      <c r="B383" s="16">
        <v>45089.0</v>
      </c>
      <c r="C383" s="17">
        <v>45092.0</v>
      </c>
      <c r="D383" s="18">
        <v>6.0</v>
      </c>
      <c r="E383" s="19">
        <v>2.0</v>
      </c>
      <c r="F383" s="20">
        <v>14000.0</v>
      </c>
      <c r="G383" s="21" t="s">
        <v>2711</v>
      </c>
      <c r="H383" s="19">
        <v>5.0</v>
      </c>
      <c r="I383" s="21" t="s">
        <v>1252</v>
      </c>
      <c r="J383" s="22" t="s">
        <v>2617</v>
      </c>
      <c r="K383" s="27"/>
    </row>
    <row r="384">
      <c r="A384" s="15" t="s">
        <v>3094</v>
      </c>
      <c r="B384" s="16">
        <v>45089.0</v>
      </c>
      <c r="C384" s="17">
        <v>45091.0</v>
      </c>
      <c r="D384" s="18">
        <v>3.0</v>
      </c>
      <c r="E384" s="19">
        <v>2.0</v>
      </c>
      <c r="F384" s="20">
        <v>14000.0</v>
      </c>
      <c r="G384" s="21" t="s">
        <v>2711</v>
      </c>
      <c r="H384" s="19">
        <v>5.0</v>
      </c>
      <c r="I384" s="21" t="s">
        <v>2334</v>
      </c>
      <c r="J384" s="22" t="s">
        <v>2542</v>
      </c>
      <c r="K384" s="27"/>
    </row>
    <row r="385">
      <c r="A385" s="15" t="s">
        <v>3095</v>
      </c>
      <c r="B385" s="16">
        <v>45089.0</v>
      </c>
      <c r="C385" s="17">
        <v>45090.0</v>
      </c>
      <c r="D385" s="18">
        <v>19.0</v>
      </c>
      <c r="E385" s="19">
        <v>6.0</v>
      </c>
      <c r="F385" s="20">
        <v>27700.0</v>
      </c>
      <c r="G385" s="21" t="s">
        <v>2711</v>
      </c>
      <c r="H385" s="19">
        <v>5.0</v>
      </c>
      <c r="I385" s="21" t="s">
        <v>314</v>
      </c>
      <c r="J385" s="22" t="s">
        <v>2607</v>
      </c>
    </row>
    <row r="386">
      <c r="A386" s="15" t="s">
        <v>3096</v>
      </c>
      <c r="B386" s="16">
        <v>45089.0</v>
      </c>
      <c r="C386" s="17">
        <v>45091.0</v>
      </c>
      <c r="D386" s="18">
        <v>17.0</v>
      </c>
      <c r="E386" s="19">
        <v>7.0</v>
      </c>
      <c r="F386" s="20">
        <v>29100.0</v>
      </c>
      <c r="G386" s="21" t="s">
        <v>2711</v>
      </c>
      <c r="H386" s="19">
        <v>4.0</v>
      </c>
      <c r="I386" s="21" t="s">
        <v>1374</v>
      </c>
      <c r="J386" s="22" t="s">
        <v>2627</v>
      </c>
    </row>
    <row r="387">
      <c r="A387" s="15" t="s">
        <v>3097</v>
      </c>
      <c r="B387" s="16">
        <v>45089.0</v>
      </c>
      <c r="C387" s="17">
        <v>45090.0</v>
      </c>
      <c r="D387" s="18">
        <v>3.0</v>
      </c>
      <c r="E387" s="19">
        <v>1.0</v>
      </c>
      <c r="F387" s="20">
        <v>12000.0</v>
      </c>
      <c r="G387" s="21" t="s">
        <v>2711</v>
      </c>
      <c r="H387" s="19">
        <v>4.0</v>
      </c>
      <c r="I387" s="21" t="s">
        <v>807</v>
      </c>
      <c r="J387" s="22" t="s">
        <v>2557</v>
      </c>
    </row>
    <row r="388">
      <c r="A388" s="15" t="s">
        <v>3098</v>
      </c>
      <c r="B388" s="16">
        <v>45089.0</v>
      </c>
      <c r="C388" s="17">
        <v>45094.0</v>
      </c>
      <c r="D388" s="18">
        <v>11.0</v>
      </c>
      <c r="E388" s="19">
        <v>6.0</v>
      </c>
      <c r="F388" s="20">
        <v>22000.0</v>
      </c>
      <c r="G388" s="21" t="s">
        <v>2711</v>
      </c>
      <c r="H388" s="19">
        <v>4.0</v>
      </c>
      <c r="I388" s="21" t="s">
        <v>1870</v>
      </c>
      <c r="J388" s="22" t="s">
        <v>2537</v>
      </c>
    </row>
    <row r="389">
      <c r="A389" s="15" t="s">
        <v>3099</v>
      </c>
      <c r="B389" s="16">
        <v>45089.0</v>
      </c>
      <c r="C389" s="17">
        <v>45093.0</v>
      </c>
      <c r="D389" s="18">
        <v>13.0</v>
      </c>
      <c r="E389" s="19">
        <v>9.0</v>
      </c>
      <c r="F389" s="20">
        <v>28000.0</v>
      </c>
      <c r="G389" s="21" t="s">
        <v>2711</v>
      </c>
      <c r="H389" s="19">
        <v>4.0</v>
      </c>
      <c r="I389" s="21" t="s">
        <v>823</v>
      </c>
      <c r="J389" s="22" t="s">
        <v>2667</v>
      </c>
    </row>
    <row r="390">
      <c r="A390" s="15" t="s">
        <v>3100</v>
      </c>
      <c r="B390" s="16">
        <v>45089.0</v>
      </c>
      <c r="C390" s="17">
        <v>45093.0</v>
      </c>
      <c r="D390" s="18">
        <v>6.0</v>
      </c>
      <c r="E390" s="19">
        <v>2.0</v>
      </c>
      <c r="F390" s="20">
        <v>14000.0</v>
      </c>
      <c r="G390" s="21" t="s">
        <v>2711</v>
      </c>
      <c r="H390" s="19">
        <v>5.0</v>
      </c>
      <c r="I390" s="21" t="s">
        <v>138</v>
      </c>
      <c r="J390" s="22" t="s">
        <v>2602</v>
      </c>
    </row>
    <row r="391">
      <c r="A391" s="15" t="s">
        <v>3101</v>
      </c>
      <c r="B391" s="16">
        <v>45089.0</v>
      </c>
      <c r="C391" s="17">
        <v>45090.0</v>
      </c>
      <c r="D391" s="18">
        <v>20.0</v>
      </c>
      <c r="E391" s="19">
        <v>9.0</v>
      </c>
      <c r="F391" s="20">
        <v>34000.0</v>
      </c>
      <c r="G391" s="21" t="s">
        <v>2711</v>
      </c>
      <c r="H391" s="19">
        <v>4.0</v>
      </c>
      <c r="I391" s="21" t="s">
        <v>1898</v>
      </c>
      <c r="J391" s="22" t="s">
        <v>2662</v>
      </c>
    </row>
    <row r="392">
      <c r="A392" s="15" t="s">
        <v>3102</v>
      </c>
      <c r="B392" s="16">
        <v>45089.0</v>
      </c>
      <c r="C392" s="17">
        <v>45094.0</v>
      </c>
      <c r="D392" s="18">
        <v>1.0</v>
      </c>
      <c r="E392" s="19">
        <v>3.0</v>
      </c>
      <c r="F392" s="20">
        <v>16000.0</v>
      </c>
      <c r="G392" s="21" t="s">
        <v>2711</v>
      </c>
      <c r="H392" s="19">
        <v>4.0</v>
      </c>
      <c r="I392" s="21" t="s">
        <v>1981</v>
      </c>
      <c r="J392" s="22" t="s">
        <v>2612</v>
      </c>
    </row>
    <row r="393">
      <c r="A393" s="15" t="s">
        <v>3103</v>
      </c>
      <c r="B393" s="16">
        <v>45089.0</v>
      </c>
      <c r="C393" s="17">
        <v>45091.0</v>
      </c>
      <c r="D393" s="18">
        <v>17.0</v>
      </c>
      <c r="E393" s="19">
        <v>7.0</v>
      </c>
      <c r="F393" s="20">
        <v>29100.0</v>
      </c>
      <c r="G393" s="21" t="s">
        <v>2711</v>
      </c>
      <c r="H393" s="19">
        <v>5.0</v>
      </c>
      <c r="I393" s="21" t="s">
        <v>2049</v>
      </c>
      <c r="J393" s="22" t="s">
        <v>2697</v>
      </c>
    </row>
    <row r="394">
      <c r="A394" s="15" t="s">
        <v>3104</v>
      </c>
      <c r="B394" s="16">
        <v>45089.0</v>
      </c>
      <c r="C394" s="17">
        <v>45091.0</v>
      </c>
      <c r="D394" s="18">
        <v>4.0</v>
      </c>
      <c r="E394" s="19">
        <v>1.0</v>
      </c>
      <c r="F394" s="20">
        <v>12000.0</v>
      </c>
      <c r="G394" s="21" t="s">
        <v>2711</v>
      </c>
      <c r="H394" s="19">
        <v>5.0</v>
      </c>
      <c r="I394" s="21" t="s">
        <v>2421</v>
      </c>
      <c r="J394" s="22" t="s">
        <v>2496</v>
      </c>
    </row>
    <row r="395">
      <c r="A395" s="15" t="s">
        <v>3105</v>
      </c>
      <c r="B395" s="16">
        <v>45089.0</v>
      </c>
      <c r="C395" s="17">
        <v>45092.0</v>
      </c>
      <c r="D395" s="18">
        <v>1.0</v>
      </c>
      <c r="E395" s="19">
        <v>2.0</v>
      </c>
      <c r="F395" s="20">
        <v>14000.0</v>
      </c>
      <c r="G395" s="21" t="s">
        <v>2711</v>
      </c>
      <c r="H395" s="19">
        <v>5.0</v>
      </c>
      <c r="I395" s="21" t="s">
        <v>2184</v>
      </c>
      <c r="J395" s="22" t="s">
        <v>2542</v>
      </c>
    </row>
    <row r="396">
      <c r="A396" s="15" t="s">
        <v>3106</v>
      </c>
      <c r="B396" s="16">
        <v>45089.0</v>
      </c>
      <c r="C396" s="17">
        <v>45091.0</v>
      </c>
      <c r="D396" s="18">
        <v>3.0</v>
      </c>
      <c r="E396" s="19">
        <v>2.0</v>
      </c>
      <c r="F396" s="20">
        <v>14000.0</v>
      </c>
      <c r="G396" s="21" t="s">
        <v>2711</v>
      </c>
      <c r="H396" s="19">
        <v>4.0</v>
      </c>
      <c r="I396" s="21" t="s">
        <v>2248</v>
      </c>
      <c r="J396" s="22" t="s">
        <v>2622</v>
      </c>
    </row>
    <row r="397">
      <c r="A397" s="15" t="s">
        <v>3107</v>
      </c>
      <c r="B397" s="16">
        <v>45089.0</v>
      </c>
      <c r="C397" s="17">
        <v>45093.0</v>
      </c>
      <c r="D397" s="18">
        <v>4.0</v>
      </c>
      <c r="E397" s="19">
        <v>2.0</v>
      </c>
      <c r="F397" s="20">
        <v>14000.0</v>
      </c>
      <c r="G397" s="21" t="s">
        <v>2711</v>
      </c>
      <c r="H397" s="19">
        <v>4.0</v>
      </c>
      <c r="I397" s="21" t="s">
        <v>90</v>
      </c>
      <c r="J397" s="22" t="s">
        <v>2506</v>
      </c>
    </row>
    <row r="398">
      <c r="A398" s="15" t="s">
        <v>3108</v>
      </c>
      <c r="B398" s="16">
        <v>45089.0</v>
      </c>
      <c r="C398" s="17">
        <v>45091.0</v>
      </c>
      <c r="D398" s="18">
        <v>2.0</v>
      </c>
      <c r="E398" s="19">
        <v>1.0</v>
      </c>
      <c r="F398" s="20">
        <v>12000.0</v>
      </c>
      <c r="G398" s="21" t="s">
        <v>2711</v>
      </c>
      <c r="H398" s="19">
        <v>5.0</v>
      </c>
      <c r="I398" s="21" t="s">
        <v>1184</v>
      </c>
      <c r="J398" s="22" t="s">
        <v>2602</v>
      </c>
    </row>
    <row r="399">
      <c r="A399" s="15" t="s">
        <v>3109</v>
      </c>
      <c r="B399" s="16">
        <v>45089.0</v>
      </c>
      <c r="C399" s="17">
        <v>45092.0</v>
      </c>
      <c r="D399" s="18">
        <v>5.0</v>
      </c>
      <c r="E399" s="19">
        <v>2.0</v>
      </c>
      <c r="F399" s="20">
        <v>14000.0</v>
      </c>
      <c r="G399" s="21" t="s">
        <v>2711</v>
      </c>
      <c r="H399" s="19">
        <v>5.0</v>
      </c>
      <c r="I399" s="21" t="s">
        <v>2473</v>
      </c>
      <c r="J399" s="22" t="s">
        <v>2511</v>
      </c>
    </row>
    <row r="400">
      <c r="A400" s="15" t="s">
        <v>3110</v>
      </c>
      <c r="B400" s="16">
        <v>45089.0</v>
      </c>
      <c r="C400" s="17">
        <v>45092.0</v>
      </c>
      <c r="D400" s="18">
        <v>3.0</v>
      </c>
      <c r="E400" s="19">
        <v>3.0</v>
      </c>
      <c r="F400" s="20">
        <v>16000.0</v>
      </c>
      <c r="G400" s="21" t="s">
        <v>2711</v>
      </c>
      <c r="H400" s="19">
        <v>4.0</v>
      </c>
      <c r="I400" s="21" t="s">
        <v>724</v>
      </c>
      <c r="J400" s="22" t="s">
        <v>2577</v>
      </c>
    </row>
    <row r="401">
      <c r="A401" s="15" t="s">
        <v>3111</v>
      </c>
      <c r="B401" s="16">
        <v>45089.0</v>
      </c>
      <c r="C401" s="17">
        <v>45094.0</v>
      </c>
      <c r="D401" s="18">
        <v>5.0</v>
      </c>
      <c r="E401" s="19">
        <v>3.0</v>
      </c>
      <c r="F401" s="20">
        <v>16000.0</v>
      </c>
      <c r="G401" s="21" t="s">
        <v>2711</v>
      </c>
      <c r="H401" s="19">
        <v>5.0</v>
      </c>
      <c r="I401" s="21" t="s">
        <v>406</v>
      </c>
      <c r="J401" s="22" t="s">
        <v>2577</v>
      </c>
    </row>
    <row r="402">
      <c r="A402" s="15" t="s">
        <v>3112</v>
      </c>
      <c r="B402" s="16">
        <v>45090.0</v>
      </c>
      <c r="C402" s="17">
        <v>45095.0</v>
      </c>
      <c r="D402" s="18">
        <v>5.0</v>
      </c>
      <c r="E402" s="19">
        <v>1.0</v>
      </c>
      <c r="F402" s="20">
        <v>12000.0</v>
      </c>
      <c r="G402" s="21" t="s">
        <v>2747</v>
      </c>
      <c r="H402" s="21"/>
      <c r="I402" s="21" t="s">
        <v>2240</v>
      </c>
      <c r="J402" s="22" t="s">
        <v>2597</v>
      </c>
    </row>
    <row r="403">
      <c r="A403" s="15" t="s">
        <v>3113</v>
      </c>
      <c r="B403" s="16">
        <v>45090.0</v>
      </c>
      <c r="C403" s="17">
        <v>45095.0</v>
      </c>
      <c r="D403" s="18">
        <v>6.0</v>
      </c>
      <c r="E403" s="19">
        <v>1.0</v>
      </c>
      <c r="F403" s="20">
        <v>12000.0</v>
      </c>
      <c r="G403" s="21" t="s">
        <v>2711</v>
      </c>
      <c r="H403" s="19">
        <v>4.0</v>
      </c>
      <c r="I403" s="21" t="s">
        <v>2208</v>
      </c>
      <c r="J403" s="22" t="s">
        <v>2692</v>
      </c>
    </row>
    <row r="404">
      <c r="A404" s="15" t="s">
        <v>3114</v>
      </c>
      <c r="B404" s="16">
        <v>45090.0</v>
      </c>
      <c r="C404" s="17">
        <v>45094.0</v>
      </c>
      <c r="D404" s="18">
        <v>15.0</v>
      </c>
      <c r="E404" s="19">
        <v>6.0</v>
      </c>
      <c r="F404" s="20">
        <v>26500.0</v>
      </c>
      <c r="G404" s="21" t="s">
        <v>2711</v>
      </c>
      <c r="H404" s="19">
        <v>4.0</v>
      </c>
      <c r="I404" s="21" t="s">
        <v>1796</v>
      </c>
      <c r="J404" s="22" t="s">
        <v>2667</v>
      </c>
    </row>
    <row r="405">
      <c r="A405" s="15" t="s">
        <v>3115</v>
      </c>
      <c r="B405" s="16">
        <v>45090.0</v>
      </c>
      <c r="C405" s="17">
        <v>45094.0</v>
      </c>
      <c r="D405" s="18">
        <v>1.0</v>
      </c>
      <c r="E405" s="19">
        <v>3.0</v>
      </c>
      <c r="F405" s="20">
        <v>16000.0</v>
      </c>
      <c r="G405" s="21" t="s">
        <v>2711</v>
      </c>
      <c r="H405" s="19">
        <v>4.0</v>
      </c>
      <c r="I405" s="21" t="s">
        <v>398</v>
      </c>
      <c r="J405" s="22" t="s">
        <v>2677</v>
      </c>
    </row>
    <row r="406">
      <c r="A406" s="15" t="s">
        <v>3116</v>
      </c>
      <c r="B406" s="16">
        <v>45090.0</v>
      </c>
      <c r="C406" s="17">
        <v>45093.0</v>
      </c>
      <c r="D406" s="18">
        <v>6.0</v>
      </c>
      <c r="E406" s="19">
        <v>1.0</v>
      </c>
      <c r="F406" s="20">
        <v>12000.0</v>
      </c>
      <c r="G406" s="21" t="s">
        <v>2711</v>
      </c>
      <c r="H406" s="19">
        <v>4.0</v>
      </c>
      <c r="I406" s="21" t="s">
        <v>1248</v>
      </c>
      <c r="J406" s="22" t="s">
        <v>2597</v>
      </c>
    </row>
    <row r="407">
      <c r="A407" s="15" t="s">
        <v>3117</v>
      </c>
      <c r="B407" s="16">
        <v>45090.0</v>
      </c>
      <c r="C407" s="17">
        <v>45092.0</v>
      </c>
      <c r="D407" s="18">
        <v>4.0</v>
      </c>
      <c r="E407" s="19">
        <v>2.0</v>
      </c>
      <c r="F407" s="20">
        <v>14000.0</v>
      </c>
      <c r="G407" s="21" t="s">
        <v>2711</v>
      </c>
      <c r="H407" s="19">
        <v>5.0</v>
      </c>
      <c r="I407" s="21" t="s">
        <v>1328</v>
      </c>
      <c r="J407" s="22" t="s">
        <v>2677</v>
      </c>
    </row>
    <row r="408">
      <c r="A408" s="15" t="s">
        <v>3118</v>
      </c>
      <c r="B408" s="16">
        <v>45090.0</v>
      </c>
      <c r="C408" s="17">
        <v>45094.0</v>
      </c>
      <c r="D408" s="18">
        <v>1.0</v>
      </c>
      <c r="E408" s="19">
        <v>1.0</v>
      </c>
      <c r="F408" s="20">
        <v>12000.0</v>
      </c>
      <c r="G408" s="21" t="s">
        <v>2711</v>
      </c>
      <c r="H408" s="19">
        <v>4.0</v>
      </c>
      <c r="I408" s="21" t="s">
        <v>1184</v>
      </c>
      <c r="J408" s="22" t="s">
        <v>2496</v>
      </c>
    </row>
    <row r="409">
      <c r="A409" s="15" t="s">
        <v>3119</v>
      </c>
      <c r="B409" s="16">
        <v>45090.0</v>
      </c>
      <c r="C409" s="17">
        <v>45094.0</v>
      </c>
      <c r="D409" s="18">
        <v>1.0</v>
      </c>
      <c r="E409" s="19">
        <v>3.0</v>
      </c>
      <c r="F409" s="20">
        <v>16000.0</v>
      </c>
      <c r="G409" s="21" t="s">
        <v>2711</v>
      </c>
      <c r="H409" s="19">
        <v>4.0</v>
      </c>
      <c r="I409" s="21" t="s">
        <v>30</v>
      </c>
      <c r="J409" s="22" t="s">
        <v>2511</v>
      </c>
    </row>
    <row r="410">
      <c r="A410" s="15" t="s">
        <v>3120</v>
      </c>
      <c r="B410" s="16">
        <v>45090.0</v>
      </c>
      <c r="C410" s="17">
        <v>45095.0</v>
      </c>
      <c r="D410" s="18">
        <v>2.0</v>
      </c>
      <c r="E410" s="19">
        <v>2.0</v>
      </c>
      <c r="F410" s="20">
        <v>14000.0</v>
      </c>
      <c r="G410" s="21" t="s">
        <v>2711</v>
      </c>
      <c r="H410" s="19">
        <v>5.0</v>
      </c>
      <c r="I410" s="21" t="s">
        <v>593</v>
      </c>
      <c r="J410" s="22" t="s">
        <v>2687</v>
      </c>
    </row>
    <row r="411">
      <c r="A411" s="15" t="s">
        <v>3121</v>
      </c>
      <c r="B411" s="16">
        <v>45090.0</v>
      </c>
      <c r="C411" s="17">
        <v>45091.0</v>
      </c>
      <c r="D411" s="18">
        <v>1.0</v>
      </c>
      <c r="E411" s="19">
        <v>1.0</v>
      </c>
      <c r="F411" s="20">
        <v>12000.0</v>
      </c>
      <c r="G411" s="21" t="s">
        <v>2711</v>
      </c>
      <c r="H411" s="19">
        <v>5.0</v>
      </c>
      <c r="I411" s="21" t="s">
        <v>2469</v>
      </c>
      <c r="J411" s="22" t="s">
        <v>2547</v>
      </c>
    </row>
    <row r="412">
      <c r="A412" s="15" t="s">
        <v>3122</v>
      </c>
      <c r="B412" s="16">
        <v>45090.0</v>
      </c>
      <c r="C412" s="17">
        <v>45091.0</v>
      </c>
      <c r="D412" s="18">
        <v>1.0</v>
      </c>
      <c r="E412" s="19">
        <v>3.0</v>
      </c>
      <c r="F412" s="20">
        <v>16000.0</v>
      </c>
      <c r="G412" s="21" t="s">
        <v>2711</v>
      </c>
      <c r="H412" s="19">
        <v>5.0</v>
      </c>
      <c r="I412" s="21" t="s">
        <v>2092</v>
      </c>
      <c r="J412" s="22" t="s">
        <v>2506</v>
      </c>
    </row>
    <row r="413">
      <c r="A413" s="15" t="s">
        <v>3123</v>
      </c>
      <c r="B413" s="16">
        <v>45090.0</v>
      </c>
      <c r="C413" s="17">
        <v>45093.0</v>
      </c>
      <c r="D413" s="18">
        <v>13.0</v>
      </c>
      <c r="E413" s="19">
        <v>5.0</v>
      </c>
      <c r="F413" s="20">
        <v>20000.0</v>
      </c>
      <c r="G413" s="21" t="s">
        <v>2711</v>
      </c>
      <c r="H413" s="19">
        <v>4.0</v>
      </c>
      <c r="I413" s="21" t="s">
        <v>1240</v>
      </c>
      <c r="J413" s="22" t="s">
        <v>2484</v>
      </c>
    </row>
    <row r="414">
      <c r="A414" s="15" t="s">
        <v>3124</v>
      </c>
      <c r="B414" s="16">
        <v>45090.0</v>
      </c>
      <c r="C414" s="17">
        <v>45092.0</v>
      </c>
      <c r="D414" s="18">
        <v>4.0</v>
      </c>
      <c r="E414" s="19">
        <v>2.0</v>
      </c>
      <c r="F414" s="20">
        <v>14000.0</v>
      </c>
      <c r="G414" s="21" t="s">
        <v>2711</v>
      </c>
      <c r="H414" s="19">
        <v>5.0</v>
      </c>
      <c r="I414" s="21" t="s">
        <v>370</v>
      </c>
      <c r="J414" s="22" t="s">
        <v>2612</v>
      </c>
    </row>
    <row r="415">
      <c r="A415" s="15" t="s">
        <v>3125</v>
      </c>
      <c r="B415" s="16">
        <v>45090.0</v>
      </c>
      <c r="C415" s="17">
        <v>45095.0</v>
      </c>
      <c r="D415" s="18">
        <v>10.0</v>
      </c>
      <c r="E415" s="19">
        <v>5.0</v>
      </c>
      <c r="F415" s="20">
        <v>20000.0</v>
      </c>
      <c r="G415" s="21" t="s">
        <v>2711</v>
      </c>
      <c r="H415" s="19">
        <v>4.0</v>
      </c>
      <c r="I415" s="21" t="s">
        <v>1366</v>
      </c>
      <c r="J415" s="22" t="s">
        <v>2667</v>
      </c>
    </row>
    <row r="416">
      <c r="A416" s="15" t="s">
        <v>3126</v>
      </c>
      <c r="B416" s="16">
        <v>45090.0</v>
      </c>
      <c r="C416" s="17">
        <v>45092.0</v>
      </c>
      <c r="D416" s="18">
        <v>20.0</v>
      </c>
      <c r="E416" s="19">
        <v>5.0</v>
      </c>
      <c r="F416" s="20">
        <v>26000.0</v>
      </c>
      <c r="G416" s="21" t="s">
        <v>2711</v>
      </c>
      <c r="H416" s="19">
        <v>4.0</v>
      </c>
      <c r="I416" s="21" t="s">
        <v>1953</v>
      </c>
      <c r="J416" s="22" t="s">
        <v>2587</v>
      </c>
    </row>
    <row r="417">
      <c r="A417" s="15" t="s">
        <v>3127</v>
      </c>
      <c r="B417" s="16">
        <v>45090.0</v>
      </c>
      <c r="C417" s="17">
        <v>45091.0</v>
      </c>
      <c r="D417" s="18">
        <v>4.0</v>
      </c>
      <c r="E417" s="19">
        <v>3.0</v>
      </c>
      <c r="F417" s="20">
        <v>16000.0</v>
      </c>
      <c r="G417" s="21" t="s">
        <v>2711</v>
      </c>
      <c r="H417" s="19">
        <v>4.0</v>
      </c>
      <c r="I417" s="21" t="s">
        <v>2417</v>
      </c>
      <c r="J417" s="22" t="s">
        <v>2677</v>
      </c>
    </row>
    <row r="418">
      <c r="A418" s="15" t="s">
        <v>3128</v>
      </c>
      <c r="B418" s="16">
        <v>45090.0</v>
      </c>
      <c r="C418" s="17">
        <v>45091.0</v>
      </c>
      <c r="D418" s="18">
        <v>11.0</v>
      </c>
      <c r="E418" s="19">
        <v>5.0</v>
      </c>
      <c r="F418" s="20">
        <v>20000.0</v>
      </c>
      <c r="G418" s="21" t="s">
        <v>2711</v>
      </c>
      <c r="H418" s="19">
        <v>4.0</v>
      </c>
      <c r="I418" s="21" t="s">
        <v>2310</v>
      </c>
      <c r="J418" s="22" t="s">
        <v>2537</v>
      </c>
    </row>
    <row r="419">
      <c r="A419" s="15" t="s">
        <v>3129</v>
      </c>
      <c r="B419" s="16">
        <v>45090.0</v>
      </c>
      <c r="C419" s="17">
        <v>45095.0</v>
      </c>
      <c r="D419" s="18">
        <v>3.0</v>
      </c>
      <c r="E419" s="19">
        <v>1.0</v>
      </c>
      <c r="F419" s="20">
        <v>12000.0</v>
      </c>
      <c r="G419" s="21" t="s">
        <v>2711</v>
      </c>
      <c r="H419" s="19">
        <v>4.0</v>
      </c>
      <c r="I419" s="21" t="s">
        <v>1898</v>
      </c>
      <c r="J419" s="22" t="s">
        <v>2542</v>
      </c>
    </row>
    <row r="420">
      <c r="A420" s="15" t="s">
        <v>3130</v>
      </c>
      <c r="B420" s="16">
        <v>45090.0</v>
      </c>
      <c r="C420" s="17">
        <v>45092.0</v>
      </c>
      <c r="D420" s="18">
        <v>2.0</v>
      </c>
      <c r="E420" s="19">
        <v>1.0</v>
      </c>
      <c r="F420" s="20">
        <v>12000.0</v>
      </c>
      <c r="G420" s="21" t="s">
        <v>2711</v>
      </c>
      <c r="H420" s="19">
        <v>4.0</v>
      </c>
      <c r="I420" s="21" t="s">
        <v>1374</v>
      </c>
      <c r="J420" s="22" t="s">
        <v>2567</v>
      </c>
    </row>
    <row r="421">
      <c r="A421" s="15" t="s">
        <v>3131</v>
      </c>
      <c r="B421" s="16">
        <v>45090.0</v>
      </c>
      <c r="C421" s="17">
        <v>45091.0</v>
      </c>
      <c r="D421" s="18">
        <v>6.0</v>
      </c>
      <c r="E421" s="19">
        <v>2.0</v>
      </c>
      <c r="F421" s="20">
        <v>14000.0</v>
      </c>
      <c r="G421" s="21" t="s">
        <v>2711</v>
      </c>
      <c r="H421" s="19">
        <v>5.0</v>
      </c>
      <c r="I421" s="21" t="s">
        <v>870</v>
      </c>
      <c r="J421" s="22" t="s">
        <v>2612</v>
      </c>
    </row>
    <row r="422">
      <c r="A422" s="15" t="s">
        <v>3132</v>
      </c>
      <c r="B422" s="16">
        <v>45090.0</v>
      </c>
      <c r="C422" s="17">
        <v>45093.0</v>
      </c>
      <c r="D422" s="18">
        <v>6.0</v>
      </c>
      <c r="E422" s="19">
        <v>1.0</v>
      </c>
      <c r="F422" s="20">
        <v>12000.0</v>
      </c>
      <c r="G422" s="21" t="s">
        <v>2711</v>
      </c>
      <c r="H422" s="19">
        <v>5.0</v>
      </c>
      <c r="I422" s="21" t="s">
        <v>1792</v>
      </c>
      <c r="J422" s="22" t="s">
        <v>2612</v>
      </c>
    </row>
    <row r="423">
      <c r="A423" s="15" t="s">
        <v>3133</v>
      </c>
      <c r="B423" s="16">
        <v>45090.0</v>
      </c>
      <c r="C423" s="17">
        <v>45095.0</v>
      </c>
      <c r="D423" s="18">
        <v>3.0</v>
      </c>
      <c r="E423" s="19">
        <v>3.0</v>
      </c>
      <c r="F423" s="20">
        <v>16000.0</v>
      </c>
      <c r="G423" s="21" t="s">
        <v>2711</v>
      </c>
      <c r="H423" s="19">
        <v>5.0</v>
      </c>
      <c r="I423" s="21" t="s">
        <v>930</v>
      </c>
      <c r="J423" s="22" t="s">
        <v>2532</v>
      </c>
    </row>
    <row r="424">
      <c r="A424" s="15" t="s">
        <v>3134</v>
      </c>
      <c r="B424" s="16">
        <v>45090.0</v>
      </c>
      <c r="C424" s="17">
        <v>45094.0</v>
      </c>
      <c r="D424" s="18">
        <v>6.0</v>
      </c>
      <c r="E424" s="19">
        <v>1.0</v>
      </c>
      <c r="F424" s="20">
        <v>12000.0</v>
      </c>
      <c r="G424" s="21" t="s">
        <v>2711</v>
      </c>
      <c r="H424" s="19">
        <v>5.0</v>
      </c>
      <c r="I424" s="21" t="s">
        <v>334</v>
      </c>
      <c r="J424" s="22" t="s">
        <v>2527</v>
      </c>
    </row>
    <row r="425">
      <c r="A425" s="15" t="s">
        <v>3135</v>
      </c>
      <c r="B425" s="16">
        <v>45090.0</v>
      </c>
      <c r="C425" s="17">
        <v>45091.0</v>
      </c>
      <c r="D425" s="18">
        <v>1.0</v>
      </c>
      <c r="E425" s="19">
        <v>1.0</v>
      </c>
      <c r="F425" s="20">
        <v>12000.0</v>
      </c>
      <c r="G425" s="21" t="s">
        <v>2711</v>
      </c>
      <c r="H425" s="19">
        <v>4.0</v>
      </c>
      <c r="I425" s="21" t="s">
        <v>2334</v>
      </c>
      <c r="J425" s="22" t="s">
        <v>2490</v>
      </c>
    </row>
    <row r="426">
      <c r="A426" s="15" t="s">
        <v>3136</v>
      </c>
      <c r="B426" s="16">
        <v>45090.0</v>
      </c>
      <c r="C426" s="17">
        <v>45092.0</v>
      </c>
      <c r="D426" s="18">
        <v>10.0</v>
      </c>
      <c r="E426" s="19">
        <v>6.0</v>
      </c>
      <c r="F426" s="20">
        <v>22000.0</v>
      </c>
      <c r="G426" s="21" t="s">
        <v>2711</v>
      </c>
      <c r="H426" s="19">
        <v>5.0</v>
      </c>
      <c r="I426" s="21" t="s">
        <v>2453</v>
      </c>
      <c r="J426" s="22" t="s">
        <v>2607</v>
      </c>
    </row>
    <row r="427">
      <c r="A427" s="15" t="s">
        <v>3137</v>
      </c>
      <c r="B427" s="16">
        <v>45090.0</v>
      </c>
      <c r="C427" s="17">
        <v>45092.0</v>
      </c>
      <c r="D427" s="18">
        <v>3.0</v>
      </c>
      <c r="E427" s="19">
        <v>2.0</v>
      </c>
      <c r="F427" s="20">
        <v>14000.0</v>
      </c>
      <c r="G427" s="21" t="s">
        <v>2711</v>
      </c>
      <c r="H427" s="19">
        <v>4.0</v>
      </c>
      <c r="I427" s="21" t="s">
        <v>410</v>
      </c>
      <c r="J427" s="22" t="s">
        <v>2557</v>
      </c>
    </row>
    <row r="428">
      <c r="A428" s="15" t="s">
        <v>3138</v>
      </c>
      <c r="B428" s="16">
        <v>45090.0</v>
      </c>
      <c r="C428" s="17">
        <v>45092.0</v>
      </c>
      <c r="D428" s="18">
        <v>10.0</v>
      </c>
      <c r="E428" s="19">
        <v>10.0</v>
      </c>
      <c r="F428" s="20">
        <v>30000.0</v>
      </c>
      <c r="G428" s="21" t="s">
        <v>2711</v>
      </c>
      <c r="H428" s="19">
        <v>5.0</v>
      </c>
      <c r="I428" s="21" t="s">
        <v>1033</v>
      </c>
      <c r="J428" s="22" t="s">
        <v>2587</v>
      </c>
    </row>
    <row r="429">
      <c r="A429" s="15" t="s">
        <v>3139</v>
      </c>
      <c r="B429" s="16">
        <v>45090.0</v>
      </c>
      <c r="C429" s="17">
        <v>45093.0</v>
      </c>
      <c r="D429" s="18">
        <v>20.0</v>
      </c>
      <c r="E429" s="19">
        <v>5.0</v>
      </c>
      <c r="F429" s="20">
        <v>26000.0</v>
      </c>
      <c r="G429" s="21" t="s">
        <v>2711</v>
      </c>
      <c r="H429" s="19">
        <v>4.0</v>
      </c>
      <c r="I429" s="21" t="s">
        <v>1953</v>
      </c>
      <c r="J429" s="22" t="s">
        <v>2501</v>
      </c>
    </row>
    <row r="430">
      <c r="A430" s="15" t="s">
        <v>3140</v>
      </c>
      <c r="B430" s="16">
        <v>45090.0</v>
      </c>
      <c r="C430" s="17">
        <v>45093.0</v>
      </c>
      <c r="D430" s="18">
        <v>13.0</v>
      </c>
      <c r="E430" s="19">
        <v>4.0</v>
      </c>
      <c r="F430" s="20">
        <v>18000.0</v>
      </c>
      <c r="G430" s="21" t="s">
        <v>2711</v>
      </c>
      <c r="H430" s="19">
        <v>4.0</v>
      </c>
      <c r="I430" s="21" t="s">
        <v>1721</v>
      </c>
      <c r="J430" s="22" t="s">
        <v>2607</v>
      </c>
    </row>
    <row r="431">
      <c r="A431" s="15" t="s">
        <v>3141</v>
      </c>
      <c r="B431" s="17">
        <v>45091.0</v>
      </c>
      <c r="C431" s="17">
        <f t="shared" ref="C431:C432" si="4">B431 + RANDBETWEEN(1,5)</f>
        <v>45095</v>
      </c>
      <c r="D431" s="18">
        <v>6.0</v>
      </c>
      <c r="E431" s="19">
        <v>2.0</v>
      </c>
      <c r="F431" s="20">
        <v>14000.0</v>
      </c>
      <c r="G431" s="21" t="s">
        <v>2711</v>
      </c>
      <c r="H431" s="19">
        <v>5.0</v>
      </c>
      <c r="I431" s="21" t="s">
        <v>902</v>
      </c>
      <c r="J431" s="22" t="s">
        <v>2496</v>
      </c>
    </row>
    <row r="432">
      <c r="A432" s="15" t="s">
        <v>3142</v>
      </c>
      <c r="B432" s="17">
        <v>45091.0</v>
      </c>
      <c r="C432" s="17">
        <f t="shared" si="4"/>
        <v>45093</v>
      </c>
      <c r="D432" s="18">
        <v>5.0</v>
      </c>
      <c r="E432" s="19">
        <v>1.0</v>
      </c>
      <c r="F432" s="20">
        <v>12000.0</v>
      </c>
      <c r="G432" s="21" t="s">
        <v>2711</v>
      </c>
      <c r="H432" s="19">
        <v>5.0</v>
      </c>
      <c r="I432" s="21" t="s">
        <v>238</v>
      </c>
      <c r="J432" s="22" t="s">
        <v>2532</v>
      </c>
    </row>
    <row r="433">
      <c r="A433" s="15" t="s">
        <v>3143</v>
      </c>
      <c r="B433" s="16">
        <v>45091.0</v>
      </c>
      <c r="C433" s="17">
        <v>45094.0</v>
      </c>
      <c r="D433" s="18">
        <v>13.0</v>
      </c>
      <c r="E433" s="19">
        <v>9.0</v>
      </c>
      <c r="F433" s="20">
        <v>28000.0</v>
      </c>
      <c r="G433" s="21" t="s">
        <v>2711</v>
      </c>
      <c r="H433" s="19">
        <v>4.0</v>
      </c>
      <c r="I433" s="21" t="s">
        <v>50</v>
      </c>
      <c r="J433" s="22" t="s">
        <v>2627</v>
      </c>
    </row>
    <row r="434">
      <c r="A434" s="15" t="s">
        <v>3144</v>
      </c>
      <c r="B434" s="16">
        <v>45091.0</v>
      </c>
      <c r="C434" s="17">
        <v>45096.0</v>
      </c>
      <c r="D434" s="18">
        <v>11.0</v>
      </c>
      <c r="E434" s="19">
        <v>4.0</v>
      </c>
      <c r="F434" s="20">
        <v>18000.0</v>
      </c>
      <c r="G434" s="21" t="s">
        <v>2711</v>
      </c>
      <c r="H434" s="19">
        <v>5.0</v>
      </c>
      <c r="I434" s="21" t="s">
        <v>502</v>
      </c>
      <c r="J434" s="22" t="s">
        <v>2484</v>
      </c>
    </row>
    <row r="435">
      <c r="A435" s="15" t="s">
        <v>3145</v>
      </c>
      <c r="B435" s="16">
        <v>45091.0</v>
      </c>
      <c r="C435" s="17">
        <v>45095.0</v>
      </c>
      <c r="D435" s="18">
        <v>19.0</v>
      </c>
      <c r="E435" s="19">
        <v>6.0</v>
      </c>
      <c r="F435" s="20">
        <v>27700.0</v>
      </c>
      <c r="G435" s="21" t="s">
        <v>2711</v>
      </c>
      <c r="H435" s="19">
        <v>5.0</v>
      </c>
      <c r="I435" s="21" t="s">
        <v>2366</v>
      </c>
      <c r="J435" s="22" t="s">
        <v>2672</v>
      </c>
    </row>
    <row r="436">
      <c r="A436" s="15" t="s">
        <v>3146</v>
      </c>
      <c r="B436" s="16">
        <v>45091.0</v>
      </c>
      <c r="C436" s="17">
        <v>45094.0</v>
      </c>
      <c r="D436" s="18">
        <v>4.0</v>
      </c>
      <c r="E436" s="19">
        <v>2.0</v>
      </c>
      <c r="F436" s="20">
        <v>14000.0</v>
      </c>
      <c r="G436" s="21" t="s">
        <v>2711</v>
      </c>
      <c r="H436" s="19">
        <v>5.0</v>
      </c>
      <c r="I436" s="21" t="s">
        <v>334</v>
      </c>
      <c r="J436" s="22" t="s">
        <v>2647</v>
      </c>
    </row>
    <row r="437">
      <c r="A437" s="15" t="s">
        <v>3147</v>
      </c>
      <c r="B437" s="16">
        <v>45091.0</v>
      </c>
      <c r="C437" s="17">
        <v>45093.0</v>
      </c>
      <c r="D437" s="18">
        <v>6.0</v>
      </c>
      <c r="E437" s="19">
        <v>3.0</v>
      </c>
      <c r="F437" s="20">
        <v>16000.0</v>
      </c>
      <c r="G437" s="21" t="s">
        <v>2711</v>
      </c>
      <c r="H437" s="19">
        <v>4.0</v>
      </c>
      <c r="I437" s="21" t="s">
        <v>106</v>
      </c>
      <c r="J437" s="22" t="s">
        <v>2506</v>
      </c>
    </row>
    <row r="438">
      <c r="A438" s="15" t="s">
        <v>3148</v>
      </c>
      <c r="B438" s="16">
        <v>45091.0</v>
      </c>
      <c r="C438" s="17">
        <v>45096.0</v>
      </c>
      <c r="D438" s="18">
        <v>1.0</v>
      </c>
      <c r="E438" s="19">
        <v>2.0</v>
      </c>
      <c r="F438" s="20">
        <v>14000.0</v>
      </c>
      <c r="G438" s="21" t="s">
        <v>2711</v>
      </c>
      <c r="H438" s="19">
        <v>4.0</v>
      </c>
      <c r="I438" s="21" t="s">
        <v>466</v>
      </c>
      <c r="J438" s="22" t="s">
        <v>2567</v>
      </c>
    </row>
    <row r="439">
      <c r="A439" s="15" t="s">
        <v>3149</v>
      </c>
      <c r="B439" s="16">
        <v>45091.0</v>
      </c>
      <c r="C439" s="17">
        <v>45092.0</v>
      </c>
      <c r="D439" s="18">
        <v>9.0</v>
      </c>
      <c r="E439" s="19">
        <v>5.0</v>
      </c>
      <c r="F439" s="20">
        <v>20000.0</v>
      </c>
      <c r="G439" s="21" t="s">
        <v>2711</v>
      </c>
      <c r="H439" s="19">
        <v>4.0</v>
      </c>
      <c r="I439" s="21" t="s">
        <v>906</v>
      </c>
      <c r="J439" s="22" t="s">
        <v>2697</v>
      </c>
    </row>
    <row r="440">
      <c r="A440" s="15" t="s">
        <v>3150</v>
      </c>
      <c r="B440" s="16">
        <v>45091.0</v>
      </c>
      <c r="C440" s="17">
        <v>45092.0</v>
      </c>
      <c r="D440" s="18">
        <v>5.0</v>
      </c>
      <c r="E440" s="19">
        <v>2.0</v>
      </c>
      <c r="F440" s="20">
        <v>14000.0</v>
      </c>
      <c r="G440" s="21" t="s">
        <v>2711</v>
      </c>
      <c r="H440" s="19">
        <v>4.0</v>
      </c>
      <c r="I440" s="21" t="s">
        <v>142</v>
      </c>
      <c r="J440" s="22" t="s">
        <v>2490</v>
      </c>
    </row>
    <row r="441">
      <c r="A441" s="15" t="s">
        <v>3151</v>
      </c>
      <c r="B441" s="16">
        <v>45091.0</v>
      </c>
      <c r="C441" s="17">
        <v>45093.0</v>
      </c>
      <c r="D441" s="18">
        <v>14.0</v>
      </c>
      <c r="E441" s="19">
        <v>4.0</v>
      </c>
      <c r="F441" s="20">
        <v>18000.0</v>
      </c>
      <c r="G441" s="21" t="s">
        <v>2711</v>
      </c>
      <c r="H441" s="19">
        <v>5.0</v>
      </c>
      <c r="I441" s="21" t="s">
        <v>958</v>
      </c>
      <c r="J441" s="22" t="s">
        <v>2607</v>
      </c>
    </row>
    <row r="442">
      <c r="A442" s="15" t="s">
        <v>3152</v>
      </c>
      <c r="B442" s="16">
        <v>45091.0</v>
      </c>
      <c r="C442" s="17">
        <v>45095.0</v>
      </c>
      <c r="D442" s="18">
        <v>2.0</v>
      </c>
      <c r="E442" s="19">
        <v>3.0</v>
      </c>
      <c r="F442" s="20">
        <v>16000.0</v>
      </c>
      <c r="G442" s="21" t="s">
        <v>2711</v>
      </c>
      <c r="H442" s="19">
        <v>5.0</v>
      </c>
      <c r="I442" s="21" t="s">
        <v>1772</v>
      </c>
      <c r="J442" s="22" t="s">
        <v>2490</v>
      </c>
    </row>
    <row r="443">
      <c r="A443" s="15" t="s">
        <v>3153</v>
      </c>
      <c r="B443" s="16">
        <v>45091.0</v>
      </c>
      <c r="C443" s="17">
        <v>45093.0</v>
      </c>
      <c r="D443" s="18">
        <v>3.0</v>
      </c>
      <c r="E443" s="19">
        <v>3.0</v>
      </c>
      <c r="F443" s="20">
        <v>16000.0</v>
      </c>
      <c r="G443" s="21" t="s">
        <v>2711</v>
      </c>
      <c r="H443" s="19">
        <v>4.0</v>
      </c>
      <c r="I443" s="21" t="s">
        <v>1792</v>
      </c>
      <c r="J443" s="22" t="s">
        <v>2602</v>
      </c>
    </row>
    <row r="444">
      <c r="A444" s="15" t="s">
        <v>3154</v>
      </c>
      <c r="B444" s="16">
        <v>45091.0</v>
      </c>
      <c r="C444" s="17">
        <v>45095.0</v>
      </c>
      <c r="D444" s="18">
        <v>16.0</v>
      </c>
      <c r="E444" s="19">
        <v>8.0</v>
      </c>
      <c r="F444" s="20">
        <v>30800.0</v>
      </c>
      <c r="G444" s="21" t="s">
        <v>2711</v>
      </c>
      <c r="H444" s="19">
        <v>5.0</v>
      </c>
      <c r="I444" s="21" t="s">
        <v>2041</v>
      </c>
      <c r="J444" s="22" t="s">
        <v>2662</v>
      </c>
    </row>
    <row r="445">
      <c r="A445" s="15" t="s">
        <v>3155</v>
      </c>
      <c r="B445" s="16">
        <v>45091.0</v>
      </c>
      <c r="C445" s="17">
        <v>45095.0</v>
      </c>
      <c r="D445" s="18">
        <v>2.0</v>
      </c>
      <c r="E445" s="19">
        <v>2.0</v>
      </c>
      <c r="F445" s="20">
        <v>14000.0</v>
      </c>
      <c r="G445" s="21" t="s">
        <v>2711</v>
      </c>
      <c r="H445" s="19">
        <v>4.0</v>
      </c>
      <c r="I445" s="21" t="s">
        <v>1117</v>
      </c>
      <c r="J445" s="22" t="s">
        <v>2612</v>
      </c>
    </row>
    <row r="446">
      <c r="A446" s="15" t="s">
        <v>3156</v>
      </c>
      <c r="B446" s="16">
        <v>45091.0</v>
      </c>
      <c r="C446" s="17">
        <v>45096.0</v>
      </c>
      <c r="D446" s="18">
        <v>5.0</v>
      </c>
      <c r="E446" s="19">
        <v>3.0</v>
      </c>
      <c r="F446" s="20">
        <v>16000.0</v>
      </c>
      <c r="G446" s="21" t="s">
        <v>2711</v>
      </c>
      <c r="H446" s="19">
        <v>4.0</v>
      </c>
      <c r="I446" s="21" t="s">
        <v>18</v>
      </c>
      <c r="J446" s="22" t="s">
        <v>2617</v>
      </c>
    </row>
    <row r="447">
      <c r="A447" s="15" t="s">
        <v>3157</v>
      </c>
      <c r="B447" s="16">
        <v>45091.0</v>
      </c>
      <c r="C447" s="17">
        <v>45096.0</v>
      </c>
      <c r="D447" s="18">
        <v>16.0</v>
      </c>
      <c r="E447" s="19">
        <v>8.0</v>
      </c>
      <c r="F447" s="20">
        <v>30800.0</v>
      </c>
      <c r="G447" s="21" t="s">
        <v>2711</v>
      </c>
      <c r="H447" s="19">
        <v>4.0</v>
      </c>
      <c r="I447" s="21" t="s">
        <v>2346</v>
      </c>
      <c r="J447" s="22" t="s">
        <v>2667</v>
      </c>
    </row>
    <row r="448">
      <c r="A448" s="15" t="s">
        <v>3158</v>
      </c>
      <c r="B448" s="16">
        <v>45091.0</v>
      </c>
      <c r="C448" s="17">
        <v>45096.0</v>
      </c>
      <c r="D448" s="18">
        <v>3.0</v>
      </c>
      <c r="E448" s="19">
        <v>2.0</v>
      </c>
      <c r="F448" s="20">
        <v>14000.0</v>
      </c>
      <c r="G448" s="21" t="s">
        <v>2711</v>
      </c>
      <c r="H448" s="19">
        <v>5.0</v>
      </c>
      <c r="I448" s="21" t="s">
        <v>1882</v>
      </c>
      <c r="J448" s="22" t="s">
        <v>2652</v>
      </c>
    </row>
    <row r="449">
      <c r="A449" s="15" t="s">
        <v>3159</v>
      </c>
      <c r="B449" s="16">
        <v>45091.0</v>
      </c>
      <c r="C449" s="17">
        <v>45096.0</v>
      </c>
      <c r="D449" s="18">
        <v>5.0</v>
      </c>
      <c r="E449" s="19">
        <v>1.0</v>
      </c>
      <c r="F449" s="20">
        <v>12000.0</v>
      </c>
      <c r="G449" s="21" t="s">
        <v>2711</v>
      </c>
      <c r="H449" s="19">
        <v>4.0</v>
      </c>
      <c r="I449" s="21" t="s">
        <v>1053</v>
      </c>
      <c r="J449" s="22" t="s">
        <v>2617</v>
      </c>
    </row>
    <row r="450">
      <c r="A450" s="15" t="s">
        <v>3160</v>
      </c>
      <c r="B450" s="16">
        <v>45091.0</v>
      </c>
      <c r="C450" s="17">
        <v>45094.0</v>
      </c>
      <c r="D450" s="18">
        <v>1.0</v>
      </c>
      <c r="E450" s="19">
        <v>1.0</v>
      </c>
      <c r="F450" s="20">
        <v>12000.0</v>
      </c>
      <c r="G450" s="21" t="s">
        <v>2711</v>
      </c>
      <c r="H450" s="19">
        <v>5.0</v>
      </c>
      <c r="I450" s="21" t="s">
        <v>518</v>
      </c>
      <c r="J450" s="22" t="s">
        <v>2622</v>
      </c>
    </row>
    <row r="451">
      <c r="A451" s="15" t="s">
        <v>3161</v>
      </c>
      <c r="B451" s="16">
        <v>45091.0</v>
      </c>
      <c r="C451" s="17">
        <v>45096.0</v>
      </c>
      <c r="D451" s="18">
        <v>10.0</v>
      </c>
      <c r="E451" s="19">
        <v>10.0</v>
      </c>
      <c r="F451" s="20">
        <v>30000.0</v>
      </c>
      <c r="G451" s="21" t="s">
        <v>2711</v>
      </c>
      <c r="H451" s="19">
        <v>4.0</v>
      </c>
      <c r="I451" s="21" t="s">
        <v>621</v>
      </c>
      <c r="J451" s="22" t="s">
        <v>2662</v>
      </c>
      <c r="K451" s="27"/>
    </row>
    <row r="452">
      <c r="A452" s="15" t="s">
        <v>3162</v>
      </c>
      <c r="B452" s="16">
        <v>45091.0</v>
      </c>
      <c r="C452" s="17">
        <v>45094.0</v>
      </c>
      <c r="D452" s="18">
        <v>3.0</v>
      </c>
      <c r="E452" s="19">
        <v>2.0</v>
      </c>
      <c r="F452" s="20">
        <v>14000.0</v>
      </c>
      <c r="G452" s="21" t="s">
        <v>2711</v>
      </c>
      <c r="H452" s="19">
        <v>4.0</v>
      </c>
      <c r="I452" s="21" t="s">
        <v>162</v>
      </c>
      <c r="J452" s="22" t="s">
        <v>2692</v>
      </c>
      <c r="K452" s="27"/>
    </row>
    <row r="453">
      <c r="A453" s="15" t="s">
        <v>3163</v>
      </c>
      <c r="B453" s="16">
        <v>45091.0</v>
      </c>
      <c r="C453" s="17">
        <v>45092.0</v>
      </c>
      <c r="D453" s="18">
        <v>19.0</v>
      </c>
      <c r="E453" s="19">
        <v>10.0</v>
      </c>
      <c r="F453" s="20">
        <v>35700.0</v>
      </c>
      <c r="G453" s="21" t="s">
        <v>2711</v>
      </c>
      <c r="H453" s="19">
        <v>5.0</v>
      </c>
      <c r="I453" s="21" t="s">
        <v>1882</v>
      </c>
      <c r="J453" s="22" t="s">
        <v>2662</v>
      </c>
    </row>
    <row r="454">
      <c r="A454" s="15" t="s">
        <v>3164</v>
      </c>
      <c r="B454" s="16">
        <v>45091.0</v>
      </c>
      <c r="C454" s="17">
        <v>45094.0</v>
      </c>
      <c r="D454" s="18">
        <v>12.0</v>
      </c>
      <c r="E454" s="19">
        <v>8.0</v>
      </c>
      <c r="F454" s="20">
        <v>26000.0</v>
      </c>
      <c r="G454" s="21" t="s">
        <v>2711</v>
      </c>
      <c r="H454" s="19">
        <v>5.0</v>
      </c>
      <c r="I454" s="21" t="s">
        <v>2025</v>
      </c>
      <c r="J454" s="22" t="s">
        <v>2537</v>
      </c>
    </row>
    <row r="455">
      <c r="A455" s="15" t="s">
        <v>3165</v>
      </c>
      <c r="B455" s="16">
        <v>45091.0</v>
      </c>
      <c r="C455" s="17">
        <v>45096.0</v>
      </c>
      <c r="D455" s="18">
        <v>19.0</v>
      </c>
      <c r="E455" s="19">
        <v>7.0</v>
      </c>
      <c r="F455" s="20">
        <v>29700.0</v>
      </c>
      <c r="G455" s="21" t="s">
        <v>2711</v>
      </c>
      <c r="H455" s="19">
        <v>5.0</v>
      </c>
      <c r="I455" s="21" t="s">
        <v>1093</v>
      </c>
      <c r="J455" s="22" t="s">
        <v>2697</v>
      </c>
    </row>
    <row r="456">
      <c r="A456" s="15" t="s">
        <v>3166</v>
      </c>
      <c r="B456" s="16">
        <v>45091.0</v>
      </c>
      <c r="C456" s="17">
        <v>45093.0</v>
      </c>
      <c r="D456" s="18">
        <v>18.0</v>
      </c>
      <c r="E456" s="19">
        <v>6.0</v>
      </c>
      <c r="F456" s="20">
        <v>27400.0</v>
      </c>
      <c r="G456" s="21" t="s">
        <v>2711</v>
      </c>
      <c r="H456" s="19">
        <v>4.0</v>
      </c>
      <c r="I456" s="21" t="s">
        <v>692</v>
      </c>
      <c r="J456" s="22" t="s">
        <v>2637</v>
      </c>
    </row>
    <row r="457">
      <c r="A457" s="15" t="s">
        <v>3167</v>
      </c>
      <c r="B457" s="16">
        <v>45091.0</v>
      </c>
      <c r="C457" s="17">
        <v>45095.0</v>
      </c>
      <c r="D457" s="18">
        <v>2.0</v>
      </c>
      <c r="E457" s="19">
        <v>2.0</v>
      </c>
      <c r="F457" s="20">
        <v>14000.0</v>
      </c>
      <c r="G457" s="21" t="s">
        <v>2711</v>
      </c>
      <c r="H457" s="19">
        <v>5.0</v>
      </c>
      <c r="I457" s="21" t="s">
        <v>126</v>
      </c>
      <c r="J457" s="22" t="s">
        <v>2647</v>
      </c>
    </row>
    <row r="458">
      <c r="A458" s="15" t="s">
        <v>3168</v>
      </c>
      <c r="B458" s="16">
        <v>45091.0</v>
      </c>
      <c r="C458" s="17">
        <v>45093.0</v>
      </c>
      <c r="D458" s="18">
        <v>11.0</v>
      </c>
      <c r="E458" s="19">
        <v>6.0</v>
      </c>
      <c r="F458" s="20">
        <v>22000.0</v>
      </c>
      <c r="G458" s="21" t="s">
        <v>2711</v>
      </c>
      <c r="H458" s="19">
        <v>5.0</v>
      </c>
      <c r="I458" s="21" t="s">
        <v>1240</v>
      </c>
      <c r="J458" s="22" t="s">
        <v>2607</v>
      </c>
    </row>
    <row r="459">
      <c r="A459" s="15" t="s">
        <v>3169</v>
      </c>
      <c r="B459" s="16">
        <v>45091.0</v>
      </c>
      <c r="C459" s="17">
        <v>45092.0</v>
      </c>
      <c r="D459" s="18">
        <v>4.0</v>
      </c>
      <c r="E459" s="19">
        <v>3.0</v>
      </c>
      <c r="F459" s="20">
        <v>16000.0</v>
      </c>
      <c r="G459" s="21" t="s">
        <v>2711</v>
      </c>
      <c r="H459" s="19">
        <v>5.0</v>
      </c>
      <c r="I459" s="21" t="s">
        <v>537</v>
      </c>
      <c r="J459" s="22" t="s">
        <v>2582</v>
      </c>
    </row>
    <row r="460">
      <c r="A460" s="15" t="s">
        <v>3170</v>
      </c>
      <c r="B460" s="16">
        <v>45091.0</v>
      </c>
      <c r="C460" s="17">
        <v>45094.0</v>
      </c>
      <c r="D460" s="18">
        <v>7.0</v>
      </c>
      <c r="E460" s="19">
        <v>10.0</v>
      </c>
      <c r="F460" s="20">
        <v>30000.0</v>
      </c>
      <c r="G460" s="21" t="s">
        <v>2711</v>
      </c>
      <c r="H460" s="19">
        <v>4.0</v>
      </c>
      <c r="I460" s="21" t="s">
        <v>2445</v>
      </c>
      <c r="J460" s="22" t="s">
        <v>2607</v>
      </c>
    </row>
    <row r="461">
      <c r="A461" s="15" t="s">
        <v>3171</v>
      </c>
      <c r="B461" s="16">
        <v>45091.0</v>
      </c>
      <c r="C461" s="17">
        <v>45096.0</v>
      </c>
      <c r="D461" s="18">
        <v>15.0</v>
      </c>
      <c r="E461" s="19">
        <v>4.0</v>
      </c>
      <c r="F461" s="20">
        <v>22500.0</v>
      </c>
      <c r="G461" s="21" t="s">
        <v>2711</v>
      </c>
      <c r="H461" s="19">
        <v>4.0</v>
      </c>
      <c r="I461" s="21" t="s">
        <v>1172</v>
      </c>
      <c r="J461" s="22" t="s">
        <v>2501</v>
      </c>
    </row>
    <row r="462">
      <c r="A462" s="15" t="s">
        <v>3172</v>
      </c>
      <c r="B462" s="16">
        <v>45091.0</v>
      </c>
      <c r="C462" s="17">
        <v>45093.0</v>
      </c>
      <c r="D462" s="18">
        <v>5.0</v>
      </c>
      <c r="E462" s="19">
        <v>2.0</v>
      </c>
      <c r="F462" s="20">
        <v>14000.0</v>
      </c>
      <c r="G462" s="21" t="s">
        <v>2711</v>
      </c>
      <c r="H462" s="19">
        <v>4.0</v>
      </c>
      <c r="I462" s="21" t="s">
        <v>2437</v>
      </c>
      <c r="J462" s="22" t="s">
        <v>2547</v>
      </c>
    </row>
    <row r="463">
      <c r="A463" s="15" t="s">
        <v>3173</v>
      </c>
      <c r="B463" s="16">
        <v>45091.0</v>
      </c>
      <c r="C463" s="17">
        <v>45092.0</v>
      </c>
      <c r="D463" s="18">
        <v>5.0</v>
      </c>
      <c r="E463" s="19">
        <v>1.0</v>
      </c>
      <c r="F463" s="20">
        <v>12000.0</v>
      </c>
      <c r="G463" s="21" t="s">
        <v>2711</v>
      </c>
      <c r="H463" s="19">
        <v>5.0</v>
      </c>
      <c r="I463" s="21" t="s">
        <v>771</v>
      </c>
      <c r="J463" s="22" t="s">
        <v>2597</v>
      </c>
    </row>
    <row r="464">
      <c r="A464" s="15" t="s">
        <v>3174</v>
      </c>
      <c r="B464" s="17">
        <v>45092.0</v>
      </c>
      <c r="C464" s="17">
        <f>B464 + RANDBETWEEN(1,5)</f>
        <v>45096</v>
      </c>
      <c r="D464" s="18">
        <v>3.0</v>
      </c>
      <c r="E464" s="19">
        <v>1.0</v>
      </c>
      <c r="F464" s="20">
        <v>12000.0</v>
      </c>
      <c r="G464" s="21" t="s">
        <v>2711</v>
      </c>
      <c r="H464" s="19">
        <v>4.0</v>
      </c>
      <c r="I464" s="21" t="s">
        <v>2294</v>
      </c>
      <c r="J464" s="22" t="s">
        <v>2506</v>
      </c>
    </row>
    <row r="465">
      <c r="A465" s="15" t="s">
        <v>3175</v>
      </c>
      <c r="B465" s="16">
        <v>45092.0</v>
      </c>
      <c r="C465" s="17">
        <v>45097.0</v>
      </c>
      <c r="D465" s="18">
        <v>5.0</v>
      </c>
      <c r="E465" s="19">
        <v>3.0</v>
      </c>
      <c r="F465" s="20">
        <v>16000.0</v>
      </c>
      <c r="G465" s="21" t="s">
        <v>2711</v>
      </c>
      <c r="H465" s="19">
        <v>4.0</v>
      </c>
      <c r="I465" s="21" t="s">
        <v>86</v>
      </c>
      <c r="J465" s="22" t="s">
        <v>2687</v>
      </c>
    </row>
    <row r="466">
      <c r="A466" s="15" t="s">
        <v>3176</v>
      </c>
      <c r="B466" s="16">
        <v>45092.0</v>
      </c>
      <c r="C466" s="17">
        <v>45097.0</v>
      </c>
      <c r="D466" s="18">
        <v>5.0</v>
      </c>
      <c r="E466" s="19">
        <v>3.0</v>
      </c>
      <c r="F466" s="20">
        <v>16000.0</v>
      </c>
      <c r="G466" s="21" t="s">
        <v>2711</v>
      </c>
      <c r="H466" s="19">
        <v>4.0</v>
      </c>
      <c r="I466" s="21" t="s">
        <v>1736</v>
      </c>
      <c r="J466" s="22" t="s">
        <v>2652</v>
      </c>
    </row>
    <row r="467">
      <c r="A467" s="15" t="s">
        <v>3177</v>
      </c>
      <c r="B467" s="16">
        <v>45092.0</v>
      </c>
      <c r="C467" s="17">
        <v>45093.0</v>
      </c>
      <c r="D467" s="18">
        <v>8.0</v>
      </c>
      <c r="E467" s="19">
        <v>4.0</v>
      </c>
      <c r="F467" s="20">
        <v>18000.0</v>
      </c>
      <c r="G467" s="21" t="s">
        <v>2711</v>
      </c>
      <c r="H467" s="19">
        <v>4.0</v>
      </c>
      <c r="I467" s="21" t="s">
        <v>696</v>
      </c>
      <c r="J467" s="22" t="s">
        <v>2537</v>
      </c>
    </row>
    <row r="468">
      <c r="A468" s="15" t="s">
        <v>3178</v>
      </c>
      <c r="B468" s="16">
        <v>45092.0</v>
      </c>
      <c r="C468" s="17">
        <v>45095.0</v>
      </c>
      <c r="D468" s="18">
        <v>6.0</v>
      </c>
      <c r="E468" s="19">
        <v>2.0</v>
      </c>
      <c r="F468" s="20">
        <v>14000.0</v>
      </c>
      <c r="G468" s="21" t="s">
        <v>2711</v>
      </c>
      <c r="H468" s="19">
        <v>4.0</v>
      </c>
      <c r="I468" s="21" t="s">
        <v>2401</v>
      </c>
      <c r="J468" s="22" t="s">
        <v>2632</v>
      </c>
    </row>
    <row r="469">
      <c r="A469" s="15" t="s">
        <v>3179</v>
      </c>
      <c r="B469" s="16">
        <v>45092.0</v>
      </c>
      <c r="C469" s="17">
        <v>45094.0</v>
      </c>
      <c r="D469" s="18">
        <v>17.0</v>
      </c>
      <c r="E469" s="19">
        <v>6.0</v>
      </c>
      <c r="F469" s="20">
        <v>27100.0</v>
      </c>
      <c r="G469" s="21" t="s">
        <v>2711</v>
      </c>
      <c r="H469" s="19">
        <v>4.0</v>
      </c>
      <c r="I469" s="21" t="s">
        <v>577</v>
      </c>
      <c r="J469" s="22" t="s">
        <v>2627</v>
      </c>
    </row>
    <row r="470">
      <c r="A470" s="15" t="s">
        <v>3180</v>
      </c>
      <c r="B470" s="16">
        <v>45092.0</v>
      </c>
      <c r="C470" s="17">
        <v>45096.0</v>
      </c>
      <c r="D470" s="18">
        <v>15.0</v>
      </c>
      <c r="E470" s="19">
        <v>10.0</v>
      </c>
      <c r="F470" s="20">
        <v>34500.0</v>
      </c>
      <c r="G470" s="21" t="s">
        <v>2711</v>
      </c>
      <c r="H470" s="19">
        <v>4.0</v>
      </c>
      <c r="I470" s="21" t="s">
        <v>2279</v>
      </c>
      <c r="J470" s="22" t="s">
        <v>2627</v>
      </c>
    </row>
    <row r="471">
      <c r="A471" s="15" t="s">
        <v>3181</v>
      </c>
      <c r="B471" s="16">
        <v>45092.0</v>
      </c>
      <c r="C471" s="17">
        <v>45096.0</v>
      </c>
      <c r="D471" s="18">
        <v>60.0</v>
      </c>
      <c r="E471" s="19">
        <v>27.0</v>
      </c>
      <c r="F471" s="20">
        <v>82000.0</v>
      </c>
      <c r="G471" s="21" t="s">
        <v>2711</v>
      </c>
      <c r="H471" s="19">
        <v>4.0</v>
      </c>
      <c r="I471" s="21" t="s">
        <v>1422</v>
      </c>
      <c r="J471" s="26" t="s">
        <v>2657</v>
      </c>
    </row>
    <row r="472">
      <c r="A472" s="15" t="s">
        <v>3182</v>
      </c>
      <c r="B472" s="16">
        <v>45092.0</v>
      </c>
      <c r="C472" s="17">
        <v>45093.0</v>
      </c>
      <c r="D472" s="18">
        <v>2.0</v>
      </c>
      <c r="E472" s="19">
        <v>2.0</v>
      </c>
      <c r="F472" s="20">
        <v>14000.0</v>
      </c>
      <c r="G472" s="21" t="s">
        <v>2711</v>
      </c>
      <c r="H472" s="19">
        <v>5.0</v>
      </c>
      <c r="I472" s="21" t="s">
        <v>2425</v>
      </c>
      <c r="J472" s="22" t="s">
        <v>2557</v>
      </c>
    </row>
    <row r="473">
      <c r="A473" s="15" t="s">
        <v>3183</v>
      </c>
      <c r="B473" s="16">
        <v>45092.0</v>
      </c>
      <c r="C473" s="17">
        <v>45094.0</v>
      </c>
      <c r="D473" s="18">
        <v>73.0</v>
      </c>
      <c r="E473" s="19">
        <v>17.0</v>
      </c>
      <c r="F473" s="20">
        <v>65900.0</v>
      </c>
      <c r="G473" s="21" t="s">
        <v>2711</v>
      </c>
      <c r="H473" s="19">
        <v>5.0</v>
      </c>
      <c r="I473" s="21" t="s">
        <v>672</v>
      </c>
      <c r="J473" s="26" t="s">
        <v>2657</v>
      </c>
    </row>
    <row r="474">
      <c r="A474" s="15" t="s">
        <v>3184</v>
      </c>
      <c r="B474" s="16">
        <v>45092.0</v>
      </c>
      <c r="C474" s="17">
        <v>45095.0</v>
      </c>
      <c r="D474" s="18">
        <v>4.0</v>
      </c>
      <c r="E474" s="19">
        <v>2.0</v>
      </c>
      <c r="F474" s="20">
        <v>14000.0</v>
      </c>
      <c r="G474" s="21" t="s">
        <v>2711</v>
      </c>
      <c r="H474" s="19">
        <v>4.0</v>
      </c>
      <c r="I474" s="21" t="s">
        <v>450</v>
      </c>
      <c r="J474" s="22" t="s">
        <v>2632</v>
      </c>
    </row>
    <row r="475">
      <c r="A475" s="15" t="s">
        <v>3185</v>
      </c>
      <c r="B475" s="16">
        <v>45092.0</v>
      </c>
      <c r="C475" s="17">
        <v>45097.0</v>
      </c>
      <c r="D475" s="18">
        <v>2.0</v>
      </c>
      <c r="E475" s="19">
        <v>3.0</v>
      </c>
      <c r="F475" s="20">
        <v>16000.0</v>
      </c>
      <c r="G475" s="21" t="s">
        <v>2711</v>
      </c>
      <c r="H475" s="19">
        <v>5.0</v>
      </c>
      <c r="I475" s="21" t="s">
        <v>1858</v>
      </c>
      <c r="J475" s="22" t="s">
        <v>2692</v>
      </c>
    </row>
    <row r="476">
      <c r="A476" s="15" t="s">
        <v>3186</v>
      </c>
      <c r="B476" s="16">
        <v>45092.0</v>
      </c>
      <c r="C476" s="17">
        <v>45095.0</v>
      </c>
      <c r="D476" s="18">
        <v>1.0</v>
      </c>
      <c r="E476" s="19">
        <v>1.0</v>
      </c>
      <c r="F476" s="20">
        <v>12000.0</v>
      </c>
      <c r="G476" s="21" t="s">
        <v>2711</v>
      </c>
      <c r="H476" s="19">
        <v>5.0</v>
      </c>
      <c r="I476" s="21" t="s">
        <v>1348</v>
      </c>
      <c r="J476" s="22" t="s">
        <v>2652</v>
      </c>
    </row>
    <row r="477">
      <c r="A477" s="15" t="s">
        <v>3187</v>
      </c>
      <c r="B477" s="16">
        <v>45092.0</v>
      </c>
      <c r="C477" s="17">
        <v>45097.0</v>
      </c>
      <c r="D477" s="18">
        <v>5.0</v>
      </c>
      <c r="E477" s="19">
        <v>3.0</v>
      </c>
      <c r="F477" s="20">
        <v>16000.0</v>
      </c>
      <c r="G477" s="21" t="s">
        <v>2711</v>
      </c>
      <c r="H477" s="19">
        <v>5.0</v>
      </c>
      <c r="I477" s="21" t="s">
        <v>526</v>
      </c>
      <c r="J477" s="22" t="s">
        <v>2622</v>
      </c>
    </row>
    <row r="478">
      <c r="A478" s="15" t="s">
        <v>3188</v>
      </c>
      <c r="B478" s="16">
        <v>45092.0</v>
      </c>
      <c r="C478" s="17">
        <v>45095.0</v>
      </c>
      <c r="D478" s="18">
        <v>3.0</v>
      </c>
      <c r="E478" s="19">
        <v>2.0</v>
      </c>
      <c r="F478" s="20">
        <v>14000.0</v>
      </c>
      <c r="G478" s="21" t="s">
        <v>2711</v>
      </c>
      <c r="H478" s="19">
        <v>5.0</v>
      </c>
      <c r="I478" s="21" t="s">
        <v>146</v>
      </c>
      <c r="J478" s="22" t="s">
        <v>2612</v>
      </c>
    </row>
    <row r="479">
      <c r="A479" s="15" t="s">
        <v>3189</v>
      </c>
      <c r="B479" s="16">
        <v>45092.0</v>
      </c>
      <c r="C479" s="17">
        <v>45096.0</v>
      </c>
      <c r="D479" s="18">
        <v>43.0</v>
      </c>
      <c r="E479" s="19">
        <v>14.0</v>
      </c>
      <c r="F479" s="20">
        <v>50900.0</v>
      </c>
      <c r="G479" s="21" t="s">
        <v>2711</v>
      </c>
      <c r="H479" s="19">
        <v>5.0</v>
      </c>
      <c r="I479" s="21" t="s">
        <v>254</v>
      </c>
      <c r="J479" s="22" t="s">
        <v>2552</v>
      </c>
    </row>
    <row r="480">
      <c r="A480" s="15" t="s">
        <v>3190</v>
      </c>
      <c r="B480" s="16">
        <v>45092.0</v>
      </c>
      <c r="C480" s="17">
        <v>45093.0</v>
      </c>
      <c r="D480" s="18">
        <v>7.0</v>
      </c>
      <c r="E480" s="19">
        <v>6.0</v>
      </c>
      <c r="F480" s="20">
        <v>22000.0</v>
      </c>
      <c r="G480" s="21" t="s">
        <v>2711</v>
      </c>
      <c r="H480" s="19">
        <v>4.0</v>
      </c>
      <c r="I480" s="21" t="s">
        <v>2108</v>
      </c>
      <c r="J480" s="22" t="s">
        <v>2662</v>
      </c>
    </row>
    <row r="481">
      <c r="A481" s="15" t="s">
        <v>3191</v>
      </c>
      <c r="B481" s="16">
        <v>45092.0</v>
      </c>
      <c r="C481" s="17">
        <v>45096.0</v>
      </c>
      <c r="D481" s="18">
        <v>59.0</v>
      </c>
      <c r="E481" s="19">
        <v>20.0</v>
      </c>
      <c r="F481" s="20">
        <v>67700.0</v>
      </c>
      <c r="G481" s="21" t="s">
        <v>2711</v>
      </c>
      <c r="H481" s="19">
        <v>4.0</v>
      </c>
      <c r="I481" s="21" t="s">
        <v>1145</v>
      </c>
      <c r="J481" s="26" t="s">
        <v>2657</v>
      </c>
    </row>
    <row r="482">
      <c r="A482" s="15" t="s">
        <v>3192</v>
      </c>
      <c r="B482" s="16">
        <v>45092.0</v>
      </c>
      <c r="C482" s="17">
        <v>45093.0</v>
      </c>
      <c r="D482" s="18">
        <v>58.0</v>
      </c>
      <c r="E482" s="19">
        <v>16.0</v>
      </c>
      <c r="F482" s="20">
        <v>59400.0</v>
      </c>
      <c r="G482" s="21" t="s">
        <v>2711</v>
      </c>
      <c r="H482" s="19">
        <v>4.0</v>
      </c>
      <c r="I482" s="21" t="s">
        <v>2271</v>
      </c>
      <c r="J482" s="22" t="s">
        <v>2552</v>
      </c>
    </row>
    <row r="483">
      <c r="A483" s="15" t="s">
        <v>3193</v>
      </c>
      <c r="B483" s="16">
        <v>45092.0</v>
      </c>
      <c r="C483" s="17">
        <v>45094.0</v>
      </c>
      <c r="D483" s="18">
        <v>21.0</v>
      </c>
      <c r="E483" s="19">
        <v>24.0</v>
      </c>
      <c r="F483" s="20">
        <v>64300.0</v>
      </c>
      <c r="G483" s="21" t="s">
        <v>2711</v>
      </c>
      <c r="H483" s="19">
        <v>5.0</v>
      </c>
      <c r="I483" s="21" t="s">
        <v>1772</v>
      </c>
      <c r="J483" s="22" t="s">
        <v>2552</v>
      </c>
    </row>
    <row r="484">
      <c r="A484" s="15" t="s">
        <v>3194</v>
      </c>
      <c r="B484" s="16">
        <v>45092.0</v>
      </c>
      <c r="C484" s="17">
        <v>45097.0</v>
      </c>
      <c r="D484" s="18">
        <v>7.0</v>
      </c>
      <c r="E484" s="19">
        <v>9.0</v>
      </c>
      <c r="F484" s="20">
        <v>28000.0</v>
      </c>
      <c r="G484" s="21" t="s">
        <v>2711</v>
      </c>
      <c r="H484" s="19">
        <v>4.0</v>
      </c>
      <c r="I484" s="21" t="s">
        <v>306</v>
      </c>
      <c r="J484" s="22" t="s">
        <v>2607</v>
      </c>
    </row>
    <row r="485">
      <c r="A485" s="15" t="s">
        <v>3195</v>
      </c>
      <c r="B485" s="16">
        <v>45092.0</v>
      </c>
      <c r="C485" s="17">
        <v>45095.0</v>
      </c>
      <c r="D485" s="18">
        <v>65.0</v>
      </c>
      <c r="E485" s="19">
        <v>16.0</v>
      </c>
      <c r="F485" s="20">
        <v>61500.0</v>
      </c>
      <c r="G485" s="21" t="s">
        <v>2711</v>
      </c>
      <c r="H485" s="19">
        <v>5.0</v>
      </c>
      <c r="I485" s="21" t="s">
        <v>1192</v>
      </c>
      <c r="J485" s="22" t="s">
        <v>2552</v>
      </c>
    </row>
    <row r="486">
      <c r="A486" s="15" t="s">
        <v>3196</v>
      </c>
      <c r="B486" s="16">
        <v>45092.0</v>
      </c>
      <c r="C486" s="17">
        <v>45097.0</v>
      </c>
      <c r="D486" s="18">
        <v>70.0</v>
      </c>
      <c r="E486" s="19">
        <v>20.0</v>
      </c>
      <c r="F486" s="20">
        <v>71000.0</v>
      </c>
      <c r="G486" s="21" t="s">
        <v>2711</v>
      </c>
      <c r="H486" s="19">
        <v>5.0</v>
      </c>
      <c r="I486" s="21" t="s">
        <v>262</v>
      </c>
      <c r="J486" s="26" t="s">
        <v>2657</v>
      </c>
    </row>
    <row r="487">
      <c r="A487" s="15" t="s">
        <v>3197</v>
      </c>
      <c r="B487" s="16">
        <v>45092.0</v>
      </c>
      <c r="C487" s="17">
        <v>45093.0</v>
      </c>
      <c r="D487" s="18">
        <v>8.0</v>
      </c>
      <c r="E487" s="19">
        <v>4.0</v>
      </c>
      <c r="F487" s="20">
        <v>18000.0</v>
      </c>
      <c r="G487" s="21" t="s">
        <v>2711</v>
      </c>
      <c r="H487" s="19">
        <v>5.0</v>
      </c>
      <c r="I487" s="21" t="s">
        <v>1842</v>
      </c>
      <c r="J487" s="22" t="s">
        <v>2587</v>
      </c>
    </row>
    <row r="488">
      <c r="A488" s="15" t="s">
        <v>3198</v>
      </c>
      <c r="B488" s="16">
        <v>45092.0</v>
      </c>
      <c r="C488" s="17">
        <v>45093.0</v>
      </c>
      <c r="D488" s="18">
        <v>63.0</v>
      </c>
      <c r="E488" s="19">
        <v>21.0</v>
      </c>
      <c r="F488" s="20">
        <v>70900.0</v>
      </c>
      <c r="G488" s="21" t="s">
        <v>2711</v>
      </c>
      <c r="H488" s="19">
        <v>4.0</v>
      </c>
      <c r="I488" s="21" t="s">
        <v>174</v>
      </c>
      <c r="J488" s="22" t="s">
        <v>2552</v>
      </c>
    </row>
    <row r="489">
      <c r="A489" s="15" t="s">
        <v>3199</v>
      </c>
      <c r="B489" s="16">
        <v>45092.0</v>
      </c>
      <c r="C489" s="17">
        <v>45093.0</v>
      </c>
      <c r="D489" s="18">
        <v>16.0</v>
      </c>
      <c r="E489" s="19">
        <v>8.0</v>
      </c>
      <c r="F489" s="20">
        <v>30800.0</v>
      </c>
      <c r="G489" s="21" t="s">
        <v>2711</v>
      </c>
      <c r="H489" s="19">
        <v>5.0</v>
      </c>
      <c r="I489" s="21" t="s">
        <v>1336</v>
      </c>
      <c r="J489" s="22" t="s">
        <v>2667</v>
      </c>
    </row>
    <row r="490">
      <c r="A490" s="15" t="s">
        <v>3200</v>
      </c>
      <c r="B490" s="16">
        <v>45092.0</v>
      </c>
      <c r="C490" s="17">
        <v>45096.0</v>
      </c>
      <c r="D490" s="18">
        <v>72.0</v>
      </c>
      <c r="E490" s="19">
        <v>17.0</v>
      </c>
      <c r="F490" s="20">
        <v>65600.0</v>
      </c>
      <c r="G490" s="21" t="s">
        <v>2711</v>
      </c>
      <c r="H490" s="19">
        <v>4.0</v>
      </c>
      <c r="I490" s="21" t="s">
        <v>1858</v>
      </c>
      <c r="J490" s="22" t="s">
        <v>2552</v>
      </c>
    </row>
    <row r="491">
      <c r="A491" s="15" t="s">
        <v>3201</v>
      </c>
      <c r="B491" s="16">
        <v>45092.0</v>
      </c>
      <c r="C491" s="17">
        <v>45096.0</v>
      </c>
      <c r="D491" s="18">
        <v>4.0</v>
      </c>
      <c r="E491" s="19">
        <v>3.0</v>
      </c>
      <c r="F491" s="20">
        <v>16000.0</v>
      </c>
      <c r="G491" s="21" t="s">
        <v>2711</v>
      </c>
      <c r="H491" s="19">
        <v>4.0</v>
      </c>
      <c r="I491" s="21" t="s">
        <v>1049</v>
      </c>
      <c r="J491" s="22" t="s">
        <v>2622</v>
      </c>
    </row>
    <row r="492">
      <c r="A492" s="15" t="s">
        <v>3202</v>
      </c>
      <c r="B492" s="16">
        <v>45092.0</v>
      </c>
      <c r="C492" s="17">
        <v>45095.0</v>
      </c>
      <c r="D492" s="18">
        <v>1.0</v>
      </c>
      <c r="E492" s="19">
        <v>2.0</v>
      </c>
      <c r="F492" s="20">
        <v>14000.0</v>
      </c>
      <c r="G492" s="21" t="s">
        <v>2711</v>
      </c>
      <c r="H492" s="19">
        <v>5.0</v>
      </c>
      <c r="I492" s="21" t="s">
        <v>298</v>
      </c>
      <c r="J492" s="22" t="s">
        <v>2622</v>
      </c>
    </row>
    <row r="493">
      <c r="A493" s="15" t="s">
        <v>3203</v>
      </c>
      <c r="B493" s="16">
        <v>45092.0</v>
      </c>
      <c r="C493" s="17">
        <v>45096.0</v>
      </c>
      <c r="D493" s="18">
        <v>4.0</v>
      </c>
      <c r="E493" s="19">
        <v>2.0</v>
      </c>
      <c r="F493" s="20">
        <v>14000.0</v>
      </c>
      <c r="G493" s="21" t="s">
        <v>2711</v>
      </c>
      <c r="H493" s="19">
        <v>4.0</v>
      </c>
      <c r="I493" s="21" t="s">
        <v>1926</v>
      </c>
      <c r="J493" s="22" t="s">
        <v>2562</v>
      </c>
    </row>
    <row r="494">
      <c r="A494" s="15" t="s">
        <v>3204</v>
      </c>
      <c r="B494" s="16">
        <v>45092.0</v>
      </c>
      <c r="C494" s="17">
        <v>45095.0</v>
      </c>
      <c r="D494" s="18">
        <v>2.0</v>
      </c>
      <c r="E494" s="19">
        <v>3.0</v>
      </c>
      <c r="F494" s="20">
        <v>16000.0</v>
      </c>
      <c r="G494" s="21" t="s">
        <v>2711</v>
      </c>
      <c r="H494" s="19">
        <v>5.0</v>
      </c>
      <c r="I494" s="21" t="s">
        <v>506</v>
      </c>
      <c r="J494" s="22" t="s">
        <v>2652</v>
      </c>
    </row>
    <row r="495">
      <c r="A495" s="15" t="s">
        <v>3205</v>
      </c>
      <c r="B495" s="16">
        <v>45092.0</v>
      </c>
      <c r="C495" s="17">
        <v>45093.0</v>
      </c>
      <c r="D495" s="18">
        <v>17.0</v>
      </c>
      <c r="E495" s="19">
        <v>6.0</v>
      </c>
      <c r="F495" s="20">
        <v>27100.0</v>
      </c>
      <c r="G495" s="21" t="s">
        <v>2711</v>
      </c>
      <c r="H495" s="19">
        <v>4.0</v>
      </c>
      <c r="I495" s="21" t="s">
        <v>1826</v>
      </c>
      <c r="J495" s="22" t="s">
        <v>2501</v>
      </c>
    </row>
    <row r="496">
      <c r="A496" s="15" t="s">
        <v>3206</v>
      </c>
      <c r="B496" s="16">
        <v>45092.0</v>
      </c>
      <c r="C496" s="17">
        <v>45097.0</v>
      </c>
      <c r="D496" s="18">
        <v>72.0</v>
      </c>
      <c r="E496" s="19">
        <v>18.0</v>
      </c>
      <c r="F496" s="20">
        <v>67600.0</v>
      </c>
      <c r="G496" s="21" t="s">
        <v>2711</v>
      </c>
      <c r="H496" s="19">
        <v>5.0</v>
      </c>
      <c r="I496" s="21" t="s">
        <v>708</v>
      </c>
      <c r="J496" s="22" t="s">
        <v>2657</v>
      </c>
    </row>
    <row r="497">
      <c r="A497" s="15" t="s">
        <v>3207</v>
      </c>
      <c r="B497" s="16">
        <v>45092.0</v>
      </c>
      <c r="C497" s="17">
        <v>45097.0</v>
      </c>
      <c r="D497" s="18">
        <v>14.0</v>
      </c>
      <c r="E497" s="19">
        <v>8.0</v>
      </c>
      <c r="F497" s="20">
        <v>26000.0</v>
      </c>
      <c r="G497" s="21" t="s">
        <v>2711</v>
      </c>
      <c r="H497" s="19">
        <v>5.0</v>
      </c>
      <c r="I497" s="21" t="s">
        <v>854</v>
      </c>
      <c r="J497" s="22" t="s">
        <v>2662</v>
      </c>
    </row>
    <row r="498">
      <c r="A498" s="15" t="s">
        <v>3208</v>
      </c>
      <c r="B498" s="16">
        <v>45092.0</v>
      </c>
      <c r="C498" s="17">
        <v>45097.0</v>
      </c>
      <c r="D498" s="18">
        <v>4.0</v>
      </c>
      <c r="E498" s="19">
        <v>1.0</v>
      </c>
      <c r="F498" s="20">
        <v>12000.0</v>
      </c>
      <c r="G498" s="21" t="s">
        <v>2711</v>
      </c>
      <c r="H498" s="19">
        <v>4.0</v>
      </c>
      <c r="I498" s="21" t="s">
        <v>2057</v>
      </c>
      <c r="J498" s="22" t="s">
        <v>2617</v>
      </c>
    </row>
    <row r="499">
      <c r="A499" s="15" t="s">
        <v>3209</v>
      </c>
      <c r="B499" s="16">
        <v>45092.0</v>
      </c>
      <c r="C499" s="17">
        <v>45096.0</v>
      </c>
      <c r="D499" s="18">
        <v>5.0</v>
      </c>
      <c r="E499" s="19">
        <v>3.0</v>
      </c>
      <c r="F499" s="20">
        <v>16000.0</v>
      </c>
      <c r="G499" s="21" t="s">
        <v>2711</v>
      </c>
      <c r="H499" s="19">
        <v>4.0</v>
      </c>
      <c r="I499" s="21" t="s">
        <v>783</v>
      </c>
      <c r="J499" s="22" t="s">
        <v>2532</v>
      </c>
    </row>
    <row r="500">
      <c r="A500" s="15" t="s">
        <v>3210</v>
      </c>
      <c r="B500" s="16">
        <v>45092.0</v>
      </c>
      <c r="C500" s="17">
        <v>45095.0</v>
      </c>
      <c r="D500" s="18">
        <v>6.0</v>
      </c>
      <c r="E500" s="19">
        <v>1.0</v>
      </c>
      <c r="F500" s="20">
        <v>12000.0</v>
      </c>
      <c r="G500" s="21" t="s">
        <v>2711</v>
      </c>
      <c r="H500" s="19">
        <v>5.0</v>
      </c>
      <c r="I500" s="21" t="s">
        <v>1145</v>
      </c>
      <c r="J500" s="22" t="s">
        <v>2567</v>
      </c>
    </row>
    <row r="501">
      <c r="A501" s="15" t="s">
        <v>3211</v>
      </c>
      <c r="B501" s="16">
        <v>45093.0</v>
      </c>
      <c r="C501" s="17">
        <v>45095.0</v>
      </c>
      <c r="D501" s="18">
        <v>1.0</v>
      </c>
      <c r="E501" s="19">
        <v>2.0</v>
      </c>
      <c r="F501" s="20">
        <v>14000.0</v>
      </c>
      <c r="G501" s="21" t="s">
        <v>2711</v>
      </c>
      <c r="H501" s="19">
        <v>5.0</v>
      </c>
      <c r="I501" s="21" t="s">
        <v>1184</v>
      </c>
      <c r="J501" s="22" t="s">
        <v>2577</v>
      </c>
    </row>
    <row r="502">
      <c r="A502" s="15" t="s">
        <v>3212</v>
      </c>
      <c r="B502" s="16">
        <v>45093.0</v>
      </c>
      <c r="C502" s="17">
        <v>45094.0</v>
      </c>
      <c r="D502" s="18">
        <v>4.0</v>
      </c>
      <c r="E502" s="19">
        <v>3.0</v>
      </c>
      <c r="F502" s="20">
        <v>16000.0</v>
      </c>
      <c r="G502" s="21" t="s">
        <v>2711</v>
      </c>
      <c r="H502" s="19">
        <v>4.0</v>
      </c>
      <c r="I502" s="21" t="s">
        <v>1961</v>
      </c>
      <c r="J502" s="22" t="s">
        <v>2622</v>
      </c>
    </row>
    <row r="503">
      <c r="A503" s="15" t="s">
        <v>3213</v>
      </c>
      <c r="B503" s="16">
        <v>45093.0</v>
      </c>
      <c r="C503" s="17">
        <v>45095.0</v>
      </c>
      <c r="D503" s="18">
        <v>1.0</v>
      </c>
      <c r="E503" s="19">
        <v>1.0</v>
      </c>
      <c r="F503" s="20">
        <v>12000.0</v>
      </c>
      <c r="G503" s="21" t="s">
        <v>2711</v>
      </c>
      <c r="H503" s="19">
        <v>4.0</v>
      </c>
      <c r="I503" s="21" t="s">
        <v>834</v>
      </c>
      <c r="J503" s="22" t="s">
        <v>2577</v>
      </c>
    </row>
    <row r="504">
      <c r="A504" s="15" t="s">
        <v>3214</v>
      </c>
      <c r="B504" s="16">
        <v>45093.0</v>
      </c>
      <c r="C504" s="17">
        <v>45095.0</v>
      </c>
      <c r="D504" s="18">
        <v>2.0</v>
      </c>
      <c r="E504" s="19">
        <v>1.0</v>
      </c>
      <c r="F504" s="20">
        <v>12000.0</v>
      </c>
      <c r="G504" s="21" t="s">
        <v>2711</v>
      </c>
      <c r="H504" s="19">
        <v>5.0</v>
      </c>
      <c r="I504" s="21" t="s">
        <v>1105</v>
      </c>
      <c r="J504" s="22" t="s">
        <v>2632</v>
      </c>
    </row>
    <row r="505">
      <c r="A505" s="15" t="s">
        <v>3215</v>
      </c>
      <c r="B505" s="16">
        <v>45093.0</v>
      </c>
      <c r="C505" s="17">
        <v>45095.0</v>
      </c>
      <c r="D505" s="18">
        <v>6.0</v>
      </c>
      <c r="E505" s="19">
        <v>3.0</v>
      </c>
      <c r="F505" s="20">
        <v>16000.0</v>
      </c>
      <c r="G505" s="21" t="s">
        <v>2711</v>
      </c>
      <c r="H505" s="19">
        <v>5.0</v>
      </c>
      <c r="I505" s="21" t="s">
        <v>914</v>
      </c>
      <c r="J505" s="22" t="s">
        <v>2677</v>
      </c>
    </row>
    <row r="506">
      <c r="A506" s="15" t="s">
        <v>3216</v>
      </c>
      <c r="B506" s="16">
        <v>45093.0</v>
      </c>
      <c r="C506" s="17">
        <v>45098.0</v>
      </c>
      <c r="D506" s="18">
        <v>4.0</v>
      </c>
      <c r="E506" s="19">
        <v>2.0</v>
      </c>
      <c r="F506" s="20">
        <v>14000.0</v>
      </c>
      <c r="G506" s="21" t="s">
        <v>2747</v>
      </c>
      <c r="H506" s="21"/>
      <c r="I506" s="21" t="s">
        <v>1101</v>
      </c>
      <c r="J506" s="22" t="s">
        <v>2652</v>
      </c>
    </row>
    <row r="507">
      <c r="A507" s="15" t="s">
        <v>3217</v>
      </c>
      <c r="B507" s="16">
        <v>45093.0</v>
      </c>
      <c r="C507" s="17">
        <v>45094.0</v>
      </c>
      <c r="D507" s="18">
        <v>2.0</v>
      </c>
      <c r="E507" s="19">
        <v>3.0</v>
      </c>
      <c r="F507" s="20">
        <v>16000.0</v>
      </c>
      <c r="G507" s="21" t="s">
        <v>2711</v>
      </c>
      <c r="H507" s="19">
        <v>4.0</v>
      </c>
      <c r="I507" s="21" t="s">
        <v>82</v>
      </c>
      <c r="J507" s="22" t="s">
        <v>2547</v>
      </c>
    </row>
    <row r="508">
      <c r="A508" s="15" t="s">
        <v>3218</v>
      </c>
      <c r="B508" s="16">
        <v>45093.0</v>
      </c>
      <c r="C508" s="17">
        <v>45098.0</v>
      </c>
      <c r="D508" s="18">
        <v>3.0</v>
      </c>
      <c r="E508" s="19">
        <v>1.0</v>
      </c>
      <c r="F508" s="20">
        <v>12000.0</v>
      </c>
      <c r="G508" s="21" t="s">
        <v>2711</v>
      </c>
      <c r="H508" s="19">
        <v>5.0</v>
      </c>
      <c r="I508" s="21" t="s">
        <v>1830</v>
      </c>
      <c r="J508" s="22" t="s">
        <v>2612</v>
      </c>
    </row>
    <row r="509">
      <c r="A509" s="15" t="s">
        <v>3219</v>
      </c>
      <c r="B509" s="16">
        <v>45093.0</v>
      </c>
      <c r="C509" s="17">
        <v>45095.0</v>
      </c>
      <c r="D509" s="18">
        <v>4.0</v>
      </c>
      <c r="E509" s="19">
        <v>2.0</v>
      </c>
      <c r="F509" s="20">
        <v>14000.0</v>
      </c>
      <c r="G509" s="21" t="s">
        <v>2711</v>
      </c>
      <c r="H509" s="19">
        <v>4.0</v>
      </c>
      <c r="I509" s="21" t="s">
        <v>1328</v>
      </c>
      <c r="J509" s="22" t="s">
        <v>2527</v>
      </c>
    </row>
    <row r="510">
      <c r="A510" s="15" t="s">
        <v>3220</v>
      </c>
      <c r="B510" s="16">
        <v>45093.0</v>
      </c>
      <c r="C510" s="17">
        <v>45094.0</v>
      </c>
      <c r="D510" s="18">
        <v>15.0</v>
      </c>
      <c r="E510" s="19">
        <v>10.0</v>
      </c>
      <c r="F510" s="20">
        <v>34500.0</v>
      </c>
      <c r="G510" s="21" t="s">
        <v>2711</v>
      </c>
      <c r="H510" s="19">
        <v>4.0</v>
      </c>
      <c r="I510" s="21" t="s">
        <v>2259</v>
      </c>
      <c r="J510" s="22" t="s">
        <v>2537</v>
      </c>
    </row>
    <row r="511">
      <c r="A511" s="15" t="s">
        <v>3221</v>
      </c>
      <c r="B511" s="16">
        <v>45093.0</v>
      </c>
      <c r="C511" s="17">
        <v>45098.0</v>
      </c>
      <c r="D511" s="18">
        <v>8.0</v>
      </c>
      <c r="E511" s="19">
        <v>8.0</v>
      </c>
      <c r="F511" s="20">
        <v>26000.0</v>
      </c>
      <c r="G511" s="21" t="s">
        <v>2711</v>
      </c>
      <c r="H511" s="19">
        <v>5.0</v>
      </c>
      <c r="I511" s="21" t="s">
        <v>1244</v>
      </c>
      <c r="J511" s="22" t="s">
        <v>2697</v>
      </c>
    </row>
    <row r="512">
      <c r="A512" s="15" t="s">
        <v>3222</v>
      </c>
      <c r="B512" s="16">
        <v>45093.0</v>
      </c>
      <c r="C512" s="17">
        <v>45097.0</v>
      </c>
      <c r="D512" s="18">
        <v>5.0</v>
      </c>
      <c r="E512" s="19">
        <v>3.0</v>
      </c>
      <c r="F512" s="20">
        <v>16000.0</v>
      </c>
      <c r="G512" s="21" t="s">
        <v>2711</v>
      </c>
      <c r="H512" s="19">
        <v>5.0</v>
      </c>
      <c r="I512" s="21" t="s">
        <v>2212</v>
      </c>
      <c r="J512" s="22" t="s">
        <v>2677</v>
      </c>
    </row>
    <row r="513">
      <c r="A513" s="15" t="s">
        <v>3223</v>
      </c>
      <c r="B513" s="16">
        <v>45093.0</v>
      </c>
      <c r="C513" s="17">
        <v>45096.0</v>
      </c>
      <c r="D513" s="18">
        <v>6.0</v>
      </c>
      <c r="E513" s="19">
        <v>2.0</v>
      </c>
      <c r="F513" s="20">
        <v>14000.0</v>
      </c>
      <c r="G513" s="21" t="s">
        <v>2711</v>
      </c>
      <c r="H513" s="19">
        <v>4.0</v>
      </c>
      <c r="I513" s="21" t="s">
        <v>1826</v>
      </c>
      <c r="J513" s="22" t="s">
        <v>2567</v>
      </c>
    </row>
    <row r="514">
      <c r="A514" s="15" t="s">
        <v>3224</v>
      </c>
      <c r="B514" s="16">
        <v>45093.0</v>
      </c>
      <c r="C514" s="17">
        <v>45098.0</v>
      </c>
      <c r="D514" s="18">
        <v>1.0</v>
      </c>
      <c r="E514" s="19">
        <v>1.0</v>
      </c>
      <c r="F514" s="20">
        <v>12000.0</v>
      </c>
      <c r="G514" s="21" t="s">
        <v>2711</v>
      </c>
      <c r="H514" s="19">
        <v>5.0</v>
      </c>
      <c r="I514" s="21" t="s">
        <v>1922</v>
      </c>
      <c r="J514" s="22" t="s">
        <v>2567</v>
      </c>
    </row>
    <row r="515">
      <c r="A515" s="15" t="s">
        <v>3225</v>
      </c>
      <c r="B515" s="16">
        <v>45093.0</v>
      </c>
      <c r="C515" s="17">
        <v>45097.0</v>
      </c>
      <c r="D515" s="18">
        <v>5.0</v>
      </c>
      <c r="E515" s="19">
        <v>1.0</v>
      </c>
      <c r="F515" s="20">
        <v>12000.0</v>
      </c>
      <c r="G515" s="21" t="s">
        <v>2711</v>
      </c>
      <c r="H515" s="19">
        <v>4.0</v>
      </c>
      <c r="I515" s="21" t="s">
        <v>1105</v>
      </c>
      <c r="J515" s="22" t="s">
        <v>2647</v>
      </c>
    </row>
    <row r="516">
      <c r="A516" s="40" t="s">
        <v>3226</v>
      </c>
      <c r="B516" s="45">
        <v>45093.0</v>
      </c>
      <c r="C516" s="42">
        <v>45094.0</v>
      </c>
      <c r="D516" s="40">
        <v>10.0</v>
      </c>
      <c r="E516" s="40">
        <v>5.0</v>
      </c>
      <c r="F516" s="46">
        <v>20000.0</v>
      </c>
      <c r="G516" s="40" t="s">
        <v>2711</v>
      </c>
      <c r="H516" s="40">
        <v>5.0</v>
      </c>
      <c r="I516" s="40" t="s">
        <v>2049</v>
      </c>
      <c r="J516" s="40" t="s">
        <v>2662</v>
      </c>
    </row>
    <row r="517">
      <c r="A517" s="15" t="s">
        <v>3227</v>
      </c>
      <c r="B517" s="16">
        <v>45093.0</v>
      </c>
      <c r="C517" s="17">
        <v>45094.0</v>
      </c>
      <c r="D517" s="18">
        <v>2.0</v>
      </c>
      <c r="E517" s="19">
        <v>3.0</v>
      </c>
      <c r="F517" s="20">
        <v>16000.0</v>
      </c>
      <c r="G517" s="21" t="s">
        <v>2711</v>
      </c>
      <c r="H517" s="19">
        <v>5.0</v>
      </c>
      <c r="I517" s="21" t="s">
        <v>874</v>
      </c>
      <c r="J517" s="22" t="s">
        <v>2602</v>
      </c>
    </row>
    <row r="518">
      <c r="A518" s="15" t="s">
        <v>3228</v>
      </c>
      <c r="B518" s="16">
        <v>45093.0</v>
      </c>
      <c r="C518" s="17">
        <v>45094.0</v>
      </c>
      <c r="D518" s="18">
        <v>17.0</v>
      </c>
      <c r="E518" s="19">
        <v>4.0</v>
      </c>
      <c r="F518" s="20">
        <v>23100.0</v>
      </c>
      <c r="G518" s="21" t="s">
        <v>2711</v>
      </c>
      <c r="H518" s="19">
        <v>4.0</v>
      </c>
      <c r="I518" s="21" t="s">
        <v>454</v>
      </c>
      <c r="J518" s="22" t="s">
        <v>2672</v>
      </c>
    </row>
    <row r="519">
      <c r="A519" s="15" t="s">
        <v>3229</v>
      </c>
      <c r="B519" s="16">
        <v>45093.0</v>
      </c>
      <c r="C519" s="17">
        <v>45096.0</v>
      </c>
      <c r="D519" s="18">
        <v>16.0</v>
      </c>
      <c r="E519" s="19">
        <v>6.0</v>
      </c>
      <c r="F519" s="20">
        <v>26800.0</v>
      </c>
      <c r="G519" s="21" t="s">
        <v>2711</v>
      </c>
      <c r="H519" s="19">
        <v>5.0</v>
      </c>
      <c r="I519" s="21" t="s">
        <v>2302</v>
      </c>
      <c r="J519" s="22" t="s">
        <v>2627</v>
      </c>
    </row>
    <row r="520">
      <c r="A520" s="15" t="s">
        <v>3230</v>
      </c>
      <c r="B520" s="16">
        <v>45093.0</v>
      </c>
      <c r="C520" s="17">
        <v>45097.0</v>
      </c>
      <c r="D520" s="18">
        <v>3.0</v>
      </c>
      <c r="E520" s="19">
        <v>2.0</v>
      </c>
      <c r="F520" s="20">
        <v>14000.0</v>
      </c>
      <c r="G520" s="21" t="s">
        <v>2711</v>
      </c>
      <c r="H520" s="19">
        <v>4.0</v>
      </c>
      <c r="I520" s="21" t="s">
        <v>557</v>
      </c>
      <c r="J520" s="22" t="s">
        <v>2582</v>
      </c>
    </row>
    <row r="521">
      <c r="A521" s="15" t="s">
        <v>3231</v>
      </c>
      <c r="B521" s="16">
        <v>45093.0</v>
      </c>
      <c r="C521" s="17">
        <v>45095.0</v>
      </c>
      <c r="D521" s="18">
        <v>4.0</v>
      </c>
      <c r="E521" s="19">
        <v>2.0</v>
      </c>
      <c r="F521" s="20">
        <v>14000.0</v>
      </c>
      <c r="G521" s="21" t="s">
        <v>2711</v>
      </c>
      <c r="H521" s="19">
        <v>4.0</v>
      </c>
      <c r="I521" s="21" t="s">
        <v>226</v>
      </c>
      <c r="J521" s="22" t="s">
        <v>2597</v>
      </c>
    </row>
    <row r="522">
      <c r="A522" s="15" t="s">
        <v>3232</v>
      </c>
      <c r="B522" s="16">
        <v>45093.0</v>
      </c>
      <c r="C522" s="17">
        <v>45097.0</v>
      </c>
      <c r="D522" s="18">
        <v>10.0</v>
      </c>
      <c r="E522" s="19">
        <v>7.0</v>
      </c>
      <c r="F522" s="20">
        <v>24000.0</v>
      </c>
      <c r="G522" s="21" t="s">
        <v>2711</v>
      </c>
      <c r="H522" s="19">
        <v>4.0</v>
      </c>
      <c r="I522" s="21" t="s">
        <v>2271</v>
      </c>
      <c r="J522" s="22" t="s">
        <v>2607</v>
      </c>
    </row>
    <row r="523">
      <c r="A523" s="15" t="s">
        <v>3233</v>
      </c>
      <c r="B523" s="16">
        <v>45093.0</v>
      </c>
      <c r="C523" s="17">
        <v>45094.0</v>
      </c>
      <c r="D523" s="18">
        <v>5.0</v>
      </c>
      <c r="E523" s="19">
        <v>2.0</v>
      </c>
      <c r="F523" s="20">
        <v>14000.0</v>
      </c>
      <c r="G523" s="21" t="s">
        <v>2711</v>
      </c>
      <c r="H523" s="19">
        <v>5.0</v>
      </c>
      <c r="I523" s="21" t="s">
        <v>1212</v>
      </c>
      <c r="J523" s="22" t="s">
        <v>2567</v>
      </c>
    </row>
    <row r="524">
      <c r="A524" s="15" t="s">
        <v>3234</v>
      </c>
      <c r="B524" s="16">
        <v>45093.0</v>
      </c>
      <c r="C524" s="17">
        <v>45096.0</v>
      </c>
      <c r="D524" s="18">
        <v>1.0</v>
      </c>
      <c r="E524" s="19">
        <v>2.0</v>
      </c>
      <c r="F524" s="20">
        <v>14000.0</v>
      </c>
      <c r="G524" s="21" t="s">
        <v>2711</v>
      </c>
      <c r="H524" s="19">
        <v>4.0</v>
      </c>
      <c r="I524" s="21" t="s">
        <v>2220</v>
      </c>
      <c r="J524" s="22" t="s">
        <v>2622</v>
      </c>
    </row>
    <row r="525">
      <c r="A525" s="15" t="s">
        <v>3235</v>
      </c>
      <c r="B525" s="16">
        <v>45093.0</v>
      </c>
      <c r="C525" s="17">
        <v>45097.0</v>
      </c>
      <c r="D525" s="18">
        <v>14.0</v>
      </c>
      <c r="E525" s="19">
        <v>4.0</v>
      </c>
      <c r="F525" s="20">
        <v>18000.0</v>
      </c>
      <c r="G525" s="21" t="s">
        <v>2711</v>
      </c>
      <c r="H525" s="19">
        <v>4.0</v>
      </c>
      <c r="I525" s="21" t="s">
        <v>2009</v>
      </c>
      <c r="J525" s="22" t="s">
        <v>2484</v>
      </c>
    </row>
    <row r="526">
      <c r="A526" s="15" t="s">
        <v>3236</v>
      </c>
      <c r="B526" s="16">
        <v>45093.0</v>
      </c>
      <c r="C526" s="17">
        <v>45095.0</v>
      </c>
      <c r="D526" s="18">
        <v>8.0</v>
      </c>
      <c r="E526" s="19">
        <v>7.0</v>
      </c>
      <c r="F526" s="20">
        <v>24000.0</v>
      </c>
      <c r="G526" s="21" t="s">
        <v>2711</v>
      </c>
      <c r="H526" s="19">
        <v>4.0</v>
      </c>
      <c r="I526" s="21" t="s">
        <v>1340</v>
      </c>
      <c r="J526" s="22" t="s">
        <v>2637</v>
      </c>
    </row>
    <row r="527">
      <c r="A527" s="15" t="s">
        <v>3237</v>
      </c>
      <c r="B527" s="17">
        <v>45094.0</v>
      </c>
      <c r="C527" s="17">
        <f>B527 + RANDBETWEEN(1,5)</f>
        <v>45096</v>
      </c>
      <c r="D527" s="18">
        <v>2.0</v>
      </c>
      <c r="E527" s="19">
        <v>2.0</v>
      </c>
      <c r="F527" s="20">
        <v>14000.0</v>
      </c>
      <c r="G527" s="21" t="s">
        <v>2711</v>
      </c>
      <c r="H527" s="19">
        <v>4.0</v>
      </c>
      <c r="I527" s="21" t="s">
        <v>958</v>
      </c>
      <c r="J527" s="22" t="s">
        <v>2632</v>
      </c>
    </row>
    <row r="528">
      <c r="A528" s="15" t="s">
        <v>3238</v>
      </c>
      <c r="B528" s="16">
        <v>45094.0</v>
      </c>
      <c r="C528" s="17">
        <v>45098.0</v>
      </c>
      <c r="D528" s="18">
        <v>6.0</v>
      </c>
      <c r="E528" s="19">
        <v>2.0</v>
      </c>
      <c r="F528" s="20">
        <v>14000.0</v>
      </c>
      <c r="G528" s="21" t="s">
        <v>2711</v>
      </c>
      <c r="H528" s="19">
        <v>4.0</v>
      </c>
      <c r="I528" s="21" t="s">
        <v>54</v>
      </c>
      <c r="J528" s="22" t="s">
        <v>2532</v>
      </c>
    </row>
    <row r="529">
      <c r="A529" s="15" t="s">
        <v>3239</v>
      </c>
      <c r="B529" s="16">
        <v>45094.0</v>
      </c>
      <c r="C529" s="17">
        <v>45097.0</v>
      </c>
      <c r="D529" s="18">
        <v>5.0</v>
      </c>
      <c r="E529" s="19">
        <v>1.0</v>
      </c>
      <c r="F529" s="20">
        <v>12000.0</v>
      </c>
      <c r="G529" s="21" t="s">
        <v>2711</v>
      </c>
      <c r="H529" s="19">
        <v>4.0</v>
      </c>
      <c r="I529" s="21" t="s">
        <v>1304</v>
      </c>
      <c r="J529" s="22" t="s">
        <v>2652</v>
      </c>
    </row>
    <row r="530">
      <c r="A530" s="15" t="s">
        <v>3240</v>
      </c>
      <c r="B530" s="16">
        <v>45094.0</v>
      </c>
      <c r="C530" s="17">
        <v>45096.0</v>
      </c>
      <c r="D530" s="18">
        <v>2.0</v>
      </c>
      <c r="E530" s="19">
        <v>3.0</v>
      </c>
      <c r="F530" s="20">
        <v>16000.0</v>
      </c>
      <c r="G530" s="21" t="s">
        <v>2711</v>
      </c>
      <c r="H530" s="19">
        <v>5.0</v>
      </c>
      <c r="I530" s="21" t="s">
        <v>1053</v>
      </c>
      <c r="J530" s="22" t="s">
        <v>2516</v>
      </c>
    </row>
    <row r="531">
      <c r="A531" s="15" t="s">
        <v>3241</v>
      </c>
      <c r="B531" s="16">
        <v>45094.0</v>
      </c>
      <c r="C531" s="17">
        <v>45095.0</v>
      </c>
      <c r="D531" s="18">
        <v>1.0</v>
      </c>
      <c r="E531" s="19">
        <v>3.0</v>
      </c>
      <c r="F531" s="20">
        <v>16000.0</v>
      </c>
      <c r="G531" s="21" t="s">
        <v>2711</v>
      </c>
      <c r="H531" s="19">
        <v>5.0</v>
      </c>
      <c r="I531" s="21" t="s">
        <v>1906</v>
      </c>
      <c r="J531" s="22" t="s">
        <v>2532</v>
      </c>
    </row>
    <row r="532">
      <c r="A532" s="15" t="s">
        <v>3242</v>
      </c>
      <c r="B532" s="16">
        <v>45094.0</v>
      </c>
      <c r="C532" s="17">
        <v>45097.0</v>
      </c>
      <c r="D532" s="18">
        <v>16.0</v>
      </c>
      <c r="E532" s="19">
        <v>4.0</v>
      </c>
      <c r="F532" s="20">
        <v>22800.0</v>
      </c>
      <c r="G532" s="21" t="s">
        <v>2711</v>
      </c>
      <c r="H532" s="19">
        <v>5.0</v>
      </c>
      <c r="I532" s="21" t="s">
        <v>198</v>
      </c>
      <c r="J532" s="22" t="s">
        <v>2484</v>
      </c>
    </row>
    <row r="533">
      <c r="A533" s="15" t="s">
        <v>3243</v>
      </c>
      <c r="B533" s="16">
        <v>45094.0</v>
      </c>
      <c r="C533" s="17">
        <v>45096.0</v>
      </c>
      <c r="D533" s="18">
        <v>5.0</v>
      </c>
      <c r="E533" s="19">
        <v>3.0</v>
      </c>
      <c r="F533" s="20">
        <v>16000.0</v>
      </c>
      <c r="G533" s="21" t="s">
        <v>2711</v>
      </c>
      <c r="H533" s="19">
        <v>4.0</v>
      </c>
      <c r="I533" s="21" t="s">
        <v>2208</v>
      </c>
      <c r="J533" s="22" t="s">
        <v>2567</v>
      </c>
    </row>
    <row r="534">
      <c r="A534" s="15" t="s">
        <v>3244</v>
      </c>
      <c r="B534" s="16">
        <v>45094.0</v>
      </c>
      <c r="C534" s="17">
        <v>45098.0</v>
      </c>
      <c r="D534" s="18">
        <v>6.0</v>
      </c>
      <c r="E534" s="19">
        <v>2.0</v>
      </c>
      <c r="F534" s="20">
        <v>14000.0</v>
      </c>
      <c r="G534" s="21" t="s">
        <v>2711</v>
      </c>
      <c r="H534" s="19">
        <v>5.0</v>
      </c>
      <c r="I534" s="21" t="s">
        <v>2271</v>
      </c>
      <c r="J534" s="22" t="s">
        <v>2622</v>
      </c>
    </row>
    <row r="535">
      <c r="A535" s="15" t="s">
        <v>3245</v>
      </c>
      <c r="B535" s="16">
        <v>45094.0</v>
      </c>
      <c r="C535" s="17">
        <v>45096.0</v>
      </c>
      <c r="D535" s="18">
        <v>16.0</v>
      </c>
      <c r="E535" s="19">
        <v>7.0</v>
      </c>
      <c r="F535" s="20">
        <v>28800.0</v>
      </c>
      <c r="G535" s="21" t="s">
        <v>2711</v>
      </c>
      <c r="H535" s="19">
        <v>4.0</v>
      </c>
      <c r="I535" s="21" t="s">
        <v>1061</v>
      </c>
      <c r="J535" s="22" t="s">
        <v>2637</v>
      </c>
    </row>
    <row r="536">
      <c r="A536" s="15" t="s">
        <v>3246</v>
      </c>
      <c r="B536" s="16">
        <v>45094.0</v>
      </c>
      <c r="C536" s="17">
        <v>45098.0</v>
      </c>
      <c r="D536" s="18">
        <v>2.0</v>
      </c>
      <c r="E536" s="19">
        <v>2.0</v>
      </c>
      <c r="F536" s="20">
        <v>14000.0</v>
      </c>
      <c r="G536" s="21" t="s">
        <v>2711</v>
      </c>
      <c r="H536" s="19">
        <v>4.0</v>
      </c>
      <c r="I536" s="21" t="s">
        <v>1133</v>
      </c>
      <c r="J536" s="22" t="s">
        <v>2557</v>
      </c>
    </row>
    <row r="537">
      <c r="A537" s="15" t="s">
        <v>3247</v>
      </c>
      <c r="B537" s="16">
        <v>45094.0</v>
      </c>
      <c r="C537" s="17">
        <v>45095.0</v>
      </c>
      <c r="D537" s="18">
        <v>4.0</v>
      </c>
      <c r="E537" s="19">
        <v>1.0</v>
      </c>
      <c r="F537" s="20">
        <v>12000.0</v>
      </c>
      <c r="G537" s="21" t="s">
        <v>2711</v>
      </c>
      <c r="H537" s="19">
        <v>4.0</v>
      </c>
      <c r="I537" s="21" t="s">
        <v>438</v>
      </c>
      <c r="J537" s="22" t="s">
        <v>2511</v>
      </c>
    </row>
    <row r="538">
      <c r="A538" s="15" t="s">
        <v>3248</v>
      </c>
      <c r="B538" s="16">
        <v>45094.0</v>
      </c>
      <c r="C538" s="17">
        <v>45097.0</v>
      </c>
      <c r="D538" s="18">
        <v>3.0</v>
      </c>
      <c r="E538" s="19">
        <v>3.0</v>
      </c>
      <c r="F538" s="20">
        <v>16000.0</v>
      </c>
      <c r="G538" s="21" t="s">
        <v>2711</v>
      </c>
      <c r="H538" s="19">
        <v>5.0</v>
      </c>
      <c r="I538" s="21" t="s">
        <v>446</v>
      </c>
      <c r="J538" s="22" t="s">
        <v>2496</v>
      </c>
    </row>
    <row r="539">
      <c r="A539" s="15" t="s">
        <v>3249</v>
      </c>
      <c r="B539" s="16">
        <v>45094.0</v>
      </c>
      <c r="C539" s="17">
        <v>45099.0</v>
      </c>
      <c r="D539" s="18">
        <v>2.0</v>
      </c>
      <c r="E539" s="19">
        <v>2.0</v>
      </c>
      <c r="F539" s="20">
        <v>14000.0</v>
      </c>
      <c r="G539" s="21" t="s">
        <v>2711</v>
      </c>
      <c r="H539" s="19">
        <v>5.0</v>
      </c>
      <c r="I539" s="21" t="s">
        <v>262</v>
      </c>
      <c r="J539" s="22" t="s">
        <v>2516</v>
      </c>
    </row>
    <row r="540">
      <c r="A540" s="15" t="s">
        <v>3250</v>
      </c>
      <c r="B540" s="16">
        <v>45094.0</v>
      </c>
      <c r="C540" s="17">
        <v>45099.0</v>
      </c>
      <c r="D540" s="18">
        <v>6.0</v>
      </c>
      <c r="E540" s="19">
        <v>1.0</v>
      </c>
      <c r="F540" s="20">
        <v>12000.0</v>
      </c>
      <c r="G540" s="21" t="s">
        <v>2711</v>
      </c>
      <c r="H540" s="19">
        <v>5.0</v>
      </c>
      <c r="I540" s="21" t="s">
        <v>704</v>
      </c>
      <c r="J540" s="22" t="s">
        <v>2652</v>
      </c>
    </row>
    <row r="541">
      <c r="A541" s="15" t="s">
        <v>3251</v>
      </c>
      <c r="B541" s="16">
        <v>45094.0</v>
      </c>
      <c r="C541" s="17">
        <v>45096.0</v>
      </c>
      <c r="D541" s="18">
        <v>2.0</v>
      </c>
      <c r="E541" s="19">
        <v>1.0</v>
      </c>
      <c r="F541" s="20">
        <v>12000.0</v>
      </c>
      <c r="G541" s="21" t="s">
        <v>2711</v>
      </c>
      <c r="H541" s="19">
        <v>5.0</v>
      </c>
      <c r="I541" s="21" t="s">
        <v>997</v>
      </c>
      <c r="J541" s="22" t="s">
        <v>2682</v>
      </c>
    </row>
    <row r="542">
      <c r="A542" s="15" t="s">
        <v>3252</v>
      </c>
      <c r="B542" s="16">
        <v>45094.0</v>
      </c>
      <c r="C542" s="17">
        <v>45098.0</v>
      </c>
      <c r="D542" s="18">
        <v>18.0</v>
      </c>
      <c r="E542" s="19">
        <v>9.0</v>
      </c>
      <c r="F542" s="20">
        <v>33400.0</v>
      </c>
      <c r="G542" s="21" t="s">
        <v>2711</v>
      </c>
      <c r="H542" s="19">
        <v>4.0</v>
      </c>
      <c r="I542" s="21" t="s">
        <v>1304</v>
      </c>
      <c r="J542" s="22" t="s">
        <v>2627</v>
      </c>
    </row>
    <row r="543">
      <c r="A543" s="15" t="s">
        <v>3253</v>
      </c>
      <c r="B543" s="16">
        <v>45094.0</v>
      </c>
      <c r="C543" s="17">
        <v>45095.0</v>
      </c>
      <c r="D543" s="18">
        <v>5.0</v>
      </c>
      <c r="E543" s="19">
        <v>1.0</v>
      </c>
      <c r="F543" s="20">
        <v>12000.0</v>
      </c>
      <c r="G543" s="21" t="s">
        <v>2711</v>
      </c>
      <c r="H543" s="19">
        <v>4.0</v>
      </c>
      <c r="I543" s="21" t="s">
        <v>294</v>
      </c>
      <c r="J543" s="22" t="s">
        <v>2692</v>
      </c>
    </row>
    <row r="544">
      <c r="A544" s="15" t="s">
        <v>3254</v>
      </c>
      <c r="B544" s="16">
        <v>45094.0</v>
      </c>
      <c r="C544" s="17">
        <v>45097.0</v>
      </c>
      <c r="D544" s="18">
        <v>3.0</v>
      </c>
      <c r="E544" s="19">
        <v>3.0</v>
      </c>
      <c r="F544" s="20">
        <v>16000.0</v>
      </c>
      <c r="G544" s="21" t="s">
        <v>2711</v>
      </c>
      <c r="H544" s="19">
        <v>5.0</v>
      </c>
      <c r="I544" s="21" t="s">
        <v>2334</v>
      </c>
      <c r="J544" s="22" t="s">
        <v>2682</v>
      </c>
    </row>
    <row r="545">
      <c r="A545" s="15" t="s">
        <v>3255</v>
      </c>
      <c r="B545" s="16">
        <v>45094.0</v>
      </c>
      <c r="C545" s="17">
        <v>45098.0</v>
      </c>
      <c r="D545" s="18">
        <v>9.0</v>
      </c>
      <c r="E545" s="19">
        <v>7.0</v>
      </c>
      <c r="F545" s="20">
        <v>24000.0</v>
      </c>
      <c r="G545" s="21" t="s">
        <v>2711</v>
      </c>
      <c r="H545" s="19">
        <v>4.0</v>
      </c>
      <c r="I545" s="21" t="s">
        <v>454</v>
      </c>
      <c r="J545" s="22" t="s">
        <v>2627</v>
      </c>
      <c r="K545" s="27"/>
    </row>
    <row r="546">
      <c r="A546" s="15" t="s">
        <v>3256</v>
      </c>
      <c r="B546" s="16">
        <v>45094.0</v>
      </c>
      <c r="C546" s="17">
        <v>45096.0</v>
      </c>
      <c r="D546" s="18">
        <v>6.0</v>
      </c>
      <c r="E546" s="19">
        <v>3.0</v>
      </c>
      <c r="F546" s="20">
        <v>16000.0</v>
      </c>
      <c r="G546" s="21" t="s">
        <v>2711</v>
      </c>
      <c r="H546" s="19">
        <v>5.0</v>
      </c>
      <c r="I546" s="21" t="s">
        <v>314</v>
      </c>
      <c r="J546" s="22" t="s">
        <v>2490</v>
      </c>
      <c r="K546" s="27"/>
    </row>
    <row r="547">
      <c r="A547" s="15" t="s">
        <v>3257</v>
      </c>
      <c r="B547" s="16">
        <v>45094.0</v>
      </c>
      <c r="C547" s="17">
        <v>45099.0</v>
      </c>
      <c r="D547" s="18">
        <v>5.0</v>
      </c>
      <c r="E547" s="19">
        <v>3.0</v>
      </c>
      <c r="F547" s="20">
        <v>16000.0</v>
      </c>
      <c r="G547" s="21" t="s">
        <v>2747</v>
      </c>
      <c r="H547" s="21"/>
      <c r="I547" s="21" t="s">
        <v>142</v>
      </c>
      <c r="J547" s="22" t="s">
        <v>2612</v>
      </c>
      <c r="K547" s="27"/>
    </row>
    <row r="548">
      <c r="A548" s="15" t="s">
        <v>3258</v>
      </c>
      <c r="B548" s="16">
        <v>45094.0</v>
      </c>
      <c r="C548" s="17">
        <v>45096.0</v>
      </c>
      <c r="D548" s="18">
        <v>6.0</v>
      </c>
      <c r="E548" s="19">
        <v>2.0</v>
      </c>
      <c r="F548" s="20">
        <v>14000.0</v>
      </c>
      <c r="G548" s="21" t="s">
        <v>2711</v>
      </c>
      <c r="H548" s="19">
        <v>5.0</v>
      </c>
      <c r="I548" s="21" t="s">
        <v>1248</v>
      </c>
      <c r="J548" s="22" t="s">
        <v>2557</v>
      </c>
    </row>
    <row r="549">
      <c r="A549" s="15" t="s">
        <v>3259</v>
      </c>
      <c r="B549" s="16">
        <v>45094.0</v>
      </c>
      <c r="C549" s="17">
        <v>45099.0</v>
      </c>
      <c r="D549" s="18">
        <v>5.0</v>
      </c>
      <c r="E549" s="19">
        <v>1.0</v>
      </c>
      <c r="F549" s="20">
        <v>12000.0</v>
      </c>
      <c r="G549" s="21" t="s">
        <v>2711</v>
      </c>
      <c r="H549" s="19">
        <v>5.0</v>
      </c>
      <c r="I549" s="21" t="s">
        <v>1053</v>
      </c>
      <c r="J549" s="22" t="s">
        <v>2682</v>
      </c>
    </row>
    <row r="550">
      <c r="A550" s="15" t="s">
        <v>3260</v>
      </c>
      <c r="B550" s="16">
        <v>45094.0</v>
      </c>
      <c r="C550" s="17">
        <v>45096.0</v>
      </c>
      <c r="D550" s="18">
        <v>4.0</v>
      </c>
      <c r="E550" s="19">
        <v>1.0</v>
      </c>
      <c r="F550" s="20">
        <v>12000.0</v>
      </c>
      <c r="G550" s="21" t="s">
        <v>2711</v>
      </c>
      <c r="H550" s="19">
        <v>5.0</v>
      </c>
      <c r="I550" s="21" t="s">
        <v>2116</v>
      </c>
      <c r="J550" s="22" t="s">
        <v>2567</v>
      </c>
    </row>
    <row r="551">
      <c r="A551" s="15" t="s">
        <v>3261</v>
      </c>
      <c r="B551" s="16">
        <v>45094.0</v>
      </c>
      <c r="C551" s="17">
        <v>45096.0</v>
      </c>
      <c r="D551" s="18">
        <v>17.0</v>
      </c>
      <c r="E551" s="19">
        <v>10.0</v>
      </c>
      <c r="F551" s="20">
        <v>35100.0</v>
      </c>
      <c r="G551" s="21" t="s">
        <v>2711</v>
      </c>
      <c r="H551" s="19">
        <v>5.0</v>
      </c>
      <c r="I551" s="21" t="s">
        <v>2445</v>
      </c>
      <c r="J551" s="22" t="s">
        <v>2662</v>
      </c>
    </row>
    <row r="552">
      <c r="A552" s="15" t="s">
        <v>3262</v>
      </c>
      <c r="B552" s="16">
        <v>45094.0</v>
      </c>
      <c r="C552" s="17">
        <v>45095.0</v>
      </c>
      <c r="D552" s="18">
        <v>12.0</v>
      </c>
      <c r="E552" s="19">
        <v>4.0</v>
      </c>
      <c r="F552" s="20">
        <v>18000.0</v>
      </c>
      <c r="G552" s="21" t="s">
        <v>2711</v>
      </c>
      <c r="H552" s="19">
        <v>4.0</v>
      </c>
      <c r="I552" s="21" t="s">
        <v>2330</v>
      </c>
      <c r="J552" s="22" t="s">
        <v>2607</v>
      </c>
    </row>
    <row r="553">
      <c r="A553" s="15" t="s">
        <v>3263</v>
      </c>
      <c r="B553" s="16">
        <v>45094.0</v>
      </c>
      <c r="C553" s="17">
        <v>45095.0</v>
      </c>
      <c r="D553" s="18">
        <v>2.0</v>
      </c>
      <c r="E553" s="19">
        <v>2.0</v>
      </c>
      <c r="F553" s="20">
        <v>14000.0</v>
      </c>
      <c r="G553" s="21" t="s">
        <v>2711</v>
      </c>
      <c r="H553" s="19">
        <v>4.0</v>
      </c>
      <c r="I553" s="21" t="s">
        <v>961</v>
      </c>
      <c r="J553" s="22" t="s">
        <v>2692</v>
      </c>
    </row>
    <row r="554">
      <c r="A554" s="15" t="s">
        <v>3264</v>
      </c>
      <c r="B554" s="16">
        <v>45094.0</v>
      </c>
      <c r="C554" s="17">
        <v>45099.0</v>
      </c>
      <c r="D554" s="18">
        <v>3.0</v>
      </c>
      <c r="E554" s="19">
        <v>1.0</v>
      </c>
      <c r="F554" s="20">
        <v>12000.0</v>
      </c>
      <c r="G554" s="21" t="s">
        <v>2711</v>
      </c>
      <c r="H554" s="19">
        <v>5.0</v>
      </c>
      <c r="I554" s="21" t="s">
        <v>350</v>
      </c>
      <c r="J554" s="22" t="s">
        <v>2532</v>
      </c>
    </row>
    <row r="555">
      <c r="A555" s="15" t="s">
        <v>3265</v>
      </c>
      <c r="B555" s="16">
        <v>45094.0</v>
      </c>
      <c r="C555" s="17">
        <v>45095.0</v>
      </c>
      <c r="D555" s="18">
        <v>6.0</v>
      </c>
      <c r="E555" s="19">
        <v>3.0</v>
      </c>
      <c r="F555" s="20">
        <v>16000.0</v>
      </c>
      <c r="G555" s="21" t="s">
        <v>2711</v>
      </c>
      <c r="H555" s="19">
        <v>4.0</v>
      </c>
      <c r="I555" s="21" t="s">
        <v>1069</v>
      </c>
      <c r="J555" s="22" t="s">
        <v>2542</v>
      </c>
    </row>
    <row r="556">
      <c r="A556" s="15" t="s">
        <v>3266</v>
      </c>
      <c r="B556" s="16">
        <v>45094.0</v>
      </c>
      <c r="C556" s="17">
        <v>45095.0</v>
      </c>
      <c r="D556" s="18">
        <v>2.0</v>
      </c>
      <c r="E556" s="19">
        <v>1.0</v>
      </c>
      <c r="F556" s="20">
        <v>12000.0</v>
      </c>
      <c r="G556" s="21" t="s">
        <v>2711</v>
      </c>
      <c r="H556" s="19">
        <v>5.0</v>
      </c>
      <c r="I556" s="21" t="s">
        <v>1756</v>
      </c>
      <c r="J556" s="22" t="s">
        <v>2532</v>
      </c>
    </row>
    <row r="557">
      <c r="A557" s="15" t="s">
        <v>3267</v>
      </c>
      <c r="B557" s="16">
        <v>45094.0</v>
      </c>
      <c r="C557" s="17">
        <v>45096.0</v>
      </c>
      <c r="D557" s="18">
        <v>3.0</v>
      </c>
      <c r="E557" s="19">
        <v>1.0</v>
      </c>
      <c r="F557" s="20">
        <v>12000.0</v>
      </c>
      <c r="G557" s="21" t="s">
        <v>2711</v>
      </c>
      <c r="H557" s="19">
        <v>4.0</v>
      </c>
      <c r="I557" s="21" t="s">
        <v>2401</v>
      </c>
      <c r="J557" s="22" t="s">
        <v>2642</v>
      </c>
    </row>
    <row r="558">
      <c r="A558" s="15" t="s">
        <v>3268</v>
      </c>
      <c r="B558" s="16">
        <v>45094.0</v>
      </c>
      <c r="C558" s="17">
        <v>45096.0</v>
      </c>
      <c r="D558" s="18">
        <v>6.0</v>
      </c>
      <c r="E558" s="19">
        <v>3.0</v>
      </c>
      <c r="F558" s="20">
        <v>16000.0</v>
      </c>
      <c r="G558" s="21" t="s">
        <v>2711</v>
      </c>
      <c r="H558" s="19">
        <v>5.0</v>
      </c>
      <c r="I558" s="21" t="s">
        <v>2366</v>
      </c>
      <c r="J558" s="22" t="s">
        <v>2506</v>
      </c>
    </row>
    <row r="559">
      <c r="A559" s="15" t="s">
        <v>3269</v>
      </c>
      <c r="B559" s="16">
        <v>45094.0</v>
      </c>
      <c r="C559" s="17">
        <v>45097.0</v>
      </c>
      <c r="D559" s="18">
        <v>19.0</v>
      </c>
      <c r="E559" s="19">
        <v>9.0</v>
      </c>
      <c r="F559" s="20">
        <v>33700.0</v>
      </c>
      <c r="G559" s="21" t="s">
        <v>2711</v>
      </c>
      <c r="H559" s="19">
        <v>5.0</v>
      </c>
      <c r="I559" s="21" t="s">
        <v>834</v>
      </c>
      <c r="J559" s="22" t="s">
        <v>2637</v>
      </c>
    </row>
    <row r="560">
      <c r="A560" s="15" t="s">
        <v>3270</v>
      </c>
      <c r="B560" s="16">
        <v>45094.0</v>
      </c>
      <c r="C560" s="17">
        <v>45097.0</v>
      </c>
      <c r="D560" s="18">
        <v>20.0</v>
      </c>
      <c r="E560" s="19">
        <v>10.0</v>
      </c>
      <c r="F560" s="20">
        <v>36000.0</v>
      </c>
      <c r="G560" s="21" t="s">
        <v>2711</v>
      </c>
      <c r="H560" s="19">
        <v>4.0</v>
      </c>
      <c r="I560" s="21" t="s">
        <v>1933</v>
      </c>
      <c r="J560" s="22" t="s">
        <v>2537</v>
      </c>
    </row>
    <row r="561">
      <c r="A561" s="15" t="s">
        <v>3271</v>
      </c>
      <c r="B561" s="16">
        <v>45094.0</v>
      </c>
      <c r="C561" s="17">
        <v>45095.0</v>
      </c>
      <c r="D561" s="18">
        <v>14.0</v>
      </c>
      <c r="E561" s="19">
        <v>7.0</v>
      </c>
      <c r="F561" s="20">
        <v>24000.0</v>
      </c>
      <c r="G561" s="21" t="s">
        <v>2711</v>
      </c>
      <c r="H561" s="19">
        <v>4.0</v>
      </c>
      <c r="I561" s="21" t="s">
        <v>66</v>
      </c>
      <c r="J561" s="22" t="s">
        <v>2627</v>
      </c>
    </row>
    <row r="562">
      <c r="A562" s="15" t="s">
        <v>3272</v>
      </c>
      <c r="B562" s="16">
        <v>45094.0</v>
      </c>
      <c r="C562" s="17">
        <v>45096.0</v>
      </c>
      <c r="D562" s="18">
        <v>14.0</v>
      </c>
      <c r="E562" s="19">
        <v>8.0</v>
      </c>
      <c r="F562" s="20">
        <v>26000.0</v>
      </c>
      <c r="G562" s="21" t="s">
        <v>2711</v>
      </c>
      <c r="H562" s="19">
        <v>5.0</v>
      </c>
      <c r="I562" s="21" t="s">
        <v>2184</v>
      </c>
      <c r="J562" s="22" t="s">
        <v>2697</v>
      </c>
    </row>
    <row r="563">
      <c r="A563" s="15" t="s">
        <v>3273</v>
      </c>
      <c r="B563" s="16">
        <v>45094.0</v>
      </c>
      <c r="C563" s="17">
        <v>45097.0</v>
      </c>
      <c r="D563" s="18">
        <v>5.0</v>
      </c>
      <c r="E563" s="19">
        <v>2.0</v>
      </c>
      <c r="F563" s="20">
        <v>14000.0</v>
      </c>
      <c r="G563" s="21" t="s">
        <v>2711</v>
      </c>
      <c r="H563" s="19">
        <v>4.0</v>
      </c>
      <c r="I563" s="21" t="s">
        <v>374</v>
      </c>
      <c r="J563" s="22" t="s">
        <v>2542</v>
      </c>
    </row>
    <row r="564">
      <c r="A564" s="15" t="s">
        <v>3274</v>
      </c>
      <c r="B564" s="17">
        <v>45095.0</v>
      </c>
      <c r="C564" s="17">
        <f t="shared" ref="C564:C565" si="5">B564 + RANDBETWEEN(1,5)</f>
        <v>45098</v>
      </c>
      <c r="D564" s="18">
        <v>6.0</v>
      </c>
      <c r="E564" s="19">
        <v>2.0</v>
      </c>
      <c r="F564" s="20">
        <v>14000.0</v>
      </c>
      <c r="G564" s="21" t="s">
        <v>2711</v>
      </c>
      <c r="H564" s="19">
        <v>5.0</v>
      </c>
      <c r="I564" s="21" t="s">
        <v>621</v>
      </c>
      <c r="J564" s="22" t="s">
        <v>2557</v>
      </c>
    </row>
    <row r="565">
      <c r="A565" s="15" t="s">
        <v>3275</v>
      </c>
      <c r="B565" s="17">
        <v>45095.0</v>
      </c>
      <c r="C565" s="17">
        <f t="shared" si="5"/>
        <v>45099</v>
      </c>
      <c r="D565" s="18">
        <v>6.0</v>
      </c>
      <c r="E565" s="19">
        <v>3.0</v>
      </c>
      <c r="F565" s="20">
        <v>16000.0</v>
      </c>
      <c r="G565" s="21" t="s">
        <v>2711</v>
      </c>
      <c r="H565" s="19">
        <v>5.0</v>
      </c>
      <c r="I565" s="21" t="s">
        <v>874</v>
      </c>
      <c r="J565" s="22" t="s">
        <v>2490</v>
      </c>
    </row>
    <row r="566">
      <c r="A566" s="15" t="s">
        <v>3276</v>
      </c>
      <c r="B566" s="16">
        <v>45095.0</v>
      </c>
      <c r="C566" s="17">
        <v>45099.0</v>
      </c>
      <c r="D566" s="18">
        <v>1.0</v>
      </c>
      <c r="E566" s="19">
        <v>3.0</v>
      </c>
      <c r="F566" s="20">
        <v>16000.0</v>
      </c>
      <c r="G566" s="21" t="s">
        <v>2711</v>
      </c>
      <c r="H566" s="19">
        <v>5.0</v>
      </c>
      <c r="I566" s="21" t="s">
        <v>1320</v>
      </c>
      <c r="J566" s="22" t="s">
        <v>2602</v>
      </c>
    </row>
    <row r="567">
      <c r="A567" s="15" t="s">
        <v>3277</v>
      </c>
      <c r="B567" s="16">
        <v>45095.0</v>
      </c>
      <c r="C567" s="17">
        <v>45099.0</v>
      </c>
      <c r="D567" s="18">
        <v>5.0</v>
      </c>
      <c r="E567" s="19">
        <v>2.0</v>
      </c>
      <c r="F567" s="20">
        <v>14000.0</v>
      </c>
      <c r="G567" s="21" t="s">
        <v>2711</v>
      </c>
      <c r="H567" s="19">
        <v>5.0</v>
      </c>
      <c r="I567" s="21" t="s">
        <v>354</v>
      </c>
      <c r="J567" s="22" t="s">
        <v>2647</v>
      </c>
    </row>
    <row r="568">
      <c r="A568" s="15" t="s">
        <v>3278</v>
      </c>
      <c r="B568" s="16">
        <v>45095.0</v>
      </c>
      <c r="C568" s="17">
        <v>45096.0</v>
      </c>
      <c r="D568" s="18">
        <v>2.0</v>
      </c>
      <c r="E568" s="19">
        <v>3.0</v>
      </c>
      <c r="F568" s="20">
        <v>16000.0</v>
      </c>
      <c r="G568" s="21" t="s">
        <v>2711</v>
      </c>
      <c r="H568" s="19">
        <v>4.0</v>
      </c>
      <c r="I568" s="21" t="s">
        <v>2160</v>
      </c>
      <c r="J568" s="22" t="s">
        <v>2622</v>
      </c>
    </row>
    <row r="569">
      <c r="A569" s="15" t="s">
        <v>3279</v>
      </c>
      <c r="B569" s="16">
        <v>45095.0</v>
      </c>
      <c r="C569" s="17">
        <v>45099.0</v>
      </c>
      <c r="D569" s="18">
        <v>2.0</v>
      </c>
      <c r="E569" s="19">
        <v>2.0</v>
      </c>
      <c r="F569" s="20">
        <v>14000.0</v>
      </c>
      <c r="G569" s="21" t="s">
        <v>2711</v>
      </c>
      <c r="H569" s="19">
        <v>4.0</v>
      </c>
      <c r="I569" s="21" t="s">
        <v>803</v>
      </c>
      <c r="J569" s="22" t="s">
        <v>2622</v>
      </c>
    </row>
    <row r="570">
      <c r="A570" s="15" t="s">
        <v>3280</v>
      </c>
      <c r="B570" s="16">
        <v>45095.0</v>
      </c>
      <c r="C570" s="17">
        <v>45096.0</v>
      </c>
      <c r="D570" s="18">
        <v>2.0</v>
      </c>
      <c r="E570" s="19">
        <v>3.0</v>
      </c>
      <c r="F570" s="20">
        <v>16000.0</v>
      </c>
      <c r="G570" s="21" t="s">
        <v>2711</v>
      </c>
      <c r="H570" s="19">
        <v>5.0</v>
      </c>
      <c r="I570" s="21" t="s">
        <v>1740</v>
      </c>
      <c r="J570" s="22" t="s">
        <v>2612</v>
      </c>
    </row>
    <row r="571">
      <c r="A571" s="15" t="s">
        <v>3281</v>
      </c>
      <c r="B571" s="16">
        <v>45095.0</v>
      </c>
      <c r="C571" s="17">
        <v>45097.0</v>
      </c>
      <c r="D571" s="18">
        <v>19.0</v>
      </c>
      <c r="E571" s="19">
        <v>4.0</v>
      </c>
      <c r="F571" s="20">
        <v>23700.0</v>
      </c>
      <c r="G571" s="21" t="s">
        <v>2711</v>
      </c>
      <c r="H571" s="19">
        <v>4.0</v>
      </c>
      <c r="I571" s="21" t="s">
        <v>1192</v>
      </c>
      <c r="J571" s="22" t="s">
        <v>2484</v>
      </c>
    </row>
    <row r="572">
      <c r="A572" s="15" t="s">
        <v>3282</v>
      </c>
      <c r="B572" s="16">
        <v>45095.0</v>
      </c>
      <c r="C572" s="17">
        <v>45100.0</v>
      </c>
      <c r="D572" s="18">
        <v>3.0</v>
      </c>
      <c r="E572" s="19">
        <v>2.0</v>
      </c>
      <c r="F572" s="20">
        <v>14000.0</v>
      </c>
      <c r="G572" s="21" t="s">
        <v>2711</v>
      </c>
      <c r="H572" s="19">
        <v>5.0</v>
      </c>
      <c r="I572" s="21" t="s">
        <v>700</v>
      </c>
      <c r="J572" s="22" t="s">
        <v>2572</v>
      </c>
    </row>
    <row r="573">
      <c r="A573" s="15" t="s">
        <v>3283</v>
      </c>
      <c r="B573" s="16">
        <v>45095.0</v>
      </c>
      <c r="C573" s="17">
        <v>45096.0</v>
      </c>
      <c r="D573" s="18">
        <v>5.0</v>
      </c>
      <c r="E573" s="19">
        <v>3.0</v>
      </c>
      <c r="F573" s="20">
        <v>16000.0</v>
      </c>
      <c r="G573" s="21" t="s">
        <v>2711</v>
      </c>
      <c r="H573" s="19">
        <v>5.0</v>
      </c>
      <c r="I573" s="21" t="s">
        <v>1756</v>
      </c>
      <c r="J573" s="22" t="s">
        <v>2547</v>
      </c>
    </row>
    <row r="574">
      <c r="A574" s="15" t="s">
        <v>3284</v>
      </c>
      <c r="B574" s="16">
        <v>45095.0</v>
      </c>
      <c r="C574" s="17">
        <v>45096.0</v>
      </c>
      <c r="D574" s="18">
        <v>3.0</v>
      </c>
      <c r="E574" s="19">
        <v>2.0</v>
      </c>
      <c r="F574" s="20">
        <v>14000.0</v>
      </c>
      <c r="G574" s="21" t="s">
        <v>2711</v>
      </c>
      <c r="H574" s="19">
        <v>5.0</v>
      </c>
      <c r="I574" s="21" t="s">
        <v>2287</v>
      </c>
      <c r="J574" s="22" t="s">
        <v>2496</v>
      </c>
    </row>
    <row r="575">
      <c r="A575" s="15" t="s">
        <v>3285</v>
      </c>
      <c r="B575" s="16">
        <v>45095.0</v>
      </c>
      <c r="C575" s="17">
        <v>45099.0</v>
      </c>
      <c r="D575" s="18">
        <v>14.0</v>
      </c>
      <c r="E575" s="19">
        <v>4.0</v>
      </c>
      <c r="F575" s="20">
        <v>18000.0</v>
      </c>
      <c r="G575" s="21" t="s">
        <v>2711</v>
      </c>
      <c r="H575" s="19">
        <v>4.0</v>
      </c>
      <c r="I575" s="21" t="s">
        <v>799</v>
      </c>
      <c r="J575" s="22" t="s">
        <v>2587</v>
      </c>
    </row>
    <row r="576">
      <c r="A576" s="15" t="s">
        <v>3286</v>
      </c>
      <c r="B576" s="16">
        <v>45095.0</v>
      </c>
      <c r="C576" s="17">
        <v>45099.0</v>
      </c>
      <c r="D576" s="18">
        <v>4.0</v>
      </c>
      <c r="E576" s="19">
        <v>1.0</v>
      </c>
      <c r="F576" s="20">
        <v>12000.0</v>
      </c>
      <c r="G576" s="21" t="s">
        <v>2711</v>
      </c>
      <c r="H576" s="19">
        <v>5.0</v>
      </c>
      <c r="I576" s="21" t="s">
        <v>442</v>
      </c>
      <c r="J576" s="22" t="s">
        <v>2511</v>
      </c>
    </row>
    <row r="577">
      <c r="A577" s="15" t="s">
        <v>3287</v>
      </c>
      <c r="B577" s="16">
        <v>45095.0</v>
      </c>
      <c r="C577" s="17">
        <v>45100.0</v>
      </c>
      <c r="D577" s="18">
        <v>6.0</v>
      </c>
      <c r="E577" s="19">
        <v>3.0</v>
      </c>
      <c r="F577" s="20">
        <v>16000.0</v>
      </c>
      <c r="G577" s="21" t="s">
        <v>2711</v>
      </c>
      <c r="H577" s="19">
        <v>5.0</v>
      </c>
      <c r="I577" s="21" t="s">
        <v>656</v>
      </c>
      <c r="J577" s="22" t="s">
        <v>2617</v>
      </c>
    </row>
    <row r="578">
      <c r="A578" s="15" t="s">
        <v>3288</v>
      </c>
      <c r="B578" s="16">
        <v>45095.0</v>
      </c>
      <c r="C578" s="17">
        <v>45098.0</v>
      </c>
      <c r="D578" s="18">
        <v>2.0</v>
      </c>
      <c r="E578" s="19">
        <v>2.0</v>
      </c>
      <c r="F578" s="20">
        <v>14000.0</v>
      </c>
      <c r="G578" s="21" t="s">
        <v>2711</v>
      </c>
      <c r="H578" s="19">
        <v>4.0</v>
      </c>
      <c r="I578" s="21" t="s">
        <v>2049</v>
      </c>
      <c r="J578" s="22" t="s">
        <v>2516</v>
      </c>
    </row>
    <row r="579">
      <c r="A579" s="15" t="s">
        <v>3289</v>
      </c>
      <c r="B579" s="16">
        <v>45095.0</v>
      </c>
      <c r="C579" s="17">
        <v>45099.0</v>
      </c>
      <c r="D579" s="18">
        <v>9.0</v>
      </c>
      <c r="E579" s="19">
        <v>8.0</v>
      </c>
      <c r="F579" s="20">
        <v>26000.0</v>
      </c>
      <c r="G579" s="21" t="s">
        <v>2711</v>
      </c>
      <c r="H579" s="19">
        <v>4.0</v>
      </c>
      <c r="I579" s="21" t="s">
        <v>74</v>
      </c>
      <c r="J579" s="22" t="s">
        <v>2627</v>
      </c>
    </row>
    <row r="580">
      <c r="A580" s="15" t="s">
        <v>3290</v>
      </c>
      <c r="B580" s="16">
        <v>45095.0</v>
      </c>
      <c r="C580" s="17">
        <v>45098.0</v>
      </c>
      <c r="D580" s="18">
        <v>8.0</v>
      </c>
      <c r="E580" s="19">
        <v>5.0</v>
      </c>
      <c r="F580" s="20">
        <v>20000.0</v>
      </c>
      <c r="G580" s="21" t="s">
        <v>2711</v>
      </c>
      <c r="H580" s="19">
        <v>5.0</v>
      </c>
      <c r="I580" s="21" t="s">
        <v>700</v>
      </c>
      <c r="J580" s="22" t="s">
        <v>2662</v>
      </c>
    </row>
    <row r="581">
      <c r="A581" s="15" t="s">
        <v>3291</v>
      </c>
      <c r="B581" s="16">
        <v>45095.0</v>
      </c>
      <c r="C581" s="17">
        <v>45097.0</v>
      </c>
      <c r="D581" s="18">
        <v>2.0</v>
      </c>
      <c r="E581" s="19">
        <v>3.0</v>
      </c>
      <c r="F581" s="20">
        <v>16000.0</v>
      </c>
      <c r="G581" s="21" t="s">
        <v>2711</v>
      </c>
      <c r="H581" s="19">
        <v>5.0</v>
      </c>
      <c r="I581" s="21" t="s">
        <v>174</v>
      </c>
      <c r="J581" s="22" t="s">
        <v>2547</v>
      </c>
    </row>
    <row r="582">
      <c r="A582" s="15" t="s">
        <v>3292</v>
      </c>
      <c r="B582" s="16">
        <v>45095.0</v>
      </c>
      <c r="C582" s="17">
        <v>45100.0</v>
      </c>
      <c r="D582" s="18">
        <v>1.0</v>
      </c>
      <c r="E582" s="19">
        <v>3.0</v>
      </c>
      <c r="F582" s="20">
        <v>16000.0</v>
      </c>
      <c r="G582" s="21" t="s">
        <v>2711</v>
      </c>
      <c r="H582" s="19">
        <v>4.0</v>
      </c>
      <c r="I582" s="21" t="s">
        <v>1918</v>
      </c>
      <c r="J582" s="22" t="s">
        <v>2642</v>
      </c>
    </row>
    <row r="583">
      <c r="A583" s="15" t="s">
        <v>3293</v>
      </c>
      <c r="B583" s="16">
        <v>45095.0</v>
      </c>
      <c r="C583" s="17">
        <v>45097.0</v>
      </c>
      <c r="D583" s="18">
        <v>13.0</v>
      </c>
      <c r="E583" s="19">
        <v>6.0</v>
      </c>
      <c r="F583" s="20">
        <v>22000.0</v>
      </c>
      <c r="G583" s="21" t="s">
        <v>2711</v>
      </c>
      <c r="H583" s="19">
        <v>5.0</v>
      </c>
      <c r="I583" s="21" t="s">
        <v>6</v>
      </c>
      <c r="J583" s="22" t="s">
        <v>2637</v>
      </c>
    </row>
    <row r="584">
      <c r="A584" s="15" t="s">
        <v>3294</v>
      </c>
      <c r="B584" s="16">
        <v>45095.0</v>
      </c>
      <c r="C584" s="17">
        <v>45097.0</v>
      </c>
      <c r="D584" s="18">
        <v>3.0</v>
      </c>
      <c r="E584" s="19">
        <v>2.0</v>
      </c>
      <c r="F584" s="20">
        <v>14000.0</v>
      </c>
      <c r="G584" s="21" t="s">
        <v>2711</v>
      </c>
      <c r="H584" s="19">
        <v>4.0</v>
      </c>
      <c r="I584" s="21" t="s">
        <v>1822</v>
      </c>
      <c r="J584" s="22" t="s">
        <v>2687</v>
      </c>
    </row>
    <row r="585">
      <c r="A585" s="15" t="s">
        <v>3295</v>
      </c>
      <c r="B585" s="16">
        <v>45095.0</v>
      </c>
      <c r="C585" s="17">
        <v>45096.0</v>
      </c>
      <c r="D585" s="18">
        <v>10.0</v>
      </c>
      <c r="E585" s="19">
        <v>4.0</v>
      </c>
      <c r="F585" s="20">
        <v>18000.0</v>
      </c>
      <c r="G585" s="21" t="s">
        <v>2711</v>
      </c>
      <c r="H585" s="19">
        <v>5.0</v>
      </c>
      <c r="I585" s="21" t="s">
        <v>2350</v>
      </c>
      <c r="J585" s="22" t="s">
        <v>2501</v>
      </c>
    </row>
    <row r="586">
      <c r="A586" s="15" t="s">
        <v>3296</v>
      </c>
      <c r="B586" s="16">
        <v>45095.0</v>
      </c>
      <c r="C586" s="17">
        <v>45099.0</v>
      </c>
      <c r="D586" s="18">
        <v>11.0</v>
      </c>
      <c r="E586" s="19">
        <v>4.0</v>
      </c>
      <c r="F586" s="20">
        <v>18000.0</v>
      </c>
      <c r="G586" s="21" t="s">
        <v>2711</v>
      </c>
      <c r="H586" s="19">
        <v>4.0</v>
      </c>
      <c r="I586" s="21" t="s">
        <v>1815</v>
      </c>
      <c r="J586" s="22" t="s">
        <v>2484</v>
      </c>
    </row>
    <row r="587">
      <c r="A587" s="15" t="s">
        <v>3297</v>
      </c>
      <c r="B587" s="16">
        <v>45095.0</v>
      </c>
      <c r="C587" s="17">
        <v>45100.0</v>
      </c>
      <c r="D587" s="18">
        <v>2.0</v>
      </c>
      <c r="E587" s="19">
        <v>2.0</v>
      </c>
      <c r="F587" s="20">
        <v>14000.0</v>
      </c>
      <c r="G587" s="21" t="s">
        <v>2711</v>
      </c>
      <c r="H587" s="19">
        <v>5.0</v>
      </c>
      <c r="I587" s="21" t="s">
        <v>1145</v>
      </c>
      <c r="J587" s="22" t="s">
        <v>2602</v>
      </c>
    </row>
    <row r="588">
      <c r="A588" s="15" t="s">
        <v>3298</v>
      </c>
      <c r="B588" s="16">
        <v>45095.0</v>
      </c>
      <c r="C588" s="17">
        <v>45100.0</v>
      </c>
      <c r="D588" s="18">
        <v>3.0</v>
      </c>
      <c r="E588" s="19">
        <v>3.0</v>
      </c>
      <c r="F588" s="20">
        <v>16000.0</v>
      </c>
      <c r="G588" s="21" t="s">
        <v>2711</v>
      </c>
      <c r="H588" s="19">
        <v>5.0</v>
      </c>
      <c r="I588" s="21" t="s">
        <v>985</v>
      </c>
      <c r="J588" s="22" t="s">
        <v>2612</v>
      </c>
    </row>
    <row r="589">
      <c r="A589" s="15" t="s">
        <v>3299</v>
      </c>
      <c r="B589" s="16">
        <v>45095.0</v>
      </c>
      <c r="C589" s="17">
        <v>45096.0</v>
      </c>
      <c r="D589" s="18">
        <v>5.0</v>
      </c>
      <c r="E589" s="19">
        <v>3.0</v>
      </c>
      <c r="F589" s="20">
        <v>16000.0</v>
      </c>
      <c r="G589" s="21" t="s">
        <v>2711</v>
      </c>
      <c r="H589" s="19">
        <v>4.0</v>
      </c>
      <c r="I589" s="21" t="s">
        <v>242</v>
      </c>
      <c r="J589" s="22" t="s">
        <v>2527</v>
      </c>
    </row>
    <row r="590">
      <c r="A590" s="15" t="s">
        <v>3300</v>
      </c>
      <c r="B590" s="16">
        <v>45095.0</v>
      </c>
      <c r="C590" s="17">
        <v>45098.0</v>
      </c>
      <c r="D590" s="18">
        <v>6.0</v>
      </c>
      <c r="E590" s="19">
        <v>3.0</v>
      </c>
      <c r="F590" s="20">
        <v>16000.0</v>
      </c>
      <c r="G590" s="21" t="s">
        <v>2711</v>
      </c>
      <c r="H590" s="19">
        <v>4.0</v>
      </c>
      <c r="I590" s="21" t="s">
        <v>1394</v>
      </c>
      <c r="J590" s="22" t="s">
        <v>2511</v>
      </c>
    </row>
    <row r="591">
      <c r="A591" s="15" t="s">
        <v>3301</v>
      </c>
      <c r="B591" s="16">
        <v>45095.0</v>
      </c>
      <c r="C591" s="17">
        <v>45096.0</v>
      </c>
      <c r="D591" s="18">
        <v>2.0</v>
      </c>
      <c r="E591" s="19">
        <v>3.0</v>
      </c>
      <c r="F591" s="20">
        <v>16000.0</v>
      </c>
      <c r="G591" s="21" t="s">
        <v>2711</v>
      </c>
      <c r="H591" s="19">
        <v>4.0</v>
      </c>
      <c r="I591" s="21" t="s">
        <v>166</v>
      </c>
      <c r="J591" s="22" t="s">
        <v>2572</v>
      </c>
    </row>
    <row r="592">
      <c r="A592" s="15" t="s">
        <v>3302</v>
      </c>
      <c r="B592" s="16">
        <v>45095.0</v>
      </c>
      <c r="C592" s="17">
        <v>45100.0</v>
      </c>
      <c r="D592" s="18">
        <v>4.0</v>
      </c>
      <c r="E592" s="19">
        <v>2.0</v>
      </c>
      <c r="F592" s="20">
        <v>14000.0</v>
      </c>
      <c r="G592" s="21" t="s">
        <v>2711</v>
      </c>
      <c r="H592" s="19">
        <v>5.0</v>
      </c>
      <c r="I592" s="21" t="s">
        <v>2244</v>
      </c>
      <c r="J592" s="22" t="s">
        <v>2557</v>
      </c>
    </row>
    <row r="593">
      <c r="A593" s="15" t="s">
        <v>3303</v>
      </c>
      <c r="B593" s="16">
        <v>45095.0</v>
      </c>
      <c r="C593" s="17">
        <v>45099.0</v>
      </c>
      <c r="D593" s="18">
        <v>1.0</v>
      </c>
      <c r="E593" s="19">
        <v>1.0</v>
      </c>
      <c r="F593" s="20">
        <v>12000.0</v>
      </c>
      <c r="G593" s="21" t="s">
        <v>2711</v>
      </c>
      <c r="H593" s="19">
        <v>5.0</v>
      </c>
      <c r="I593" s="21" t="s">
        <v>2441</v>
      </c>
      <c r="J593" s="22" t="s">
        <v>2602</v>
      </c>
    </row>
    <row r="594">
      <c r="A594" s="15" t="s">
        <v>3304</v>
      </c>
      <c r="B594" s="16">
        <v>45095.0</v>
      </c>
      <c r="C594" s="17">
        <v>45096.0</v>
      </c>
      <c r="D594" s="18">
        <v>19.0</v>
      </c>
      <c r="E594" s="19">
        <v>9.0</v>
      </c>
      <c r="F594" s="20">
        <v>33700.0</v>
      </c>
      <c r="G594" s="21" t="s">
        <v>2711</v>
      </c>
      <c r="H594" s="19">
        <v>4.0</v>
      </c>
      <c r="I594" s="21" t="s">
        <v>114</v>
      </c>
      <c r="J594" s="22" t="s">
        <v>2637</v>
      </c>
    </row>
    <row r="595">
      <c r="A595" s="15" t="s">
        <v>3305</v>
      </c>
      <c r="B595" s="16">
        <v>45095.0</v>
      </c>
      <c r="C595" s="17">
        <v>45099.0</v>
      </c>
      <c r="D595" s="18">
        <v>13.0</v>
      </c>
      <c r="E595" s="19">
        <v>4.0</v>
      </c>
      <c r="F595" s="20">
        <v>18000.0</v>
      </c>
      <c r="G595" s="21" t="s">
        <v>2711</v>
      </c>
      <c r="H595" s="19">
        <v>4.0</v>
      </c>
      <c r="I595" s="21" t="s">
        <v>1717</v>
      </c>
      <c r="J595" s="22" t="s">
        <v>2637</v>
      </c>
    </row>
    <row r="596">
      <c r="A596" s="15" t="s">
        <v>3306</v>
      </c>
      <c r="B596" s="16">
        <v>45095.0</v>
      </c>
      <c r="C596" s="17">
        <v>45097.0</v>
      </c>
      <c r="D596" s="18">
        <v>1.0</v>
      </c>
      <c r="E596" s="19">
        <v>3.0</v>
      </c>
      <c r="F596" s="20">
        <v>16000.0</v>
      </c>
      <c r="G596" s="21" t="s">
        <v>2711</v>
      </c>
      <c r="H596" s="19">
        <v>5.0</v>
      </c>
      <c r="I596" s="21" t="s">
        <v>1752</v>
      </c>
      <c r="J596" s="22" t="s">
        <v>2622</v>
      </c>
    </row>
    <row r="597">
      <c r="A597" s="15" t="s">
        <v>3307</v>
      </c>
      <c r="B597" s="16">
        <v>45095.0</v>
      </c>
      <c r="C597" s="17">
        <v>45099.0</v>
      </c>
      <c r="D597" s="18">
        <v>2.0</v>
      </c>
      <c r="E597" s="19">
        <v>1.0</v>
      </c>
      <c r="F597" s="20">
        <v>12000.0</v>
      </c>
      <c r="G597" s="21" t="s">
        <v>2711</v>
      </c>
      <c r="H597" s="19">
        <v>4.0</v>
      </c>
      <c r="I597" s="21" t="s">
        <v>2342</v>
      </c>
      <c r="J597" s="22" t="s">
        <v>2692</v>
      </c>
    </row>
    <row r="598">
      <c r="A598" s="15" t="s">
        <v>3308</v>
      </c>
      <c r="B598" s="17">
        <v>45096.0</v>
      </c>
      <c r="C598" s="17">
        <f>B598 + RANDBETWEEN(1,5)</f>
        <v>45101</v>
      </c>
      <c r="D598" s="18">
        <v>5.0</v>
      </c>
      <c r="E598" s="19">
        <v>3.0</v>
      </c>
      <c r="F598" s="20">
        <v>16000.0</v>
      </c>
      <c r="G598" s="21" t="s">
        <v>2711</v>
      </c>
      <c r="H598" s="19">
        <v>5.0</v>
      </c>
      <c r="I598" s="21" t="s">
        <v>410</v>
      </c>
      <c r="J598" s="22" t="s">
        <v>2647</v>
      </c>
    </row>
    <row r="599">
      <c r="A599" s="15" t="s">
        <v>3309</v>
      </c>
      <c r="B599" s="16">
        <v>45096.0</v>
      </c>
      <c r="C599" s="17">
        <v>45100.0</v>
      </c>
      <c r="D599" s="18">
        <v>5.0</v>
      </c>
      <c r="E599" s="19">
        <v>1.0</v>
      </c>
      <c r="F599" s="20">
        <v>12000.0</v>
      </c>
      <c r="G599" s="21" t="s">
        <v>2711</v>
      </c>
      <c r="H599" s="19">
        <v>4.0</v>
      </c>
      <c r="I599" s="21" t="s">
        <v>914</v>
      </c>
      <c r="J599" s="22" t="s">
        <v>2542</v>
      </c>
    </row>
    <row r="600">
      <c r="A600" s="15" t="s">
        <v>3310</v>
      </c>
      <c r="B600" s="16">
        <v>45096.0</v>
      </c>
      <c r="C600" s="17">
        <v>45101.0</v>
      </c>
      <c r="D600" s="18">
        <v>2.0</v>
      </c>
      <c r="E600" s="19">
        <v>2.0</v>
      </c>
      <c r="F600" s="20">
        <v>14000.0</v>
      </c>
      <c r="G600" s="21" t="s">
        <v>2711</v>
      </c>
      <c r="H600" s="19">
        <v>5.0</v>
      </c>
      <c r="I600" s="21" t="s">
        <v>577</v>
      </c>
      <c r="J600" s="22" t="s">
        <v>2547</v>
      </c>
    </row>
    <row r="601">
      <c r="A601" s="15" t="s">
        <v>3311</v>
      </c>
      <c r="B601" s="16">
        <v>45096.0</v>
      </c>
      <c r="C601" s="17">
        <v>45099.0</v>
      </c>
      <c r="D601" s="18">
        <v>5.0</v>
      </c>
      <c r="E601" s="19">
        <v>3.0</v>
      </c>
      <c r="F601" s="20">
        <v>16000.0</v>
      </c>
      <c r="G601" s="21" t="s">
        <v>2711</v>
      </c>
      <c r="H601" s="19">
        <v>5.0</v>
      </c>
      <c r="I601" s="21" t="s">
        <v>1169</v>
      </c>
      <c r="J601" s="22" t="s">
        <v>2617</v>
      </c>
    </row>
    <row r="602">
      <c r="A602" s="15" t="s">
        <v>3312</v>
      </c>
      <c r="B602" s="16">
        <v>45096.0</v>
      </c>
      <c r="C602" s="17">
        <v>45100.0</v>
      </c>
      <c r="D602" s="18">
        <v>6.0</v>
      </c>
      <c r="E602" s="19">
        <v>3.0</v>
      </c>
      <c r="F602" s="20">
        <v>16000.0</v>
      </c>
      <c r="G602" s="21" t="s">
        <v>2711</v>
      </c>
      <c r="H602" s="19">
        <v>5.0</v>
      </c>
      <c r="I602" s="21" t="s">
        <v>890</v>
      </c>
      <c r="J602" s="22" t="s">
        <v>2647</v>
      </c>
    </row>
    <row r="603">
      <c r="A603" s="15" t="s">
        <v>3313</v>
      </c>
      <c r="B603" s="16">
        <v>45096.0</v>
      </c>
      <c r="C603" s="17">
        <v>45100.0</v>
      </c>
      <c r="D603" s="18">
        <v>5.0</v>
      </c>
      <c r="E603" s="19">
        <v>2.0</v>
      </c>
      <c r="F603" s="20">
        <v>14000.0</v>
      </c>
      <c r="G603" s="21" t="s">
        <v>2711</v>
      </c>
      <c r="H603" s="19">
        <v>4.0</v>
      </c>
      <c r="I603" s="21" t="s">
        <v>2393</v>
      </c>
      <c r="J603" s="22" t="s">
        <v>2582</v>
      </c>
    </row>
    <row r="604">
      <c r="A604" s="15" t="s">
        <v>3314</v>
      </c>
      <c r="B604" s="16">
        <v>45096.0</v>
      </c>
      <c r="C604" s="17">
        <v>45097.0</v>
      </c>
      <c r="D604" s="18">
        <v>4.0</v>
      </c>
      <c r="E604" s="19">
        <v>3.0</v>
      </c>
      <c r="F604" s="20">
        <v>16000.0</v>
      </c>
      <c r="G604" s="21" t="s">
        <v>2711</v>
      </c>
      <c r="H604" s="19">
        <v>4.0</v>
      </c>
      <c r="I604" s="21" t="s">
        <v>2251</v>
      </c>
      <c r="J604" s="22" t="s">
        <v>2567</v>
      </c>
    </row>
    <row r="605">
      <c r="A605" s="15" t="s">
        <v>3315</v>
      </c>
      <c r="B605" s="16">
        <v>45096.0</v>
      </c>
      <c r="C605" s="17">
        <v>45101.0</v>
      </c>
      <c r="D605" s="18">
        <v>6.0</v>
      </c>
      <c r="E605" s="19">
        <v>2.0</v>
      </c>
      <c r="F605" s="20">
        <v>14000.0</v>
      </c>
      <c r="G605" s="21" t="s">
        <v>2711</v>
      </c>
      <c r="H605" s="19">
        <v>5.0</v>
      </c>
      <c r="I605" s="21" t="s">
        <v>2283</v>
      </c>
      <c r="J605" s="22" t="s">
        <v>2612</v>
      </c>
    </row>
    <row r="606">
      <c r="A606" s="15" t="s">
        <v>3316</v>
      </c>
      <c r="B606" s="16">
        <v>45096.0</v>
      </c>
      <c r="C606" s="17">
        <v>45097.0</v>
      </c>
      <c r="D606" s="18">
        <v>4.0</v>
      </c>
      <c r="E606" s="19">
        <v>2.0</v>
      </c>
      <c r="F606" s="20">
        <v>14000.0</v>
      </c>
      <c r="G606" s="21" t="s">
        <v>2711</v>
      </c>
      <c r="H606" s="19">
        <v>4.0</v>
      </c>
      <c r="I606" s="21" t="s">
        <v>1061</v>
      </c>
      <c r="J606" s="22" t="s">
        <v>2652</v>
      </c>
    </row>
    <row r="607">
      <c r="A607" s="15" t="s">
        <v>3317</v>
      </c>
      <c r="B607" s="16">
        <v>45096.0</v>
      </c>
      <c r="C607" s="17">
        <v>45099.0</v>
      </c>
      <c r="D607" s="18">
        <v>4.0</v>
      </c>
      <c r="E607" s="19">
        <v>2.0</v>
      </c>
      <c r="F607" s="20">
        <v>14000.0</v>
      </c>
      <c r="G607" s="21" t="s">
        <v>2711</v>
      </c>
      <c r="H607" s="19">
        <v>4.0</v>
      </c>
      <c r="I607" s="21" t="s">
        <v>138</v>
      </c>
      <c r="J607" s="22" t="s">
        <v>2490</v>
      </c>
    </row>
    <row r="608">
      <c r="A608" s="15" t="s">
        <v>3318</v>
      </c>
      <c r="B608" s="16">
        <v>45096.0</v>
      </c>
      <c r="C608" s="17">
        <v>45100.0</v>
      </c>
      <c r="D608" s="18">
        <v>8.0</v>
      </c>
      <c r="E608" s="19">
        <v>6.0</v>
      </c>
      <c r="F608" s="20">
        <v>22000.0</v>
      </c>
      <c r="G608" s="21" t="s">
        <v>2711</v>
      </c>
      <c r="H608" s="19">
        <v>4.0</v>
      </c>
      <c r="I608" s="21" t="s">
        <v>2445</v>
      </c>
      <c r="J608" s="22" t="s">
        <v>2627</v>
      </c>
    </row>
    <row r="609">
      <c r="A609" s="15" t="s">
        <v>3319</v>
      </c>
      <c r="B609" s="16">
        <v>45096.0</v>
      </c>
      <c r="C609" s="17">
        <v>45100.0</v>
      </c>
      <c r="D609" s="18">
        <v>3.0</v>
      </c>
      <c r="E609" s="19">
        <v>1.0</v>
      </c>
      <c r="F609" s="20">
        <v>12000.0</v>
      </c>
      <c r="G609" s="21" t="s">
        <v>2711</v>
      </c>
      <c r="H609" s="19">
        <v>4.0</v>
      </c>
      <c r="I609" s="21" t="s">
        <v>850</v>
      </c>
      <c r="J609" s="22" t="s">
        <v>2577</v>
      </c>
    </row>
    <row r="610">
      <c r="A610" s="15" t="s">
        <v>3320</v>
      </c>
      <c r="B610" s="16">
        <v>45096.0</v>
      </c>
      <c r="C610" s="17">
        <v>45097.0</v>
      </c>
      <c r="D610" s="18">
        <v>1.0</v>
      </c>
      <c r="E610" s="19">
        <v>2.0</v>
      </c>
      <c r="F610" s="20">
        <v>14000.0</v>
      </c>
      <c r="G610" s="21" t="s">
        <v>2711</v>
      </c>
      <c r="H610" s="19">
        <v>5.0</v>
      </c>
      <c r="I610" s="21" t="s">
        <v>354</v>
      </c>
      <c r="J610" s="22" t="s">
        <v>2567</v>
      </c>
    </row>
    <row r="611">
      <c r="A611" s="15" t="s">
        <v>3321</v>
      </c>
      <c r="B611" s="16">
        <v>45096.0</v>
      </c>
      <c r="C611" s="17">
        <v>45100.0</v>
      </c>
      <c r="D611" s="18">
        <v>3.0</v>
      </c>
      <c r="E611" s="19">
        <v>2.0</v>
      </c>
      <c r="F611" s="20">
        <v>14000.0</v>
      </c>
      <c r="G611" s="21" t="s">
        <v>2711</v>
      </c>
      <c r="H611" s="19">
        <v>4.0</v>
      </c>
      <c r="I611" s="21" t="s">
        <v>993</v>
      </c>
      <c r="J611" s="22" t="s">
        <v>2532</v>
      </c>
    </row>
    <row r="612">
      <c r="A612" s="15" t="s">
        <v>3322</v>
      </c>
      <c r="B612" s="16">
        <v>45096.0</v>
      </c>
      <c r="C612" s="17">
        <v>45099.0</v>
      </c>
      <c r="D612" s="18">
        <v>5.0</v>
      </c>
      <c r="E612" s="19">
        <v>1.0</v>
      </c>
      <c r="F612" s="20">
        <v>12000.0</v>
      </c>
      <c r="G612" s="21" t="s">
        <v>2711</v>
      </c>
      <c r="H612" s="19">
        <v>4.0</v>
      </c>
      <c r="I612" s="21" t="s">
        <v>1894</v>
      </c>
      <c r="J612" s="22" t="s">
        <v>2542</v>
      </c>
    </row>
    <row r="613">
      <c r="A613" s="15" t="s">
        <v>3323</v>
      </c>
      <c r="B613" s="16">
        <v>45096.0</v>
      </c>
      <c r="C613" s="17">
        <v>45099.0</v>
      </c>
      <c r="D613" s="18">
        <v>14.0</v>
      </c>
      <c r="E613" s="19">
        <v>4.0</v>
      </c>
      <c r="F613" s="20">
        <v>18000.0</v>
      </c>
      <c r="G613" s="21" t="s">
        <v>2711</v>
      </c>
      <c r="H613" s="19">
        <v>4.0</v>
      </c>
      <c r="I613" s="21" t="s">
        <v>102</v>
      </c>
      <c r="J613" s="22" t="s">
        <v>2637</v>
      </c>
    </row>
    <row r="614">
      <c r="A614" s="15" t="s">
        <v>3324</v>
      </c>
      <c r="B614" s="16">
        <v>45096.0</v>
      </c>
      <c r="C614" s="17">
        <v>45099.0</v>
      </c>
      <c r="D614" s="18">
        <v>2.0</v>
      </c>
      <c r="E614" s="19">
        <v>1.0</v>
      </c>
      <c r="F614" s="20">
        <v>12000.0</v>
      </c>
      <c r="G614" s="21" t="s">
        <v>2711</v>
      </c>
      <c r="H614" s="19">
        <v>5.0</v>
      </c>
      <c r="I614" s="21" t="s">
        <v>314</v>
      </c>
      <c r="J614" s="22" t="s">
        <v>2490</v>
      </c>
    </row>
    <row r="615">
      <c r="A615" s="15" t="s">
        <v>3325</v>
      </c>
      <c r="B615" s="16">
        <v>45096.0</v>
      </c>
      <c r="C615" s="17">
        <v>45101.0</v>
      </c>
      <c r="D615" s="18">
        <v>6.0</v>
      </c>
      <c r="E615" s="19">
        <v>3.0</v>
      </c>
      <c r="F615" s="20">
        <v>16000.0</v>
      </c>
      <c r="G615" s="21" t="s">
        <v>2711</v>
      </c>
      <c r="H615" s="19">
        <v>4.0</v>
      </c>
      <c r="I615" s="21" t="s">
        <v>1125</v>
      </c>
      <c r="J615" s="22" t="s">
        <v>2542</v>
      </c>
    </row>
    <row r="616">
      <c r="A616" s="15" t="s">
        <v>3326</v>
      </c>
      <c r="B616" s="16">
        <v>45096.0</v>
      </c>
      <c r="C616" s="17">
        <v>45097.0</v>
      </c>
      <c r="D616" s="18">
        <v>2.0</v>
      </c>
      <c r="E616" s="19">
        <v>2.0</v>
      </c>
      <c r="F616" s="20">
        <v>14000.0</v>
      </c>
      <c r="G616" s="21" t="s">
        <v>2711</v>
      </c>
      <c r="H616" s="19">
        <v>5.0</v>
      </c>
      <c r="I616" s="21" t="s">
        <v>1989</v>
      </c>
      <c r="J616" s="22" t="s">
        <v>2602</v>
      </c>
    </row>
    <row r="617">
      <c r="A617" s="15" t="s">
        <v>3327</v>
      </c>
      <c r="B617" s="16">
        <v>45096.0</v>
      </c>
      <c r="C617" s="17">
        <v>45097.0</v>
      </c>
      <c r="D617" s="18">
        <v>17.0</v>
      </c>
      <c r="E617" s="19">
        <v>7.0</v>
      </c>
      <c r="F617" s="20">
        <v>29100.0</v>
      </c>
      <c r="G617" s="21" t="s">
        <v>2711</v>
      </c>
      <c r="H617" s="19">
        <v>5.0</v>
      </c>
      <c r="I617" s="21" t="s">
        <v>1418</v>
      </c>
      <c r="J617" s="22" t="s">
        <v>2587</v>
      </c>
    </row>
    <row r="618">
      <c r="A618" s="15" t="s">
        <v>3328</v>
      </c>
      <c r="B618" s="16">
        <v>45096.0</v>
      </c>
      <c r="C618" s="17">
        <v>45097.0</v>
      </c>
      <c r="D618" s="18">
        <v>6.0</v>
      </c>
      <c r="E618" s="19">
        <v>3.0</v>
      </c>
      <c r="F618" s="20">
        <v>16000.0</v>
      </c>
      <c r="G618" s="21" t="s">
        <v>2711</v>
      </c>
      <c r="H618" s="19">
        <v>5.0</v>
      </c>
      <c r="I618" s="21" t="s">
        <v>1232</v>
      </c>
      <c r="J618" s="22" t="s">
        <v>2511</v>
      </c>
    </row>
    <row r="619">
      <c r="A619" s="15" t="s">
        <v>3329</v>
      </c>
      <c r="B619" s="16">
        <v>45096.0</v>
      </c>
      <c r="C619" s="17">
        <v>45097.0</v>
      </c>
      <c r="D619" s="18">
        <v>5.0</v>
      </c>
      <c r="E619" s="19">
        <v>2.0</v>
      </c>
      <c r="F619" s="20">
        <v>14000.0</v>
      </c>
      <c r="G619" s="21" t="s">
        <v>2711</v>
      </c>
      <c r="H619" s="19">
        <v>4.0</v>
      </c>
      <c r="I619" s="21" t="s">
        <v>2334</v>
      </c>
      <c r="J619" s="22" t="s">
        <v>2677</v>
      </c>
    </row>
    <row r="620">
      <c r="A620" s="40" t="s">
        <v>3330</v>
      </c>
      <c r="B620" s="45">
        <v>45096.0</v>
      </c>
      <c r="C620" s="42">
        <v>45097.0</v>
      </c>
      <c r="D620" s="40">
        <v>9.0</v>
      </c>
      <c r="E620" s="40">
        <v>10.0</v>
      </c>
      <c r="F620" s="46">
        <v>30000.0</v>
      </c>
      <c r="G620" s="40" t="s">
        <v>2711</v>
      </c>
      <c r="H620" s="40">
        <v>5.0</v>
      </c>
      <c r="I620" s="40" t="s">
        <v>676</v>
      </c>
      <c r="J620" s="40" t="s">
        <v>2537</v>
      </c>
    </row>
    <row r="621">
      <c r="A621" s="40" t="s">
        <v>3331</v>
      </c>
      <c r="B621" s="45">
        <v>45096.0</v>
      </c>
      <c r="C621" s="42">
        <v>45097.0</v>
      </c>
      <c r="D621" s="40">
        <v>2.0</v>
      </c>
      <c r="E621" s="40">
        <v>1.0</v>
      </c>
      <c r="F621" s="46">
        <v>12000.0</v>
      </c>
      <c r="G621" s="40" t="s">
        <v>2711</v>
      </c>
      <c r="H621" s="40">
        <v>5.0</v>
      </c>
      <c r="I621" s="40" t="s">
        <v>70</v>
      </c>
      <c r="J621" s="40" t="s">
        <v>2622</v>
      </c>
    </row>
    <row r="622">
      <c r="A622" s="15" t="s">
        <v>3332</v>
      </c>
      <c r="B622" s="16">
        <v>45096.0</v>
      </c>
      <c r="C622" s="17">
        <v>45100.0</v>
      </c>
      <c r="D622" s="18">
        <v>13.0</v>
      </c>
      <c r="E622" s="19">
        <v>7.0</v>
      </c>
      <c r="F622" s="20">
        <v>24000.0</v>
      </c>
      <c r="G622" s="21" t="s">
        <v>2711</v>
      </c>
      <c r="H622" s="19">
        <v>4.0</v>
      </c>
      <c r="I622" s="21" t="s">
        <v>414</v>
      </c>
      <c r="J622" s="22" t="s">
        <v>2537</v>
      </c>
    </row>
    <row r="623">
      <c r="A623" s="15" t="s">
        <v>3333</v>
      </c>
      <c r="B623" s="16">
        <v>45096.0</v>
      </c>
      <c r="C623" s="17">
        <v>45098.0</v>
      </c>
      <c r="D623" s="18">
        <v>4.0</v>
      </c>
      <c r="E623" s="19">
        <v>1.0</v>
      </c>
      <c r="F623" s="20">
        <v>12000.0</v>
      </c>
      <c r="G623" s="21" t="s">
        <v>2711</v>
      </c>
      <c r="H623" s="19">
        <v>4.0</v>
      </c>
      <c r="I623" s="21" t="s">
        <v>1276</v>
      </c>
      <c r="J623" s="22" t="s">
        <v>2632</v>
      </c>
    </row>
    <row r="624">
      <c r="A624" s="15" t="s">
        <v>3334</v>
      </c>
      <c r="B624" s="16">
        <v>45096.0</v>
      </c>
      <c r="C624" s="17">
        <v>45100.0</v>
      </c>
      <c r="D624" s="18">
        <v>20.0</v>
      </c>
      <c r="E624" s="19">
        <v>10.0</v>
      </c>
      <c r="F624" s="20">
        <v>36000.0</v>
      </c>
      <c r="G624" s="21" t="s">
        <v>2711</v>
      </c>
      <c r="H624" s="19">
        <v>5.0</v>
      </c>
      <c r="I624" s="21" t="s">
        <v>1288</v>
      </c>
      <c r="J624" s="22" t="s">
        <v>2587</v>
      </c>
    </row>
    <row r="625">
      <c r="A625" s="15" t="s">
        <v>3335</v>
      </c>
      <c r="B625" s="16">
        <v>45096.0</v>
      </c>
      <c r="C625" s="17">
        <v>45100.0</v>
      </c>
      <c r="D625" s="18">
        <v>1.0</v>
      </c>
      <c r="E625" s="19">
        <v>1.0</v>
      </c>
      <c r="F625" s="20">
        <v>12000.0</v>
      </c>
      <c r="G625" s="21" t="s">
        <v>2711</v>
      </c>
      <c r="H625" s="19">
        <v>5.0</v>
      </c>
      <c r="I625" s="21" t="s">
        <v>2060</v>
      </c>
      <c r="J625" s="22" t="s">
        <v>2682</v>
      </c>
    </row>
    <row r="626">
      <c r="A626" s="15" t="s">
        <v>3336</v>
      </c>
      <c r="B626" s="16">
        <v>45096.0</v>
      </c>
      <c r="C626" s="17">
        <v>45100.0</v>
      </c>
      <c r="D626" s="18">
        <v>4.0</v>
      </c>
      <c r="E626" s="19">
        <v>1.0</v>
      </c>
      <c r="F626" s="20">
        <v>12000.0</v>
      </c>
      <c r="G626" s="21" t="s">
        <v>2711</v>
      </c>
      <c r="H626" s="19">
        <v>4.0</v>
      </c>
      <c r="I626" s="21" t="s">
        <v>2346</v>
      </c>
      <c r="J626" s="22" t="s">
        <v>2547</v>
      </c>
    </row>
    <row r="627">
      <c r="A627" s="15" t="s">
        <v>3337</v>
      </c>
      <c r="B627" s="16">
        <v>45096.0</v>
      </c>
      <c r="C627" s="17">
        <v>45097.0</v>
      </c>
      <c r="D627" s="18">
        <v>5.0</v>
      </c>
      <c r="E627" s="19">
        <v>3.0</v>
      </c>
      <c r="F627" s="20">
        <v>16000.0</v>
      </c>
      <c r="G627" s="21" t="s">
        <v>2711</v>
      </c>
      <c r="H627" s="19">
        <v>5.0</v>
      </c>
      <c r="I627" s="21" t="s">
        <v>2437</v>
      </c>
      <c r="J627" s="22" t="s">
        <v>2602</v>
      </c>
    </row>
    <row r="628">
      <c r="A628" s="15" t="s">
        <v>3338</v>
      </c>
      <c r="B628" s="17">
        <v>45097.0</v>
      </c>
      <c r="C628" s="17">
        <f t="shared" ref="C628:C629" si="6">B628 + RANDBETWEEN(1,5)</f>
        <v>45098</v>
      </c>
      <c r="D628" s="18">
        <v>6.0</v>
      </c>
      <c r="E628" s="19">
        <v>2.0</v>
      </c>
      <c r="F628" s="20">
        <v>14000.0</v>
      </c>
      <c r="G628" s="21" t="s">
        <v>2711</v>
      </c>
      <c r="H628" s="19">
        <v>4.0</v>
      </c>
      <c r="I628" s="21" t="s">
        <v>977</v>
      </c>
      <c r="J628" s="22" t="s">
        <v>2511</v>
      </c>
    </row>
    <row r="629">
      <c r="A629" s="15" t="s">
        <v>3339</v>
      </c>
      <c r="B629" s="17">
        <v>45097.0</v>
      </c>
      <c r="C629" s="17">
        <f t="shared" si="6"/>
        <v>45101</v>
      </c>
      <c r="D629" s="18">
        <v>1.0</v>
      </c>
      <c r="E629" s="19">
        <v>3.0</v>
      </c>
      <c r="F629" s="20">
        <v>16000.0</v>
      </c>
      <c r="G629" s="21" t="s">
        <v>2711</v>
      </c>
      <c r="H629" s="19">
        <v>5.0</v>
      </c>
      <c r="I629" s="21" t="s">
        <v>969</v>
      </c>
      <c r="J629" s="22" t="s">
        <v>2612</v>
      </c>
    </row>
    <row r="630">
      <c r="A630" s="15" t="s">
        <v>3340</v>
      </c>
      <c r="B630" s="16">
        <v>45097.0</v>
      </c>
      <c r="C630" s="17">
        <v>45102.0</v>
      </c>
      <c r="D630" s="18">
        <v>3.0</v>
      </c>
      <c r="E630" s="19">
        <v>1.0</v>
      </c>
      <c r="F630" s="20">
        <v>12000.0</v>
      </c>
      <c r="G630" s="21" t="s">
        <v>2711</v>
      </c>
      <c r="H630" s="19">
        <v>5.0</v>
      </c>
      <c r="I630" s="21" t="s">
        <v>914</v>
      </c>
      <c r="J630" s="22" t="s">
        <v>2682</v>
      </c>
    </row>
    <row r="631">
      <c r="A631" s="15" t="s">
        <v>3341</v>
      </c>
      <c r="B631" s="16">
        <v>45097.0</v>
      </c>
      <c r="C631" s="17">
        <v>45102.0</v>
      </c>
      <c r="D631" s="18">
        <v>3.0</v>
      </c>
      <c r="E631" s="19">
        <v>3.0</v>
      </c>
      <c r="F631" s="20">
        <v>16000.0</v>
      </c>
      <c r="G631" s="21" t="s">
        <v>2711</v>
      </c>
      <c r="H631" s="19">
        <v>5.0</v>
      </c>
      <c r="I631" s="21" t="s">
        <v>2346</v>
      </c>
      <c r="J631" s="22" t="s">
        <v>2506</v>
      </c>
    </row>
    <row r="632">
      <c r="A632" s="15" t="s">
        <v>3342</v>
      </c>
      <c r="B632" s="16">
        <v>45097.0</v>
      </c>
      <c r="C632" s="17">
        <v>45098.0</v>
      </c>
      <c r="D632" s="18">
        <v>1.0</v>
      </c>
      <c r="E632" s="19">
        <v>2.0</v>
      </c>
      <c r="F632" s="20">
        <v>14000.0</v>
      </c>
      <c r="G632" s="21" t="s">
        <v>2711</v>
      </c>
      <c r="H632" s="19">
        <v>4.0</v>
      </c>
      <c r="I632" s="21" t="s">
        <v>198</v>
      </c>
      <c r="J632" s="22" t="s">
        <v>2496</v>
      </c>
    </row>
    <row r="633">
      <c r="A633" s="15" t="s">
        <v>3343</v>
      </c>
      <c r="B633" s="16">
        <v>45097.0</v>
      </c>
      <c r="C633" s="17">
        <v>45098.0</v>
      </c>
      <c r="D633" s="18">
        <v>17.0</v>
      </c>
      <c r="E633" s="19">
        <v>7.0</v>
      </c>
      <c r="F633" s="20">
        <v>29100.0</v>
      </c>
      <c r="G633" s="21" t="s">
        <v>2711</v>
      </c>
      <c r="H633" s="19">
        <v>4.0</v>
      </c>
      <c r="I633" s="21" t="s">
        <v>254</v>
      </c>
      <c r="J633" s="22" t="s">
        <v>2627</v>
      </c>
    </row>
    <row r="634">
      <c r="A634" s="15" t="s">
        <v>3344</v>
      </c>
      <c r="B634" s="16">
        <v>45097.0</v>
      </c>
      <c r="C634" s="17">
        <v>45101.0</v>
      </c>
      <c r="D634" s="18">
        <v>16.0</v>
      </c>
      <c r="E634" s="19">
        <v>5.0</v>
      </c>
      <c r="F634" s="20">
        <v>24800.0</v>
      </c>
      <c r="G634" s="21" t="s">
        <v>2711</v>
      </c>
      <c r="H634" s="19">
        <v>5.0</v>
      </c>
      <c r="I634" s="21" t="s">
        <v>1161</v>
      </c>
      <c r="J634" s="22" t="s">
        <v>2637</v>
      </c>
    </row>
    <row r="635">
      <c r="A635" s="15" t="s">
        <v>3345</v>
      </c>
      <c r="B635" s="16">
        <v>45097.0</v>
      </c>
      <c r="C635" s="17">
        <v>45101.0</v>
      </c>
      <c r="D635" s="18">
        <v>3.0</v>
      </c>
      <c r="E635" s="19">
        <v>1.0</v>
      </c>
      <c r="F635" s="20">
        <v>12000.0</v>
      </c>
      <c r="G635" s="21" t="s">
        <v>2711</v>
      </c>
      <c r="H635" s="19">
        <v>5.0</v>
      </c>
      <c r="I635" s="21" t="s">
        <v>382</v>
      </c>
      <c r="J635" s="22" t="s">
        <v>2632</v>
      </c>
    </row>
    <row r="636">
      <c r="A636" s="15" t="s">
        <v>3346</v>
      </c>
      <c r="B636" s="16">
        <v>45097.0</v>
      </c>
      <c r="C636" s="17">
        <v>45100.0</v>
      </c>
      <c r="D636" s="18">
        <v>4.0</v>
      </c>
      <c r="E636" s="19">
        <v>1.0</v>
      </c>
      <c r="F636" s="20">
        <v>12000.0</v>
      </c>
      <c r="G636" s="21" t="s">
        <v>2711</v>
      </c>
      <c r="H636" s="19">
        <v>5.0</v>
      </c>
      <c r="I636" s="21" t="s">
        <v>2184</v>
      </c>
      <c r="J636" s="22" t="s">
        <v>2527</v>
      </c>
    </row>
    <row r="637">
      <c r="A637" s="15" t="s">
        <v>3347</v>
      </c>
      <c r="B637" s="16">
        <v>45097.0</v>
      </c>
      <c r="C637" s="17">
        <v>45098.0</v>
      </c>
      <c r="D637" s="18">
        <v>1.0</v>
      </c>
      <c r="E637" s="19">
        <v>1.0</v>
      </c>
      <c r="F637" s="20">
        <v>12000.0</v>
      </c>
      <c r="G637" s="21" t="s">
        <v>2711</v>
      </c>
      <c r="H637" s="19">
        <v>4.0</v>
      </c>
      <c r="I637" s="21" t="s">
        <v>2338</v>
      </c>
      <c r="J637" s="22" t="s">
        <v>2532</v>
      </c>
    </row>
    <row r="638">
      <c r="A638" s="15" t="s">
        <v>3348</v>
      </c>
      <c r="B638" s="16">
        <v>45097.0</v>
      </c>
      <c r="C638" s="17">
        <v>45101.0</v>
      </c>
      <c r="D638" s="18">
        <v>2.0</v>
      </c>
      <c r="E638" s="19">
        <v>2.0</v>
      </c>
      <c r="F638" s="20">
        <v>14000.0</v>
      </c>
      <c r="G638" s="21" t="s">
        <v>2711</v>
      </c>
      <c r="H638" s="19">
        <v>5.0</v>
      </c>
      <c r="I638" s="21" t="s">
        <v>993</v>
      </c>
      <c r="J638" s="22" t="s">
        <v>2677</v>
      </c>
    </row>
    <row r="639">
      <c r="A639" s="15" t="s">
        <v>3349</v>
      </c>
      <c r="B639" s="16">
        <v>45097.0</v>
      </c>
      <c r="C639" s="17">
        <v>45102.0</v>
      </c>
      <c r="D639" s="18">
        <v>16.0</v>
      </c>
      <c r="E639" s="19">
        <v>9.0</v>
      </c>
      <c r="F639" s="20">
        <v>32800.0</v>
      </c>
      <c r="G639" s="21" t="s">
        <v>2711</v>
      </c>
      <c r="H639" s="19">
        <v>4.0</v>
      </c>
      <c r="I639" s="21" t="s">
        <v>246</v>
      </c>
      <c r="J639" s="22" t="s">
        <v>2662</v>
      </c>
    </row>
    <row r="640">
      <c r="A640" s="15" t="s">
        <v>3350</v>
      </c>
      <c r="B640" s="16">
        <v>45097.0</v>
      </c>
      <c r="C640" s="17">
        <v>45100.0</v>
      </c>
      <c r="D640" s="18">
        <v>4.0</v>
      </c>
      <c r="E640" s="19">
        <v>3.0</v>
      </c>
      <c r="F640" s="20">
        <v>16000.0</v>
      </c>
      <c r="G640" s="21" t="s">
        <v>2711</v>
      </c>
      <c r="H640" s="19">
        <v>4.0</v>
      </c>
      <c r="I640" s="21" t="s">
        <v>2255</v>
      </c>
      <c r="J640" s="22" t="s">
        <v>2562</v>
      </c>
    </row>
    <row r="641">
      <c r="A641" s="15" t="s">
        <v>3351</v>
      </c>
      <c r="B641" s="16">
        <v>45097.0</v>
      </c>
      <c r="C641" s="17">
        <v>45098.0</v>
      </c>
      <c r="D641" s="18">
        <v>2.0</v>
      </c>
      <c r="E641" s="19">
        <v>3.0</v>
      </c>
      <c r="F641" s="20">
        <v>16000.0</v>
      </c>
      <c r="G641" s="21" t="s">
        <v>2711</v>
      </c>
      <c r="H641" s="19">
        <v>4.0</v>
      </c>
      <c r="I641" s="21" t="s">
        <v>1121</v>
      </c>
      <c r="J641" s="22" t="s">
        <v>2682</v>
      </c>
    </row>
    <row r="642">
      <c r="A642" s="15" t="s">
        <v>3352</v>
      </c>
      <c r="B642" s="16">
        <v>45097.0</v>
      </c>
      <c r="C642" s="17">
        <v>45100.0</v>
      </c>
      <c r="D642" s="18">
        <v>13.0</v>
      </c>
      <c r="E642" s="19">
        <v>10.0</v>
      </c>
      <c r="F642" s="20">
        <v>30000.0</v>
      </c>
      <c r="G642" s="21" t="s">
        <v>2711</v>
      </c>
      <c r="H642" s="19">
        <v>4.0</v>
      </c>
      <c r="I642" s="21" t="s">
        <v>382</v>
      </c>
      <c r="J642" s="22" t="s">
        <v>2637</v>
      </c>
    </row>
    <row r="643">
      <c r="A643" s="15" t="s">
        <v>3353</v>
      </c>
      <c r="B643" s="16">
        <v>45097.0</v>
      </c>
      <c r="C643" s="17">
        <v>45102.0</v>
      </c>
      <c r="D643" s="18">
        <v>7.0</v>
      </c>
      <c r="E643" s="19">
        <v>8.0</v>
      </c>
      <c r="F643" s="20">
        <v>26000.0</v>
      </c>
      <c r="G643" s="21" t="s">
        <v>2711</v>
      </c>
      <c r="H643" s="19">
        <v>5.0</v>
      </c>
      <c r="I643" s="21" t="s">
        <v>2453</v>
      </c>
      <c r="J643" s="22" t="s">
        <v>2662</v>
      </c>
    </row>
    <row r="644">
      <c r="A644" s="15" t="s">
        <v>3354</v>
      </c>
      <c r="B644" s="16">
        <v>45097.0</v>
      </c>
      <c r="C644" s="17">
        <v>45100.0</v>
      </c>
      <c r="D644" s="18">
        <v>1.0</v>
      </c>
      <c r="E644" s="19">
        <v>2.0</v>
      </c>
      <c r="F644" s="20">
        <v>14000.0</v>
      </c>
      <c r="G644" s="21" t="s">
        <v>2711</v>
      </c>
      <c r="H644" s="19">
        <v>5.0</v>
      </c>
      <c r="I644" s="21" t="s">
        <v>811</v>
      </c>
      <c r="J644" s="22" t="s">
        <v>2597</v>
      </c>
    </row>
    <row r="645">
      <c r="A645" s="15" t="s">
        <v>3355</v>
      </c>
      <c r="B645" s="16">
        <v>45097.0</v>
      </c>
      <c r="C645" s="17">
        <v>45102.0</v>
      </c>
      <c r="D645" s="18">
        <v>4.0</v>
      </c>
      <c r="E645" s="19">
        <v>3.0</v>
      </c>
      <c r="F645" s="20">
        <v>16000.0</v>
      </c>
      <c r="G645" s="21" t="s">
        <v>2711</v>
      </c>
      <c r="H645" s="19">
        <v>4.0</v>
      </c>
      <c r="I645" s="21" t="s">
        <v>2409</v>
      </c>
      <c r="J645" s="22" t="s">
        <v>2622</v>
      </c>
    </row>
    <row r="646">
      <c r="A646" s="15" t="s">
        <v>3356</v>
      </c>
      <c r="B646" s="16">
        <v>45097.0</v>
      </c>
      <c r="C646" s="17">
        <v>45101.0</v>
      </c>
      <c r="D646" s="18">
        <v>6.0</v>
      </c>
      <c r="E646" s="19">
        <v>2.0</v>
      </c>
      <c r="F646" s="20">
        <v>14000.0</v>
      </c>
      <c r="G646" s="21" t="s">
        <v>2711</v>
      </c>
      <c r="H646" s="19">
        <v>5.0</v>
      </c>
      <c r="I646" s="21" t="s">
        <v>2255</v>
      </c>
      <c r="J646" s="22" t="s">
        <v>2602</v>
      </c>
    </row>
    <row r="647">
      <c r="A647" s="15" t="s">
        <v>3357</v>
      </c>
      <c r="B647" s="16">
        <v>45097.0</v>
      </c>
      <c r="C647" s="17">
        <v>45099.0</v>
      </c>
      <c r="D647" s="18">
        <v>2.0</v>
      </c>
      <c r="E647" s="19">
        <v>1.0</v>
      </c>
      <c r="F647" s="20">
        <v>12000.0</v>
      </c>
      <c r="G647" s="21" t="s">
        <v>2711</v>
      </c>
      <c r="H647" s="19">
        <v>4.0</v>
      </c>
      <c r="I647" s="21" t="s">
        <v>2473</v>
      </c>
      <c r="J647" s="22" t="s">
        <v>2490</v>
      </c>
    </row>
    <row r="648">
      <c r="A648" s="15" t="s">
        <v>3358</v>
      </c>
      <c r="B648" s="16">
        <v>45097.0</v>
      </c>
      <c r="C648" s="17">
        <v>45101.0</v>
      </c>
      <c r="D648" s="18">
        <v>3.0</v>
      </c>
      <c r="E648" s="19">
        <v>1.0</v>
      </c>
      <c r="F648" s="20">
        <v>12000.0</v>
      </c>
      <c r="G648" s="21" t="s">
        <v>2711</v>
      </c>
      <c r="H648" s="19">
        <v>5.0</v>
      </c>
      <c r="I648" s="21" t="s">
        <v>910</v>
      </c>
      <c r="J648" s="22" t="s">
        <v>2652</v>
      </c>
    </row>
    <row r="649">
      <c r="A649" s="15" t="s">
        <v>3359</v>
      </c>
      <c r="B649" s="16">
        <v>45097.0</v>
      </c>
      <c r="C649" s="17">
        <v>45098.0</v>
      </c>
      <c r="D649" s="18">
        <v>3.0</v>
      </c>
      <c r="E649" s="19">
        <v>1.0</v>
      </c>
      <c r="F649" s="20">
        <v>12000.0</v>
      </c>
      <c r="G649" s="21" t="s">
        <v>2711</v>
      </c>
      <c r="H649" s="19">
        <v>4.0</v>
      </c>
      <c r="I649" s="21" t="s">
        <v>294</v>
      </c>
      <c r="J649" s="22" t="s">
        <v>2511</v>
      </c>
    </row>
    <row r="650">
      <c r="A650" s="15" t="s">
        <v>3360</v>
      </c>
      <c r="B650" s="16">
        <v>45097.0</v>
      </c>
      <c r="C650" s="17">
        <v>45100.0</v>
      </c>
      <c r="D650" s="18">
        <v>3.0</v>
      </c>
      <c r="E650" s="19">
        <v>3.0</v>
      </c>
      <c r="F650" s="20">
        <v>16000.0</v>
      </c>
      <c r="G650" s="21" t="s">
        <v>2711</v>
      </c>
      <c r="H650" s="19">
        <v>5.0</v>
      </c>
      <c r="I650" s="21" t="s">
        <v>660</v>
      </c>
      <c r="J650" s="22" t="s">
        <v>2511</v>
      </c>
    </row>
    <row r="651">
      <c r="A651" s="15" t="s">
        <v>3361</v>
      </c>
      <c r="B651" s="16">
        <v>45097.0</v>
      </c>
      <c r="C651" s="17">
        <v>45100.0</v>
      </c>
      <c r="D651" s="18">
        <v>4.0</v>
      </c>
      <c r="E651" s="19">
        <v>1.0</v>
      </c>
      <c r="F651" s="20">
        <v>12000.0</v>
      </c>
      <c r="G651" s="21" t="s">
        <v>2711</v>
      </c>
      <c r="H651" s="19">
        <v>4.0</v>
      </c>
      <c r="I651" s="21" t="s">
        <v>680</v>
      </c>
      <c r="J651" s="22" t="s">
        <v>2617</v>
      </c>
    </row>
    <row r="652">
      <c r="A652" s="15" t="s">
        <v>3362</v>
      </c>
      <c r="B652" s="16">
        <v>45097.0</v>
      </c>
      <c r="C652" s="17">
        <v>45099.0</v>
      </c>
      <c r="D652" s="18">
        <v>34.0</v>
      </c>
      <c r="E652" s="19">
        <v>16.0</v>
      </c>
      <c r="F652" s="20">
        <v>52200.0</v>
      </c>
      <c r="G652" s="21" t="s">
        <v>2711</v>
      </c>
      <c r="H652" s="19">
        <v>4.0</v>
      </c>
      <c r="I652" s="21" t="s">
        <v>1157</v>
      </c>
      <c r="J652" s="22" t="s">
        <v>2521</v>
      </c>
    </row>
    <row r="653">
      <c r="A653" s="15" t="s">
        <v>3363</v>
      </c>
      <c r="B653" s="16">
        <v>45097.0</v>
      </c>
      <c r="C653" s="17">
        <v>45102.0</v>
      </c>
      <c r="D653" s="18">
        <v>1.0</v>
      </c>
      <c r="E653" s="19">
        <v>1.0</v>
      </c>
      <c r="F653" s="20">
        <v>12000.0</v>
      </c>
      <c r="G653" s="21" t="s">
        <v>2711</v>
      </c>
      <c r="H653" s="19">
        <v>4.0</v>
      </c>
      <c r="I653" s="21" t="s">
        <v>1001</v>
      </c>
      <c r="J653" s="22" t="s">
        <v>2490</v>
      </c>
    </row>
    <row r="654">
      <c r="A654" s="15" t="s">
        <v>3364</v>
      </c>
      <c r="B654" s="16">
        <v>45097.0</v>
      </c>
      <c r="C654" s="17">
        <v>45099.0</v>
      </c>
      <c r="D654" s="18">
        <v>43.0</v>
      </c>
      <c r="E654" s="19">
        <v>20.0</v>
      </c>
      <c r="F654" s="20">
        <v>62900.0</v>
      </c>
      <c r="G654" s="21" t="s">
        <v>2711</v>
      </c>
      <c r="H654" s="19">
        <v>5.0</v>
      </c>
      <c r="I654" s="21" t="s">
        <v>2350</v>
      </c>
      <c r="J654" s="22" t="s">
        <v>2521</v>
      </c>
    </row>
    <row r="655">
      <c r="A655" s="15" t="s">
        <v>3365</v>
      </c>
      <c r="B655" s="16">
        <v>45097.0</v>
      </c>
      <c r="C655" s="17">
        <v>45100.0</v>
      </c>
      <c r="D655" s="18">
        <v>1.0</v>
      </c>
      <c r="E655" s="19">
        <v>1.0</v>
      </c>
      <c r="F655" s="20">
        <v>12000.0</v>
      </c>
      <c r="G655" s="21" t="s">
        <v>2711</v>
      </c>
      <c r="H655" s="19">
        <v>5.0</v>
      </c>
      <c r="I655" s="21" t="s">
        <v>985</v>
      </c>
      <c r="J655" s="22" t="s">
        <v>2687</v>
      </c>
    </row>
    <row r="656">
      <c r="A656" s="15" t="s">
        <v>3366</v>
      </c>
      <c r="B656" s="16">
        <v>45097.0</v>
      </c>
      <c r="C656" s="17">
        <v>45099.0</v>
      </c>
      <c r="D656" s="18">
        <v>19.0</v>
      </c>
      <c r="E656" s="19">
        <v>6.0</v>
      </c>
      <c r="F656" s="20">
        <v>27700.0</v>
      </c>
      <c r="G656" s="21" t="s">
        <v>2711</v>
      </c>
      <c r="H656" s="19">
        <v>4.0</v>
      </c>
      <c r="I656" s="21" t="s">
        <v>1819</v>
      </c>
      <c r="J656" s="22" t="s">
        <v>2662</v>
      </c>
    </row>
    <row r="657">
      <c r="A657" s="15" t="s">
        <v>3367</v>
      </c>
      <c r="B657" s="16">
        <v>45097.0</v>
      </c>
      <c r="C657" s="17">
        <v>45098.0</v>
      </c>
      <c r="D657" s="18">
        <v>12.0</v>
      </c>
      <c r="E657" s="19">
        <v>6.0</v>
      </c>
      <c r="F657" s="20">
        <v>22000.0</v>
      </c>
      <c r="G657" s="21" t="s">
        <v>2711</v>
      </c>
      <c r="H657" s="19">
        <v>4.0</v>
      </c>
      <c r="I657" s="21" t="s">
        <v>648</v>
      </c>
      <c r="J657" s="22" t="s">
        <v>2637</v>
      </c>
    </row>
    <row r="658">
      <c r="A658" s="15" t="s">
        <v>3368</v>
      </c>
      <c r="B658" s="16">
        <v>45097.0</v>
      </c>
      <c r="C658" s="17">
        <v>45100.0</v>
      </c>
      <c r="D658" s="18">
        <v>1.0</v>
      </c>
      <c r="E658" s="19">
        <v>2.0</v>
      </c>
      <c r="F658" s="20">
        <v>14000.0</v>
      </c>
      <c r="G658" s="21" t="s">
        <v>2711</v>
      </c>
      <c r="H658" s="19">
        <v>4.0</v>
      </c>
      <c r="I658" s="21" t="s">
        <v>366</v>
      </c>
      <c r="J658" s="22" t="s">
        <v>2692</v>
      </c>
    </row>
    <row r="659">
      <c r="A659" s="15" t="s">
        <v>3369</v>
      </c>
      <c r="B659" s="16">
        <v>45097.0</v>
      </c>
      <c r="C659" s="17">
        <v>45100.0</v>
      </c>
      <c r="D659" s="18">
        <v>25.0</v>
      </c>
      <c r="E659" s="19">
        <v>27.0</v>
      </c>
      <c r="F659" s="20">
        <v>71500.0</v>
      </c>
      <c r="G659" s="21" t="s">
        <v>2711</v>
      </c>
      <c r="H659" s="19">
        <v>4.0</v>
      </c>
      <c r="I659" s="21" t="s">
        <v>30</v>
      </c>
      <c r="J659" s="22" t="s">
        <v>2521</v>
      </c>
    </row>
    <row r="660">
      <c r="A660" s="15" t="s">
        <v>3370</v>
      </c>
      <c r="B660" s="16">
        <v>45097.0</v>
      </c>
      <c r="C660" s="17">
        <v>45102.0</v>
      </c>
      <c r="D660" s="18">
        <v>6.0</v>
      </c>
      <c r="E660" s="19">
        <v>1.0</v>
      </c>
      <c r="F660" s="20">
        <v>12000.0</v>
      </c>
      <c r="G660" s="21" t="s">
        <v>2711</v>
      </c>
      <c r="H660" s="19">
        <v>4.0</v>
      </c>
      <c r="I660" s="21" t="s">
        <v>34</v>
      </c>
      <c r="J660" s="22" t="s">
        <v>2577</v>
      </c>
    </row>
    <row r="661">
      <c r="A661" s="15" t="s">
        <v>3371</v>
      </c>
      <c r="B661" s="16">
        <v>45097.0</v>
      </c>
      <c r="C661" s="17">
        <v>45100.0</v>
      </c>
      <c r="D661" s="18">
        <v>12.0</v>
      </c>
      <c r="E661" s="19">
        <v>8.0</v>
      </c>
      <c r="F661" s="20">
        <v>26000.0</v>
      </c>
      <c r="G661" s="21" t="s">
        <v>2711</v>
      </c>
      <c r="H661" s="19">
        <v>5.0</v>
      </c>
      <c r="I661" s="21" t="s">
        <v>466</v>
      </c>
      <c r="J661" s="22" t="s">
        <v>2672</v>
      </c>
    </row>
    <row r="662">
      <c r="A662" s="15" t="s">
        <v>3372</v>
      </c>
      <c r="B662" s="16">
        <v>45097.0</v>
      </c>
      <c r="C662" s="17">
        <v>45101.0</v>
      </c>
      <c r="D662" s="18">
        <v>5.0</v>
      </c>
      <c r="E662" s="19">
        <v>1.0</v>
      </c>
      <c r="F662" s="20">
        <v>12000.0</v>
      </c>
      <c r="G662" s="21" t="s">
        <v>2711</v>
      </c>
      <c r="H662" s="19">
        <v>4.0</v>
      </c>
      <c r="I662" s="21" t="s">
        <v>636</v>
      </c>
      <c r="J662" s="22" t="s">
        <v>2592</v>
      </c>
    </row>
    <row r="663">
      <c r="A663" s="15" t="s">
        <v>3373</v>
      </c>
      <c r="B663" s="16">
        <v>45097.0</v>
      </c>
      <c r="C663" s="17">
        <v>45098.0</v>
      </c>
      <c r="D663" s="18">
        <v>5.0</v>
      </c>
      <c r="E663" s="19">
        <v>2.0</v>
      </c>
      <c r="F663" s="20">
        <v>14000.0</v>
      </c>
      <c r="G663" s="21" t="s">
        <v>2711</v>
      </c>
      <c r="H663" s="19">
        <v>4.0</v>
      </c>
      <c r="I663" s="21" t="s">
        <v>2251</v>
      </c>
      <c r="J663" s="22" t="s">
        <v>2592</v>
      </c>
    </row>
    <row r="664">
      <c r="A664" s="15" t="s">
        <v>3374</v>
      </c>
      <c r="B664" s="16">
        <v>45097.0</v>
      </c>
      <c r="C664" s="17">
        <v>45098.0</v>
      </c>
      <c r="D664" s="18">
        <v>27.0</v>
      </c>
      <c r="E664" s="19">
        <v>18.0</v>
      </c>
      <c r="F664" s="20">
        <v>54100.0</v>
      </c>
      <c r="G664" s="21" t="s">
        <v>2711</v>
      </c>
      <c r="H664" s="19">
        <v>5.0</v>
      </c>
      <c r="I664" s="21" t="s">
        <v>86</v>
      </c>
      <c r="J664" s="22" t="s">
        <v>2521</v>
      </c>
    </row>
    <row r="665">
      <c r="A665" s="15" t="s">
        <v>3375</v>
      </c>
      <c r="B665" s="17">
        <v>45098.0</v>
      </c>
      <c r="C665" s="17">
        <f>B665 + RANDBETWEEN(1,5)</f>
        <v>45103</v>
      </c>
      <c r="D665" s="18">
        <v>4.0</v>
      </c>
      <c r="E665" s="19">
        <v>3.0</v>
      </c>
      <c r="F665" s="20">
        <v>16000.0</v>
      </c>
      <c r="G665" s="21" t="s">
        <v>2711</v>
      </c>
      <c r="H665" s="19">
        <v>5.0</v>
      </c>
      <c r="I665" s="21" t="s">
        <v>2287</v>
      </c>
      <c r="J665" s="22" t="s">
        <v>2567</v>
      </c>
    </row>
    <row r="666">
      <c r="A666" s="15" t="s">
        <v>3376</v>
      </c>
      <c r="B666" s="16">
        <v>45098.0</v>
      </c>
      <c r="C666" s="17">
        <v>45099.0</v>
      </c>
      <c r="D666" s="18">
        <v>12.0</v>
      </c>
      <c r="E666" s="19">
        <v>5.0</v>
      </c>
      <c r="F666" s="20">
        <v>20000.0</v>
      </c>
      <c r="G666" s="21" t="s">
        <v>2711</v>
      </c>
      <c r="H666" s="19">
        <v>4.0</v>
      </c>
      <c r="I666" s="21" t="s">
        <v>2136</v>
      </c>
      <c r="J666" s="22" t="s">
        <v>2637</v>
      </c>
    </row>
    <row r="667">
      <c r="A667" s="15" t="s">
        <v>3377</v>
      </c>
      <c r="B667" s="16">
        <v>45098.0</v>
      </c>
      <c r="C667" s="17">
        <v>45101.0</v>
      </c>
      <c r="D667" s="18">
        <v>18.0</v>
      </c>
      <c r="E667" s="19">
        <v>8.0</v>
      </c>
      <c r="F667" s="20">
        <v>31400.0</v>
      </c>
      <c r="G667" s="21" t="s">
        <v>2711</v>
      </c>
      <c r="H667" s="19">
        <v>4.0</v>
      </c>
      <c r="I667" s="21" t="s">
        <v>1914</v>
      </c>
      <c r="J667" s="22" t="s">
        <v>2637</v>
      </c>
    </row>
    <row r="668">
      <c r="A668" s="15" t="s">
        <v>3378</v>
      </c>
      <c r="B668" s="16">
        <v>45098.0</v>
      </c>
      <c r="C668" s="17">
        <v>45099.0</v>
      </c>
      <c r="D668" s="18">
        <v>3.0</v>
      </c>
      <c r="E668" s="19">
        <v>2.0</v>
      </c>
      <c r="F668" s="20">
        <v>14000.0</v>
      </c>
      <c r="G668" s="21" t="s">
        <v>2711</v>
      </c>
      <c r="H668" s="19">
        <v>4.0</v>
      </c>
      <c r="I668" s="21" t="s">
        <v>2381</v>
      </c>
      <c r="J668" s="22" t="s">
        <v>2642</v>
      </c>
    </row>
    <row r="669">
      <c r="A669" s="15" t="s">
        <v>3379</v>
      </c>
      <c r="B669" s="16">
        <v>45098.0</v>
      </c>
      <c r="C669" s="17">
        <v>45101.0</v>
      </c>
      <c r="D669" s="18">
        <v>1.0</v>
      </c>
      <c r="E669" s="19">
        <v>3.0</v>
      </c>
      <c r="F669" s="20">
        <v>16000.0</v>
      </c>
      <c r="G669" s="21" t="s">
        <v>2711</v>
      </c>
      <c r="H669" s="19">
        <v>5.0</v>
      </c>
      <c r="I669" s="21" t="s">
        <v>506</v>
      </c>
      <c r="J669" s="22" t="s">
        <v>2542</v>
      </c>
    </row>
    <row r="670">
      <c r="A670" s="15" t="s">
        <v>3380</v>
      </c>
      <c r="B670" s="16">
        <v>45098.0</v>
      </c>
      <c r="C670" s="17">
        <v>45101.0</v>
      </c>
      <c r="D670" s="18">
        <v>1.0</v>
      </c>
      <c r="E670" s="19">
        <v>1.0</v>
      </c>
      <c r="F670" s="20">
        <v>12000.0</v>
      </c>
      <c r="G670" s="21" t="s">
        <v>2711</v>
      </c>
      <c r="H670" s="19">
        <v>4.0</v>
      </c>
      <c r="I670" s="21" t="s">
        <v>862</v>
      </c>
      <c r="J670" s="22" t="s">
        <v>2506</v>
      </c>
    </row>
    <row r="671">
      <c r="A671" s="15" t="s">
        <v>3381</v>
      </c>
      <c r="B671" s="16">
        <v>45098.0</v>
      </c>
      <c r="C671" s="17">
        <v>45103.0</v>
      </c>
      <c r="D671" s="18">
        <v>5.0</v>
      </c>
      <c r="E671" s="19">
        <v>3.0</v>
      </c>
      <c r="F671" s="20">
        <v>16000.0</v>
      </c>
      <c r="G671" s="21" t="s">
        <v>2711</v>
      </c>
      <c r="H671" s="19">
        <v>5.0</v>
      </c>
      <c r="I671" s="21" t="s">
        <v>1304</v>
      </c>
      <c r="J671" s="22" t="s">
        <v>2602</v>
      </c>
    </row>
    <row r="672">
      <c r="A672" s="15" t="s">
        <v>3382</v>
      </c>
      <c r="B672" s="16">
        <v>45098.0</v>
      </c>
      <c r="C672" s="17">
        <v>45101.0</v>
      </c>
      <c r="D672" s="18">
        <v>12.0</v>
      </c>
      <c r="E672" s="19">
        <v>4.0</v>
      </c>
      <c r="F672" s="20">
        <v>18000.0</v>
      </c>
      <c r="G672" s="21" t="s">
        <v>2711</v>
      </c>
      <c r="H672" s="19">
        <v>5.0</v>
      </c>
      <c r="I672" s="21" t="s">
        <v>886</v>
      </c>
      <c r="J672" s="22" t="s">
        <v>2662</v>
      </c>
    </row>
    <row r="673">
      <c r="A673" s="15" t="s">
        <v>3383</v>
      </c>
      <c r="B673" s="16">
        <v>45098.0</v>
      </c>
      <c r="C673" s="17">
        <v>45099.0</v>
      </c>
      <c r="D673" s="18">
        <v>2.0</v>
      </c>
      <c r="E673" s="19">
        <v>1.0</v>
      </c>
      <c r="F673" s="20">
        <v>12000.0</v>
      </c>
      <c r="G673" s="21" t="s">
        <v>2711</v>
      </c>
      <c r="H673" s="19">
        <v>4.0</v>
      </c>
      <c r="I673" s="21" t="s">
        <v>2180</v>
      </c>
      <c r="J673" s="22" t="s">
        <v>2496</v>
      </c>
    </row>
    <row r="674">
      <c r="A674" s="15" t="s">
        <v>3384</v>
      </c>
      <c r="B674" s="16">
        <v>45098.0</v>
      </c>
      <c r="C674" s="17">
        <v>45100.0</v>
      </c>
      <c r="D674" s="18">
        <v>4.0</v>
      </c>
      <c r="E674" s="19">
        <v>2.0</v>
      </c>
      <c r="F674" s="20">
        <v>14000.0</v>
      </c>
      <c r="G674" s="21" t="s">
        <v>2711</v>
      </c>
      <c r="H674" s="19">
        <v>5.0</v>
      </c>
      <c r="I674" s="21" t="s">
        <v>846</v>
      </c>
      <c r="J674" s="22" t="s">
        <v>2692</v>
      </c>
      <c r="K674" s="27"/>
    </row>
    <row r="675">
      <c r="A675" s="15" t="s">
        <v>3385</v>
      </c>
      <c r="B675" s="16">
        <v>45098.0</v>
      </c>
      <c r="C675" s="17">
        <v>45100.0</v>
      </c>
      <c r="D675" s="18">
        <v>12.0</v>
      </c>
      <c r="E675" s="19">
        <v>5.0</v>
      </c>
      <c r="F675" s="20">
        <v>20000.0</v>
      </c>
      <c r="G675" s="21" t="s">
        <v>2711</v>
      </c>
      <c r="H675" s="19">
        <v>5.0</v>
      </c>
      <c r="I675" s="21" t="s">
        <v>214</v>
      </c>
      <c r="J675" s="22" t="s">
        <v>2607</v>
      </c>
    </row>
    <row r="676">
      <c r="A676" s="15" t="s">
        <v>3386</v>
      </c>
      <c r="B676" s="16">
        <v>45098.0</v>
      </c>
      <c r="C676" s="17">
        <v>45099.0</v>
      </c>
      <c r="D676" s="18">
        <v>2.0</v>
      </c>
      <c r="E676" s="19">
        <v>1.0</v>
      </c>
      <c r="F676" s="20">
        <v>12000.0</v>
      </c>
      <c r="G676" s="21" t="s">
        <v>2711</v>
      </c>
      <c r="H676" s="19">
        <v>5.0</v>
      </c>
      <c r="I676" s="21" t="s">
        <v>1093</v>
      </c>
      <c r="J676" s="22" t="s">
        <v>2557</v>
      </c>
    </row>
    <row r="677">
      <c r="A677" s="15" t="s">
        <v>3387</v>
      </c>
      <c r="B677" s="16">
        <v>45098.0</v>
      </c>
      <c r="C677" s="17">
        <v>45100.0</v>
      </c>
      <c r="D677" s="18">
        <v>20.0</v>
      </c>
      <c r="E677" s="19">
        <v>5.0</v>
      </c>
      <c r="F677" s="20">
        <v>26000.0</v>
      </c>
      <c r="G677" s="21" t="s">
        <v>2711</v>
      </c>
      <c r="H677" s="19">
        <v>5.0</v>
      </c>
      <c r="I677" s="21" t="s">
        <v>2279</v>
      </c>
      <c r="J677" s="22" t="s">
        <v>2697</v>
      </c>
    </row>
    <row r="678">
      <c r="A678" s="15" t="s">
        <v>3388</v>
      </c>
      <c r="B678" s="16">
        <v>45098.0</v>
      </c>
      <c r="C678" s="17">
        <v>45101.0</v>
      </c>
      <c r="D678" s="18">
        <v>3.0</v>
      </c>
      <c r="E678" s="19">
        <v>1.0</v>
      </c>
      <c r="F678" s="20">
        <v>12000.0</v>
      </c>
      <c r="G678" s="21" t="s">
        <v>2711</v>
      </c>
      <c r="H678" s="19">
        <v>5.0</v>
      </c>
      <c r="I678" s="21" t="s">
        <v>86</v>
      </c>
      <c r="J678" s="22" t="s">
        <v>2496</v>
      </c>
    </row>
    <row r="679">
      <c r="A679" s="15" t="s">
        <v>3389</v>
      </c>
      <c r="B679" s="16">
        <v>45098.0</v>
      </c>
      <c r="C679" s="17">
        <v>45100.0</v>
      </c>
      <c r="D679" s="18">
        <v>4.0</v>
      </c>
      <c r="E679" s="19">
        <v>3.0</v>
      </c>
      <c r="F679" s="20">
        <v>16000.0</v>
      </c>
      <c r="G679" s="21" t="s">
        <v>2711</v>
      </c>
      <c r="H679" s="19">
        <v>4.0</v>
      </c>
      <c r="I679" s="21" t="s">
        <v>2176</v>
      </c>
      <c r="J679" s="22" t="s">
        <v>2622</v>
      </c>
    </row>
    <row r="680">
      <c r="A680" s="15" t="s">
        <v>3390</v>
      </c>
      <c r="B680" s="16">
        <v>45098.0</v>
      </c>
      <c r="C680" s="17">
        <v>45099.0</v>
      </c>
      <c r="D680" s="18">
        <v>8.0</v>
      </c>
      <c r="E680" s="19">
        <v>8.0</v>
      </c>
      <c r="F680" s="20">
        <v>26000.0</v>
      </c>
      <c r="G680" s="21" t="s">
        <v>2711</v>
      </c>
      <c r="H680" s="19">
        <v>4.0</v>
      </c>
      <c r="I680" s="21" t="s">
        <v>1882</v>
      </c>
      <c r="J680" s="22" t="s">
        <v>2537</v>
      </c>
    </row>
    <row r="681">
      <c r="A681" s="15" t="s">
        <v>3391</v>
      </c>
      <c r="B681" s="16">
        <v>45098.0</v>
      </c>
      <c r="C681" s="17">
        <v>45103.0</v>
      </c>
      <c r="D681" s="18">
        <v>4.0</v>
      </c>
      <c r="E681" s="19">
        <v>1.0</v>
      </c>
      <c r="F681" s="20">
        <v>12000.0</v>
      </c>
      <c r="G681" s="21" t="s">
        <v>2711</v>
      </c>
      <c r="H681" s="19">
        <v>5.0</v>
      </c>
      <c r="I681" s="21" t="s">
        <v>1017</v>
      </c>
      <c r="J681" s="22" t="s">
        <v>2617</v>
      </c>
    </row>
    <row r="682">
      <c r="A682" s="15" t="s">
        <v>3392</v>
      </c>
      <c r="B682" s="16">
        <v>45098.0</v>
      </c>
      <c r="C682" s="17">
        <v>45103.0</v>
      </c>
      <c r="D682" s="18">
        <v>19.0</v>
      </c>
      <c r="E682" s="19">
        <v>4.0</v>
      </c>
      <c r="F682" s="20">
        <v>23700.0</v>
      </c>
      <c r="G682" s="21" t="s">
        <v>2711</v>
      </c>
      <c r="H682" s="19">
        <v>4.0</v>
      </c>
      <c r="I682" s="21" t="s">
        <v>2358</v>
      </c>
      <c r="J682" s="22" t="s">
        <v>2501</v>
      </c>
    </row>
    <row r="683">
      <c r="A683" s="15" t="s">
        <v>3393</v>
      </c>
      <c r="B683" s="16">
        <v>45098.0</v>
      </c>
      <c r="C683" s="17">
        <v>45100.0</v>
      </c>
      <c r="D683" s="18">
        <v>4.0</v>
      </c>
      <c r="E683" s="19">
        <v>1.0</v>
      </c>
      <c r="F683" s="20">
        <v>12000.0</v>
      </c>
      <c r="G683" s="21" t="s">
        <v>2711</v>
      </c>
      <c r="H683" s="19">
        <v>4.0</v>
      </c>
      <c r="I683" s="21" t="s">
        <v>246</v>
      </c>
      <c r="J683" s="22" t="s">
        <v>2617</v>
      </c>
    </row>
    <row r="684">
      <c r="A684" s="15" t="s">
        <v>3394</v>
      </c>
      <c r="B684" s="16">
        <v>45098.0</v>
      </c>
      <c r="C684" s="17">
        <v>45099.0</v>
      </c>
      <c r="D684" s="18">
        <v>19.0</v>
      </c>
      <c r="E684" s="19">
        <v>8.0</v>
      </c>
      <c r="F684" s="20">
        <v>31700.0</v>
      </c>
      <c r="G684" s="21" t="s">
        <v>2711</v>
      </c>
      <c r="H684" s="19">
        <v>5.0</v>
      </c>
      <c r="I684" s="21" t="s">
        <v>1363</v>
      </c>
      <c r="J684" s="22" t="s">
        <v>2501</v>
      </c>
    </row>
    <row r="685">
      <c r="A685" s="15" t="s">
        <v>3395</v>
      </c>
      <c r="B685" s="16">
        <v>45098.0</v>
      </c>
      <c r="C685" s="17">
        <v>45101.0</v>
      </c>
      <c r="D685" s="18">
        <v>3.0</v>
      </c>
      <c r="E685" s="19">
        <v>3.0</v>
      </c>
      <c r="F685" s="20">
        <v>16000.0</v>
      </c>
      <c r="G685" s="21" t="s">
        <v>2711</v>
      </c>
      <c r="H685" s="19">
        <v>5.0</v>
      </c>
      <c r="I685" s="21" t="s">
        <v>1736</v>
      </c>
      <c r="J685" s="22" t="s">
        <v>2527</v>
      </c>
    </row>
    <row r="686">
      <c r="A686" s="15" t="s">
        <v>3396</v>
      </c>
      <c r="B686" s="16">
        <v>45098.0</v>
      </c>
      <c r="C686" s="17">
        <v>45100.0</v>
      </c>
      <c r="D686" s="18">
        <v>6.0</v>
      </c>
      <c r="E686" s="19">
        <v>3.0</v>
      </c>
      <c r="F686" s="20">
        <v>16000.0</v>
      </c>
      <c r="G686" s="21" t="s">
        <v>2711</v>
      </c>
      <c r="H686" s="19">
        <v>5.0</v>
      </c>
      <c r="I686" s="21" t="s">
        <v>946</v>
      </c>
      <c r="J686" s="22" t="s">
        <v>2567</v>
      </c>
    </row>
    <row r="687">
      <c r="A687" s="15" t="s">
        <v>3397</v>
      </c>
      <c r="B687" s="16">
        <v>45098.0</v>
      </c>
      <c r="C687" s="17">
        <v>45099.0</v>
      </c>
      <c r="D687" s="18">
        <v>4.0</v>
      </c>
      <c r="E687" s="19">
        <v>1.0</v>
      </c>
      <c r="F687" s="20">
        <v>12000.0</v>
      </c>
      <c r="G687" s="21" t="s">
        <v>2711</v>
      </c>
      <c r="H687" s="19">
        <v>5.0</v>
      </c>
      <c r="I687" s="21" t="s">
        <v>1815</v>
      </c>
      <c r="J687" s="22" t="s">
        <v>2677</v>
      </c>
    </row>
    <row r="688">
      <c r="A688" s="15" t="s">
        <v>3398</v>
      </c>
      <c r="B688" s="16">
        <v>45098.0</v>
      </c>
      <c r="C688" s="17">
        <v>45101.0</v>
      </c>
      <c r="D688" s="18">
        <v>4.0</v>
      </c>
      <c r="E688" s="19">
        <v>1.0</v>
      </c>
      <c r="F688" s="20">
        <v>12000.0</v>
      </c>
      <c r="G688" s="21" t="s">
        <v>2711</v>
      </c>
      <c r="H688" s="19">
        <v>4.0</v>
      </c>
      <c r="I688" s="21" t="s">
        <v>1937</v>
      </c>
      <c r="J688" s="22" t="s">
        <v>2652</v>
      </c>
    </row>
    <row r="689">
      <c r="A689" s="15" t="s">
        <v>3399</v>
      </c>
      <c r="B689" s="16">
        <v>45098.0</v>
      </c>
      <c r="C689" s="17">
        <v>45101.0</v>
      </c>
      <c r="D689" s="18">
        <v>15.0</v>
      </c>
      <c r="E689" s="19">
        <v>7.0</v>
      </c>
      <c r="F689" s="20">
        <v>28500.0</v>
      </c>
      <c r="G689" s="21" t="s">
        <v>2711</v>
      </c>
      <c r="H689" s="19">
        <v>5.0</v>
      </c>
      <c r="I689" s="21" t="s">
        <v>2192</v>
      </c>
      <c r="J689" s="22" t="s">
        <v>2627</v>
      </c>
    </row>
    <row r="690">
      <c r="A690" s="15" t="s">
        <v>3400</v>
      </c>
      <c r="B690" s="16">
        <v>45098.0</v>
      </c>
      <c r="C690" s="17">
        <v>45103.0</v>
      </c>
      <c r="D690" s="18">
        <v>4.0</v>
      </c>
      <c r="E690" s="19">
        <v>2.0</v>
      </c>
      <c r="F690" s="20">
        <v>14000.0</v>
      </c>
      <c r="G690" s="21" t="s">
        <v>2711</v>
      </c>
      <c r="H690" s="19">
        <v>4.0</v>
      </c>
      <c r="I690" s="21" t="s">
        <v>82</v>
      </c>
      <c r="J690" s="22" t="s">
        <v>2597</v>
      </c>
    </row>
    <row r="691">
      <c r="A691" s="15" t="s">
        <v>3401</v>
      </c>
      <c r="B691" s="16">
        <v>45098.0</v>
      </c>
      <c r="C691" s="17">
        <v>45102.0</v>
      </c>
      <c r="D691" s="18">
        <v>2.0</v>
      </c>
      <c r="E691" s="19">
        <v>1.0</v>
      </c>
      <c r="F691" s="20">
        <v>12000.0</v>
      </c>
      <c r="G691" s="21" t="s">
        <v>2711</v>
      </c>
      <c r="H691" s="19">
        <v>5.0</v>
      </c>
      <c r="I691" s="21" t="s">
        <v>358</v>
      </c>
      <c r="J691" s="22" t="s">
        <v>2582</v>
      </c>
    </row>
    <row r="692">
      <c r="A692" s="15" t="s">
        <v>3402</v>
      </c>
      <c r="B692" s="16">
        <v>45098.0</v>
      </c>
      <c r="C692" s="17">
        <v>45100.0</v>
      </c>
      <c r="D692" s="18">
        <v>16.0</v>
      </c>
      <c r="E692" s="19">
        <v>10.0</v>
      </c>
      <c r="F692" s="20">
        <v>34800.0</v>
      </c>
      <c r="G692" s="21" t="s">
        <v>2711</v>
      </c>
      <c r="H692" s="19">
        <v>5.0</v>
      </c>
      <c r="I692" s="21" t="s">
        <v>2306</v>
      </c>
      <c r="J692" s="22" t="s">
        <v>2587</v>
      </c>
    </row>
    <row r="693">
      <c r="A693" s="15" t="s">
        <v>3403</v>
      </c>
      <c r="B693" s="16">
        <v>45098.0</v>
      </c>
      <c r="C693" s="17">
        <v>45103.0</v>
      </c>
      <c r="D693" s="18">
        <v>4.0</v>
      </c>
      <c r="E693" s="19">
        <v>2.0</v>
      </c>
      <c r="F693" s="20">
        <v>14000.0</v>
      </c>
      <c r="G693" s="21" t="s">
        <v>2711</v>
      </c>
      <c r="H693" s="19">
        <v>5.0</v>
      </c>
      <c r="I693" s="21" t="s">
        <v>1041</v>
      </c>
      <c r="J693" s="22" t="s">
        <v>2597</v>
      </c>
    </row>
    <row r="694">
      <c r="A694" s="15" t="s">
        <v>3404</v>
      </c>
      <c r="B694" s="16">
        <v>45098.0</v>
      </c>
      <c r="C694" s="17">
        <v>45102.0</v>
      </c>
      <c r="D694" s="18">
        <v>5.0</v>
      </c>
      <c r="E694" s="19">
        <v>3.0</v>
      </c>
      <c r="F694" s="20">
        <v>16000.0</v>
      </c>
      <c r="G694" s="21" t="s">
        <v>2711</v>
      </c>
      <c r="H694" s="19">
        <v>4.0</v>
      </c>
      <c r="I694" s="21" t="s">
        <v>573</v>
      </c>
      <c r="J694" s="22" t="s">
        <v>2577</v>
      </c>
    </row>
    <row r="695">
      <c r="A695" s="15" t="s">
        <v>3405</v>
      </c>
      <c r="B695" s="16">
        <v>45098.0</v>
      </c>
      <c r="C695" s="17">
        <v>45102.0</v>
      </c>
      <c r="D695" s="18">
        <v>6.0</v>
      </c>
      <c r="E695" s="19">
        <v>2.0</v>
      </c>
      <c r="F695" s="20">
        <v>14000.0</v>
      </c>
      <c r="G695" s="21" t="s">
        <v>2711</v>
      </c>
      <c r="H695" s="19">
        <v>5.0</v>
      </c>
      <c r="I695" s="21" t="s">
        <v>2152</v>
      </c>
      <c r="J695" s="22" t="s">
        <v>2562</v>
      </c>
    </row>
    <row r="696">
      <c r="A696" s="15" t="s">
        <v>3406</v>
      </c>
      <c r="B696" s="16">
        <v>45098.0</v>
      </c>
      <c r="C696" s="17">
        <v>45103.0</v>
      </c>
      <c r="D696" s="18">
        <v>2.0</v>
      </c>
      <c r="E696" s="19">
        <v>2.0</v>
      </c>
      <c r="F696" s="20">
        <v>14000.0</v>
      </c>
      <c r="G696" s="21" t="s">
        <v>2711</v>
      </c>
      <c r="H696" s="19">
        <v>5.0</v>
      </c>
      <c r="I696" s="21" t="s">
        <v>2457</v>
      </c>
      <c r="J696" s="22" t="s">
        <v>2612</v>
      </c>
    </row>
    <row r="697">
      <c r="A697" s="15" t="s">
        <v>3407</v>
      </c>
      <c r="B697" s="16">
        <v>45098.0</v>
      </c>
      <c r="C697" s="17">
        <v>45101.0</v>
      </c>
      <c r="D697" s="18">
        <v>3.0</v>
      </c>
      <c r="E697" s="19">
        <v>1.0</v>
      </c>
      <c r="F697" s="20">
        <v>12000.0</v>
      </c>
      <c r="G697" s="21" t="s">
        <v>2711</v>
      </c>
      <c r="H697" s="19">
        <v>4.0</v>
      </c>
      <c r="I697" s="21" t="s">
        <v>585</v>
      </c>
      <c r="J697" s="22" t="s">
        <v>2582</v>
      </c>
    </row>
    <row r="698">
      <c r="A698" s="15" t="s">
        <v>3408</v>
      </c>
      <c r="B698" s="16">
        <v>45098.0</v>
      </c>
      <c r="C698" s="17">
        <v>45101.0</v>
      </c>
      <c r="D698" s="18">
        <v>2.0</v>
      </c>
      <c r="E698" s="19">
        <v>2.0</v>
      </c>
      <c r="F698" s="20">
        <v>14000.0</v>
      </c>
      <c r="G698" s="21" t="s">
        <v>2711</v>
      </c>
      <c r="H698" s="19">
        <v>5.0</v>
      </c>
      <c r="I698" s="21" t="s">
        <v>1176</v>
      </c>
      <c r="J698" s="22" t="s">
        <v>2557</v>
      </c>
    </row>
    <row r="699">
      <c r="A699" s="15" t="s">
        <v>3409</v>
      </c>
      <c r="B699" s="16">
        <v>45098.0</v>
      </c>
      <c r="C699" s="17">
        <v>45102.0</v>
      </c>
      <c r="D699" s="18">
        <v>5.0</v>
      </c>
      <c r="E699" s="19">
        <v>2.0</v>
      </c>
      <c r="F699" s="20">
        <v>14000.0</v>
      </c>
      <c r="G699" s="21" t="s">
        <v>2711</v>
      </c>
      <c r="H699" s="19">
        <v>5.0</v>
      </c>
      <c r="I699" s="21" t="s">
        <v>2164</v>
      </c>
      <c r="J699" s="22" t="s">
        <v>2612</v>
      </c>
    </row>
    <row r="700">
      <c r="A700" s="15" t="s">
        <v>3410</v>
      </c>
      <c r="B700" s="17">
        <v>45099.0</v>
      </c>
      <c r="C700" s="17">
        <f t="shared" ref="C700:C702" si="7">B700 + RANDBETWEEN(1,5)</f>
        <v>45102</v>
      </c>
      <c r="D700" s="18">
        <v>6.0</v>
      </c>
      <c r="E700" s="19">
        <v>1.0</v>
      </c>
      <c r="F700" s="20">
        <v>12000.0</v>
      </c>
      <c r="G700" s="21" t="s">
        <v>2711</v>
      </c>
      <c r="H700" s="19">
        <v>4.0</v>
      </c>
      <c r="I700" s="21" t="s">
        <v>1045</v>
      </c>
      <c r="J700" s="22" t="s">
        <v>2617</v>
      </c>
    </row>
    <row r="701">
      <c r="A701" s="15" t="s">
        <v>3411</v>
      </c>
      <c r="B701" s="17">
        <v>45099.0</v>
      </c>
      <c r="C701" s="17">
        <f t="shared" si="7"/>
        <v>45101</v>
      </c>
      <c r="D701" s="18">
        <v>4.0</v>
      </c>
      <c r="E701" s="19">
        <v>2.0</v>
      </c>
      <c r="F701" s="20">
        <v>14000.0</v>
      </c>
      <c r="G701" s="21" t="s">
        <v>2711</v>
      </c>
      <c r="H701" s="19">
        <v>4.0</v>
      </c>
      <c r="I701" s="21" t="s">
        <v>2108</v>
      </c>
      <c r="J701" s="22" t="s">
        <v>2542</v>
      </c>
    </row>
    <row r="702">
      <c r="A702" s="15" t="s">
        <v>3412</v>
      </c>
      <c r="B702" s="17">
        <v>45099.0</v>
      </c>
      <c r="C702" s="17">
        <f t="shared" si="7"/>
        <v>45104</v>
      </c>
      <c r="D702" s="18">
        <v>2.0</v>
      </c>
      <c r="E702" s="19">
        <v>2.0</v>
      </c>
      <c r="F702" s="20">
        <v>14000.0</v>
      </c>
      <c r="G702" s="21" t="s">
        <v>2711</v>
      </c>
      <c r="H702" s="19">
        <v>5.0</v>
      </c>
      <c r="I702" s="21" t="s">
        <v>1374</v>
      </c>
      <c r="J702" s="22" t="s">
        <v>2532</v>
      </c>
    </row>
    <row r="703">
      <c r="A703" s="15" t="s">
        <v>3413</v>
      </c>
      <c r="B703" s="16">
        <v>45099.0</v>
      </c>
      <c r="C703" s="17">
        <v>45104.0</v>
      </c>
      <c r="D703" s="18">
        <v>6.0</v>
      </c>
      <c r="E703" s="19">
        <v>3.0</v>
      </c>
      <c r="F703" s="20">
        <v>16000.0</v>
      </c>
      <c r="G703" s="21" t="s">
        <v>2711</v>
      </c>
      <c r="H703" s="19">
        <v>4.0</v>
      </c>
      <c r="I703" s="21" t="s">
        <v>122</v>
      </c>
      <c r="J703" s="22" t="s">
        <v>2506</v>
      </c>
    </row>
    <row r="704">
      <c r="A704" s="15" t="s">
        <v>3414</v>
      </c>
      <c r="B704" s="16">
        <v>45099.0</v>
      </c>
      <c r="C704" s="17">
        <v>45100.0</v>
      </c>
      <c r="D704" s="18">
        <v>3.0</v>
      </c>
      <c r="E704" s="19">
        <v>2.0</v>
      </c>
      <c r="F704" s="20">
        <v>14000.0</v>
      </c>
      <c r="G704" s="21" t="s">
        <v>2711</v>
      </c>
      <c r="H704" s="19">
        <v>4.0</v>
      </c>
      <c r="I704" s="21" t="s">
        <v>1834</v>
      </c>
      <c r="J704" s="22" t="s">
        <v>2567</v>
      </c>
    </row>
    <row r="705">
      <c r="A705" s="15" t="s">
        <v>3415</v>
      </c>
      <c r="B705" s="16">
        <v>45099.0</v>
      </c>
      <c r="C705" s="17">
        <v>45102.0</v>
      </c>
      <c r="D705" s="18">
        <v>6.0</v>
      </c>
      <c r="E705" s="19">
        <v>3.0</v>
      </c>
      <c r="F705" s="20">
        <v>16000.0</v>
      </c>
      <c r="G705" s="21" t="s">
        <v>2711</v>
      </c>
      <c r="H705" s="19">
        <v>4.0</v>
      </c>
      <c r="I705" s="21" t="s">
        <v>2283</v>
      </c>
      <c r="J705" s="22" t="s">
        <v>2652</v>
      </c>
    </row>
    <row r="706">
      <c r="A706" s="15" t="s">
        <v>3416</v>
      </c>
      <c r="B706" s="16">
        <v>45099.0</v>
      </c>
      <c r="C706" s="17">
        <v>45101.0</v>
      </c>
      <c r="D706" s="18">
        <v>4.0</v>
      </c>
      <c r="E706" s="19">
        <v>1.0</v>
      </c>
      <c r="F706" s="20">
        <v>12000.0</v>
      </c>
      <c r="G706" s="21" t="s">
        <v>2711</v>
      </c>
      <c r="H706" s="19">
        <v>5.0</v>
      </c>
      <c r="I706" s="21" t="s">
        <v>1359</v>
      </c>
      <c r="J706" s="22" t="s">
        <v>2632</v>
      </c>
    </row>
    <row r="707">
      <c r="A707" s="15" t="s">
        <v>3417</v>
      </c>
      <c r="B707" s="16">
        <v>45099.0</v>
      </c>
      <c r="C707" s="17">
        <v>45103.0</v>
      </c>
      <c r="D707" s="18">
        <v>4.0</v>
      </c>
      <c r="E707" s="19">
        <v>2.0</v>
      </c>
      <c r="F707" s="20">
        <v>14000.0</v>
      </c>
      <c r="G707" s="21" t="s">
        <v>2711</v>
      </c>
      <c r="H707" s="19">
        <v>5.0</v>
      </c>
      <c r="I707" s="21" t="s">
        <v>2429</v>
      </c>
      <c r="J707" s="22" t="s">
        <v>2562</v>
      </c>
      <c r="K707" s="27"/>
    </row>
    <row r="708">
      <c r="A708" s="15" t="s">
        <v>3418</v>
      </c>
      <c r="B708" s="16">
        <v>45099.0</v>
      </c>
      <c r="C708" s="17">
        <v>45102.0</v>
      </c>
      <c r="D708" s="18">
        <v>17.0</v>
      </c>
      <c r="E708" s="19">
        <v>5.0</v>
      </c>
      <c r="F708" s="20">
        <v>25100.0</v>
      </c>
      <c r="G708" s="21" t="s">
        <v>2711</v>
      </c>
      <c r="H708" s="19">
        <v>5.0</v>
      </c>
      <c r="I708" s="21" t="s">
        <v>724</v>
      </c>
      <c r="J708" s="22" t="s">
        <v>2672</v>
      </c>
    </row>
    <row r="709">
      <c r="A709" s="15" t="s">
        <v>3419</v>
      </c>
      <c r="B709" s="16">
        <v>45099.0</v>
      </c>
      <c r="C709" s="17">
        <v>45103.0</v>
      </c>
      <c r="D709" s="18">
        <v>15.0</v>
      </c>
      <c r="E709" s="19">
        <v>7.0</v>
      </c>
      <c r="F709" s="20">
        <v>28500.0</v>
      </c>
      <c r="G709" s="21" t="s">
        <v>2711</v>
      </c>
      <c r="H709" s="19">
        <v>5.0</v>
      </c>
      <c r="I709" s="21" t="s">
        <v>1272</v>
      </c>
      <c r="J709" s="22" t="s">
        <v>2662</v>
      </c>
    </row>
    <row r="710">
      <c r="A710" s="15" t="s">
        <v>3420</v>
      </c>
      <c r="B710" s="16">
        <v>45099.0</v>
      </c>
      <c r="C710" s="17">
        <v>45102.0</v>
      </c>
      <c r="D710" s="18">
        <v>4.0</v>
      </c>
      <c r="E710" s="19">
        <v>3.0</v>
      </c>
      <c r="F710" s="20">
        <v>16000.0</v>
      </c>
      <c r="G710" s="21" t="s">
        <v>2711</v>
      </c>
      <c r="H710" s="19">
        <v>5.0</v>
      </c>
      <c r="I710" s="21" t="s">
        <v>66</v>
      </c>
      <c r="J710" s="22" t="s">
        <v>2597</v>
      </c>
    </row>
    <row r="711">
      <c r="A711" s="15" t="s">
        <v>3421</v>
      </c>
      <c r="B711" s="16">
        <v>45099.0</v>
      </c>
      <c r="C711" s="17">
        <v>45101.0</v>
      </c>
      <c r="D711" s="18">
        <v>17.0</v>
      </c>
      <c r="E711" s="19">
        <v>4.0</v>
      </c>
      <c r="F711" s="20">
        <v>23100.0</v>
      </c>
      <c r="G711" s="21" t="s">
        <v>2711</v>
      </c>
      <c r="H711" s="19">
        <v>4.0</v>
      </c>
      <c r="I711" s="21" t="s">
        <v>1910</v>
      </c>
      <c r="J711" s="22" t="s">
        <v>2607</v>
      </c>
    </row>
    <row r="712">
      <c r="A712" s="15" t="s">
        <v>3422</v>
      </c>
      <c r="B712" s="16">
        <v>45099.0</v>
      </c>
      <c r="C712" s="17">
        <v>45101.0</v>
      </c>
      <c r="D712" s="18">
        <v>3.0</v>
      </c>
      <c r="E712" s="19">
        <v>3.0</v>
      </c>
      <c r="F712" s="20">
        <v>16000.0</v>
      </c>
      <c r="G712" s="21" t="s">
        <v>2711</v>
      </c>
      <c r="H712" s="19">
        <v>5.0</v>
      </c>
      <c r="I712" s="21" t="s">
        <v>1300</v>
      </c>
      <c r="J712" s="22" t="s">
        <v>2682</v>
      </c>
    </row>
    <row r="713">
      <c r="A713" s="15" t="s">
        <v>3423</v>
      </c>
      <c r="B713" s="16">
        <v>45099.0</v>
      </c>
      <c r="C713" s="17">
        <v>45103.0</v>
      </c>
      <c r="D713" s="18">
        <v>7.0</v>
      </c>
      <c r="E713" s="19">
        <v>6.0</v>
      </c>
      <c r="F713" s="20">
        <v>22000.0</v>
      </c>
      <c r="G713" s="21" t="s">
        <v>2711</v>
      </c>
      <c r="H713" s="19">
        <v>5.0</v>
      </c>
      <c r="I713" s="21" t="s">
        <v>422</v>
      </c>
      <c r="J713" s="22" t="s">
        <v>2587</v>
      </c>
    </row>
    <row r="714">
      <c r="A714" s="15" t="s">
        <v>3424</v>
      </c>
      <c r="B714" s="16">
        <v>45099.0</v>
      </c>
      <c r="C714" s="17">
        <v>45104.0</v>
      </c>
      <c r="D714" s="18">
        <v>6.0</v>
      </c>
      <c r="E714" s="19">
        <v>1.0</v>
      </c>
      <c r="F714" s="20">
        <v>12000.0</v>
      </c>
      <c r="G714" s="21" t="s">
        <v>2711</v>
      </c>
      <c r="H714" s="19">
        <v>5.0</v>
      </c>
      <c r="I714" s="21" t="s">
        <v>1113</v>
      </c>
      <c r="J714" s="22" t="s">
        <v>2542</v>
      </c>
    </row>
    <row r="715">
      <c r="A715" s="15" t="s">
        <v>3425</v>
      </c>
      <c r="B715" s="16">
        <v>45099.0</v>
      </c>
      <c r="C715" s="17">
        <v>45100.0</v>
      </c>
      <c r="D715" s="18">
        <v>6.0</v>
      </c>
      <c r="E715" s="19">
        <v>1.0</v>
      </c>
      <c r="F715" s="20">
        <v>12000.0</v>
      </c>
      <c r="G715" s="21" t="s">
        <v>2711</v>
      </c>
      <c r="H715" s="19">
        <v>4.0</v>
      </c>
      <c r="I715" s="21" t="s">
        <v>2441</v>
      </c>
      <c r="J715" s="22" t="s">
        <v>2511</v>
      </c>
    </row>
    <row r="716">
      <c r="A716" s="15" t="s">
        <v>3426</v>
      </c>
      <c r="B716" s="16">
        <v>45099.0</v>
      </c>
      <c r="C716" s="17">
        <v>45101.0</v>
      </c>
      <c r="D716" s="18">
        <v>1.0</v>
      </c>
      <c r="E716" s="19">
        <v>3.0</v>
      </c>
      <c r="F716" s="20">
        <v>16000.0</v>
      </c>
      <c r="G716" s="21" t="s">
        <v>2711</v>
      </c>
      <c r="H716" s="19">
        <v>5.0</v>
      </c>
      <c r="I716" s="21" t="s">
        <v>174</v>
      </c>
      <c r="J716" s="22" t="s">
        <v>2572</v>
      </c>
    </row>
    <row r="717">
      <c r="A717" s="15" t="s">
        <v>3427</v>
      </c>
      <c r="B717" s="16">
        <v>45099.0</v>
      </c>
      <c r="C717" s="17">
        <v>45102.0</v>
      </c>
      <c r="D717" s="18">
        <v>3.0</v>
      </c>
      <c r="E717" s="19">
        <v>1.0</v>
      </c>
      <c r="F717" s="20">
        <v>12000.0</v>
      </c>
      <c r="G717" s="21" t="s">
        <v>2711</v>
      </c>
      <c r="H717" s="19">
        <v>4.0</v>
      </c>
      <c r="I717" s="21" t="s">
        <v>1081</v>
      </c>
      <c r="J717" s="22" t="s">
        <v>2496</v>
      </c>
    </row>
    <row r="718">
      <c r="A718" s="15" t="s">
        <v>3428</v>
      </c>
      <c r="B718" s="16">
        <v>45099.0</v>
      </c>
      <c r="C718" s="17">
        <v>45100.0</v>
      </c>
      <c r="D718" s="18">
        <v>15.0</v>
      </c>
      <c r="E718" s="19">
        <v>7.0</v>
      </c>
      <c r="F718" s="20">
        <v>28500.0</v>
      </c>
      <c r="G718" s="21" t="s">
        <v>2711</v>
      </c>
      <c r="H718" s="19">
        <v>4.0</v>
      </c>
      <c r="I718" s="21" t="s">
        <v>2160</v>
      </c>
      <c r="J718" s="22" t="s">
        <v>2627</v>
      </c>
    </row>
    <row r="719">
      <c r="A719" s="15" t="s">
        <v>3429</v>
      </c>
      <c r="B719" s="16">
        <v>45099.0</v>
      </c>
      <c r="C719" s="17">
        <v>45103.0</v>
      </c>
      <c r="D719" s="18">
        <v>14.0</v>
      </c>
      <c r="E719" s="19">
        <v>5.0</v>
      </c>
      <c r="F719" s="20">
        <v>20000.0</v>
      </c>
      <c r="G719" s="21" t="s">
        <v>2711</v>
      </c>
      <c r="H719" s="19">
        <v>5.0</v>
      </c>
      <c r="I719" s="21" t="s">
        <v>862</v>
      </c>
      <c r="J719" s="22" t="s">
        <v>2627</v>
      </c>
    </row>
    <row r="720">
      <c r="A720" s="15" t="s">
        <v>3430</v>
      </c>
      <c r="B720" s="16">
        <v>45099.0</v>
      </c>
      <c r="C720" s="17">
        <v>45102.0</v>
      </c>
      <c r="D720" s="18">
        <v>6.0</v>
      </c>
      <c r="E720" s="19">
        <v>1.0</v>
      </c>
      <c r="F720" s="20">
        <v>12000.0</v>
      </c>
      <c r="G720" s="21" t="s">
        <v>2711</v>
      </c>
      <c r="H720" s="19">
        <v>5.0</v>
      </c>
      <c r="I720" s="21" t="s">
        <v>1348</v>
      </c>
      <c r="J720" s="22" t="s">
        <v>2562</v>
      </c>
    </row>
    <row r="721">
      <c r="A721" s="15" t="s">
        <v>3431</v>
      </c>
      <c r="B721" s="16">
        <v>45099.0</v>
      </c>
      <c r="C721" s="17">
        <v>45101.0</v>
      </c>
      <c r="D721" s="18">
        <v>2.0</v>
      </c>
      <c r="E721" s="19">
        <v>2.0</v>
      </c>
      <c r="F721" s="20">
        <v>14000.0</v>
      </c>
      <c r="G721" s="21" t="s">
        <v>2711</v>
      </c>
      <c r="H721" s="19">
        <v>5.0</v>
      </c>
      <c r="I721" s="21" t="s">
        <v>2255</v>
      </c>
      <c r="J721" s="22" t="s">
        <v>2542</v>
      </c>
    </row>
    <row r="722">
      <c r="A722" s="15" t="s">
        <v>3432</v>
      </c>
      <c r="B722" s="16">
        <v>45099.0</v>
      </c>
      <c r="C722" s="17">
        <v>45104.0</v>
      </c>
      <c r="D722" s="18">
        <v>1.0</v>
      </c>
      <c r="E722" s="19">
        <v>2.0</v>
      </c>
      <c r="F722" s="20">
        <v>14000.0</v>
      </c>
      <c r="G722" s="21" t="s">
        <v>2711</v>
      </c>
      <c r="H722" s="19">
        <v>5.0</v>
      </c>
      <c r="I722" s="21" t="s">
        <v>2263</v>
      </c>
      <c r="J722" s="22" t="s">
        <v>2562</v>
      </c>
    </row>
    <row r="723">
      <c r="A723" s="15" t="s">
        <v>3433</v>
      </c>
      <c r="B723" s="16">
        <v>45099.0</v>
      </c>
      <c r="C723" s="17">
        <v>45103.0</v>
      </c>
      <c r="D723" s="18">
        <v>4.0</v>
      </c>
      <c r="E723" s="19">
        <v>3.0</v>
      </c>
      <c r="F723" s="20">
        <v>16000.0</v>
      </c>
      <c r="G723" s="21" t="s">
        <v>2711</v>
      </c>
      <c r="H723" s="19">
        <v>4.0</v>
      </c>
      <c r="I723" s="21" t="s">
        <v>22</v>
      </c>
      <c r="J723" s="22" t="s">
        <v>2682</v>
      </c>
    </row>
    <row r="724">
      <c r="A724" s="15" t="s">
        <v>3434</v>
      </c>
      <c r="B724" s="16">
        <v>45099.0</v>
      </c>
      <c r="C724" s="17">
        <v>45100.0</v>
      </c>
      <c r="D724" s="18">
        <v>5.0</v>
      </c>
      <c r="E724" s="19">
        <v>2.0</v>
      </c>
      <c r="F724" s="20">
        <v>14000.0</v>
      </c>
      <c r="G724" s="21" t="s">
        <v>2711</v>
      </c>
      <c r="H724" s="19">
        <v>4.0</v>
      </c>
      <c r="I724" s="21" t="s">
        <v>819</v>
      </c>
      <c r="J724" s="22" t="s">
        <v>2496</v>
      </c>
    </row>
    <row r="725">
      <c r="A725" s="15" t="s">
        <v>3435</v>
      </c>
      <c r="B725" s="16">
        <v>45099.0</v>
      </c>
      <c r="C725" s="17">
        <v>45101.0</v>
      </c>
      <c r="D725" s="18">
        <v>9.0</v>
      </c>
      <c r="E725" s="19">
        <v>10.0</v>
      </c>
      <c r="F725" s="20">
        <v>30000.0</v>
      </c>
      <c r="G725" s="21" t="s">
        <v>2711</v>
      </c>
      <c r="H725" s="19">
        <v>5.0</v>
      </c>
      <c r="I725" s="21" t="s">
        <v>410</v>
      </c>
      <c r="J725" s="22" t="s">
        <v>2662</v>
      </c>
    </row>
    <row r="726">
      <c r="A726" s="15" t="s">
        <v>3436</v>
      </c>
      <c r="B726" s="16">
        <v>45099.0</v>
      </c>
      <c r="C726" s="17">
        <v>45104.0</v>
      </c>
      <c r="D726" s="18">
        <v>6.0</v>
      </c>
      <c r="E726" s="19">
        <v>1.0</v>
      </c>
      <c r="F726" s="20">
        <v>12000.0</v>
      </c>
      <c r="G726" s="21" t="s">
        <v>2711</v>
      </c>
      <c r="H726" s="19">
        <v>5.0</v>
      </c>
      <c r="I726" s="21" t="s">
        <v>1109</v>
      </c>
      <c r="J726" s="22" t="s">
        <v>2682</v>
      </c>
    </row>
    <row r="727">
      <c r="A727" s="15" t="s">
        <v>3437</v>
      </c>
      <c r="B727" s="16">
        <v>45099.0</v>
      </c>
      <c r="C727" s="17">
        <v>45101.0</v>
      </c>
      <c r="D727" s="18">
        <v>19.0</v>
      </c>
      <c r="E727" s="19">
        <v>6.0</v>
      </c>
      <c r="F727" s="20">
        <v>27700.0</v>
      </c>
      <c r="G727" s="21" t="s">
        <v>2711</v>
      </c>
      <c r="H727" s="19">
        <v>4.0</v>
      </c>
      <c r="I727" s="21" t="s">
        <v>1842</v>
      </c>
      <c r="J727" s="22" t="s">
        <v>2662</v>
      </c>
    </row>
    <row r="728">
      <c r="A728" s="15" t="s">
        <v>3438</v>
      </c>
      <c r="B728" s="16">
        <v>45099.0</v>
      </c>
      <c r="C728" s="17">
        <v>45104.0</v>
      </c>
      <c r="D728" s="18">
        <v>4.0</v>
      </c>
      <c r="E728" s="19">
        <v>1.0</v>
      </c>
      <c r="F728" s="20">
        <v>12000.0</v>
      </c>
      <c r="G728" s="21" t="s">
        <v>2711</v>
      </c>
      <c r="H728" s="19">
        <v>4.0</v>
      </c>
      <c r="I728" s="21" t="s">
        <v>66</v>
      </c>
      <c r="J728" s="22" t="s">
        <v>2642</v>
      </c>
    </row>
    <row r="729">
      <c r="A729" s="15" t="s">
        <v>3439</v>
      </c>
      <c r="B729" s="16">
        <v>45099.0</v>
      </c>
      <c r="C729" s="17">
        <v>45100.0</v>
      </c>
      <c r="D729" s="18">
        <v>1.0</v>
      </c>
      <c r="E729" s="19">
        <v>3.0</v>
      </c>
      <c r="F729" s="20">
        <v>16000.0</v>
      </c>
      <c r="G729" s="21" t="s">
        <v>2711</v>
      </c>
      <c r="H729" s="19">
        <v>5.0</v>
      </c>
      <c r="I729" s="21" t="s">
        <v>2232</v>
      </c>
      <c r="J729" s="22" t="s">
        <v>2592</v>
      </c>
    </row>
    <row r="730">
      <c r="A730" s="15" t="s">
        <v>3440</v>
      </c>
      <c r="B730" s="17">
        <v>45100.0</v>
      </c>
      <c r="C730" s="17">
        <f>B730 + RANDBETWEEN(1,5)</f>
        <v>45102</v>
      </c>
      <c r="D730" s="18">
        <v>5.0</v>
      </c>
      <c r="E730" s="19">
        <v>3.0</v>
      </c>
      <c r="F730" s="20">
        <v>16000.0</v>
      </c>
      <c r="G730" s="21" t="s">
        <v>2711</v>
      </c>
      <c r="H730" s="19">
        <v>4.0</v>
      </c>
      <c r="I730" s="21" t="s">
        <v>2025</v>
      </c>
      <c r="J730" s="22" t="s">
        <v>2692</v>
      </c>
    </row>
    <row r="731">
      <c r="A731" s="15" t="s">
        <v>3441</v>
      </c>
      <c r="B731" s="16">
        <v>45100.0</v>
      </c>
      <c r="C731" s="17">
        <v>45102.0</v>
      </c>
      <c r="D731" s="18">
        <v>6.0</v>
      </c>
      <c r="E731" s="19">
        <v>3.0</v>
      </c>
      <c r="F731" s="20">
        <v>16000.0</v>
      </c>
      <c r="G731" s="21" t="s">
        <v>2711</v>
      </c>
      <c r="H731" s="19">
        <v>4.0</v>
      </c>
      <c r="I731" s="21" t="s">
        <v>1049</v>
      </c>
      <c r="J731" s="22" t="s">
        <v>2687</v>
      </c>
    </row>
    <row r="732">
      <c r="A732" s="15" t="s">
        <v>3442</v>
      </c>
      <c r="B732" s="16">
        <v>45100.0</v>
      </c>
      <c r="C732" s="17">
        <v>45103.0</v>
      </c>
      <c r="D732" s="18">
        <v>3.0</v>
      </c>
      <c r="E732" s="19">
        <v>1.0</v>
      </c>
      <c r="F732" s="20">
        <v>12000.0</v>
      </c>
      <c r="G732" s="21" t="s">
        <v>2711</v>
      </c>
      <c r="H732" s="19">
        <v>5.0</v>
      </c>
      <c r="I732" s="21" t="s">
        <v>2160</v>
      </c>
      <c r="J732" s="22" t="s">
        <v>2547</v>
      </c>
    </row>
    <row r="733">
      <c r="A733" s="15" t="s">
        <v>3443</v>
      </c>
      <c r="B733" s="16">
        <v>45100.0</v>
      </c>
      <c r="C733" s="17">
        <v>45103.0</v>
      </c>
      <c r="D733" s="18">
        <v>6.0</v>
      </c>
      <c r="E733" s="19">
        <v>2.0</v>
      </c>
      <c r="F733" s="20">
        <v>14000.0</v>
      </c>
      <c r="G733" s="21" t="s">
        <v>2711</v>
      </c>
      <c r="H733" s="19">
        <v>5.0</v>
      </c>
      <c r="I733" s="21" t="s">
        <v>882</v>
      </c>
      <c r="J733" s="22" t="s">
        <v>2516</v>
      </c>
    </row>
    <row r="734">
      <c r="A734" s="15" t="s">
        <v>3444</v>
      </c>
      <c r="B734" s="16">
        <v>45100.0</v>
      </c>
      <c r="C734" s="17">
        <v>45102.0</v>
      </c>
      <c r="D734" s="18">
        <v>1.0</v>
      </c>
      <c r="E734" s="19">
        <v>3.0</v>
      </c>
      <c r="F734" s="20">
        <v>16000.0</v>
      </c>
      <c r="G734" s="21" t="s">
        <v>2711</v>
      </c>
      <c r="H734" s="19">
        <v>4.0</v>
      </c>
      <c r="I734" s="21" t="s">
        <v>2421</v>
      </c>
      <c r="J734" s="22" t="s">
        <v>2592</v>
      </c>
    </row>
    <row r="735">
      <c r="A735" s="15" t="s">
        <v>3445</v>
      </c>
      <c r="B735" s="16">
        <v>45100.0</v>
      </c>
      <c r="C735" s="17">
        <v>45102.0</v>
      </c>
      <c r="D735" s="18">
        <v>10.0</v>
      </c>
      <c r="E735" s="19">
        <v>10.0</v>
      </c>
      <c r="F735" s="20">
        <v>30000.0</v>
      </c>
      <c r="G735" s="21" t="s">
        <v>2711</v>
      </c>
      <c r="H735" s="19">
        <v>5.0</v>
      </c>
      <c r="I735" s="21" t="s">
        <v>2033</v>
      </c>
      <c r="J735" s="22" t="s">
        <v>2667</v>
      </c>
    </row>
    <row r="736">
      <c r="A736" s="15" t="s">
        <v>3446</v>
      </c>
      <c r="B736" s="16">
        <v>45100.0</v>
      </c>
      <c r="C736" s="17">
        <v>45105.0</v>
      </c>
      <c r="D736" s="18">
        <v>15.0</v>
      </c>
      <c r="E736" s="19">
        <v>5.0</v>
      </c>
      <c r="F736" s="20">
        <v>24500.0</v>
      </c>
      <c r="G736" s="21" t="s">
        <v>2711</v>
      </c>
      <c r="H736" s="19">
        <v>5.0</v>
      </c>
      <c r="I736" s="21" t="s">
        <v>38</v>
      </c>
      <c r="J736" s="22" t="s">
        <v>2627</v>
      </c>
      <c r="K736" s="27"/>
    </row>
    <row r="737">
      <c r="A737" s="15" t="s">
        <v>3447</v>
      </c>
      <c r="B737" s="16">
        <v>45100.0</v>
      </c>
      <c r="C737" s="17">
        <v>45105.0</v>
      </c>
      <c r="D737" s="18">
        <v>3.0</v>
      </c>
      <c r="E737" s="19">
        <v>2.0</v>
      </c>
      <c r="F737" s="20">
        <v>14000.0</v>
      </c>
      <c r="G737" s="21" t="s">
        <v>2711</v>
      </c>
      <c r="H737" s="19">
        <v>4.0</v>
      </c>
      <c r="I737" s="21" t="s">
        <v>1320</v>
      </c>
      <c r="J737" s="22" t="s">
        <v>2612</v>
      </c>
    </row>
    <row r="738">
      <c r="A738" s="15" t="s">
        <v>3448</v>
      </c>
      <c r="B738" s="16">
        <v>45100.0</v>
      </c>
      <c r="C738" s="17">
        <v>45102.0</v>
      </c>
      <c r="D738" s="18">
        <v>2.0</v>
      </c>
      <c r="E738" s="19">
        <v>2.0</v>
      </c>
      <c r="F738" s="20">
        <v>14000.0</v>
      </c>
      <c r="G738" s="21" t="s">
        <v>2711</v>
      </c>
      <c r="H738" s="19">
        <v>4.0</v>
      </c>
      <c r="I738" s="21" t="s">
        <v>322</v>
      </c>
      <c r="J738" s="22" t="s">
        <v>2687</v>
      </c>
    </row>
    <row r="739">
      <c r="A739" s="15" t="s">
        <v>3449</v>
      </c>
      <c r="B739" s="16">
        <v>45100.0</v>
      </c>
      <c r="C739" s="17">
        <v>45103.0</v>
      </c>
      <c r="D739" s="18">
        <v>20.0</v>
      </c>
      <c r="E739" s="19">
        <v>6.0</v>
      </c>
      <c r="F739" s="20">
        <v>28000.0</v>
      </c>
      <c r="G739" s="21" t="s">
        <v>2711</v>
      </c>
      <c r="H739" s="19">
        <v>5.0</v>
      </c>
      <c r="I739" s="21" t="s">
        <v>2381</v>
      </c>
      <c r="J739" s="22" t="s">
        <v>2672</v>
      </c>
    </row>
    <row r="740">
      <c r="A740" s="15" t="s">
        <v>3450</v>
      </c>
      <c r="B740" s="16">
        <v>45100.0</v>
      </c>
      <c r="C740" s="17">
        <v>45102.0</v>
      </c>
      <c r="D740" s="18">
        <v>4.0</v>
      </c>
      <c r="E740" s="19">
        <v>2.0</v>
      </c>
      <c r="F740" s="20">
        <v>14000.0</v>
      </c>
      <c r="G740" s="21" t="s">
        <v>2711</v>
      </c>
      <c r="H740" s="19">
        <v>4.0</v>
      </c>
      <c r="I740" s="21" t="s">
        <v>1065</v>
      </c>
      <c r="J740" s="22" t="s">
        <v>2602</v>
      </c>
    </row>
    <row r="741">
      <c r="A741" s="15" t="s">
        <v>3451</v>
      </c>
      <c r="B741" s="16">
        <v>45100.0</v>
      </c>
      <c r="C741" s="17">
        <v>45104.0</v>
      </c>
      <c r="D741" s="18">
        <v>2.0</v>
      </c>
      <c r="E741" s="19">
        <v>1.0</v>
      </c>
      <c r="F741" s="20">
        <v>12000.0</v>
      </c>
      <c r="G741" s="21" t="s">
        <v>2711</v>
      </c>
      <c r="H741" s="19">
        <v>4.0</v>
      </c>
      <c r="I741" s="21" t="s">
        <v>1037</v>
      </c>
      <c r="J741" s="22" t="s">
        <v>2506</v>
      </c>
    </row>
    <row r="742">
      <c r="A742" s="15" t="s">
        <v>3452</v>
      </c>
      <c r="B742" s="16">
        <v>45100.0</v>
      </c>
      <c r="C742" s="17">
        <v>45102.0</v>
      </c>
      <c r="D742" s="18">
        <v>6.0</v>
      </c>
      <c r="E742" s="19">
        <v>1.0</v>
      </c>
      <c r="F742" s="20">
        <v>12000.0</v>
      </c>
      <c r="G742" s="21" t="s">
        <v>2711</v>
      </c>
      <c r="H742" s="19">
        <v>4.0</v>
      </c>
      <c r="I742" s="21" t="s">
        <v>262</v>
      </c>
      <c r="J742" s="22" t="s">
        <v>2682</v>
      </c>
    </row>
    <row r="743">
      <c r="A743" s="15" t="s">
        <v>3453</v>
      </c>
      <c r="B743" s="16">
        <v>45100.0</v>
      </c>
      <c r="C743" s="17">
        <v>45101.0</v>
      </c>
      <c r="D743" s="18">
        <v>10.0</v>
      </c>
      <c r="E743" s="19">
        <v>6.0</v>
      </c>
      <c r="F743" s="20">
        <v>22000.0</v>
      </c>
      <c r="G743" s="21" t="s">
        <v>2711</v>
      </c>
      <c r="H743" s="19">
        <v>5.0</v>
      </c>
      <c r="I743" s="21" t="s">
        <v>198</v>
      </c>
      <c r="J743" s="22" t="s">
        <v>2662</v>
      </c>
    </row>
    <row r="744">
      <c r="A744" s="15" t="s">
        <v>3454</v>
      </c>
      <c r="B744" s="16">
        <v>45100.0</v>
      </c>
      <c r="C744" s="17">
        <v>45105.0</v>
      </c>
      <c r="D744" s="18">
        <v>19.0</v>
      </c>
      <c r="E744" s="19">
        <v>8.0</v>
      </c>
      <c r="F744" s="20">
        <v>31700.0</v>
      </c>
      <c r="G744" s="21" t="s">
        <v>2711</v>
      </c>
      <c r="H744" s="19">
        <v>4.0</v>
      </c>
      <c r="I744" s="21" t="s">
        <v>422</v>
      </c>
      <c r="J744" s="22" t="s">
        <v>2697</v>
      </c>
    </row>
    <row r="745">
      <c r="A745" s="15" t="s">
        <v>3455</v>
      </c>
      <c r="B745" s="16">
        <v>45100.0</v>
      </c>
      <c r="C745" s="17">
        <v>45103.0</v>
      </c>
      <c r="D745" s="18">
        <v>6.0</v>
      </c>
      <c r="E745" s="19">
        <v>2.0</v>
      </c>
      <c r="F745" s="20">
        <v>14000.0</v>
      </c>
      <c r="G745" s="21" t="s">
        <v>2711</v>
      </c>
      <c r="H745" s="19">
        <v>4.0</v>
      </c>
      <c r="I745" s="21" t="s">
        <v>2029</v>
      </c>
      <c r="J745" s="22" t="s">
        <v>2567</v>
      </c>
    </row>
    <row r="746">
      <c r="A746" s="15" t="s">
        <v>3456</v>
      </c>
      <c r="B746" s="16">
        <v>45100.0</v>
      </c>
      <c r="C746" s="17">
        <v>45101.0</v>
      </c>
      <c r="D746" s="18">
        <v>20.0</v>
      </c>
      <c r="E746" s="19">
        <v>4.0</v>
      </c>
      <c r="F746" s="20">
        <v>24000.0</v>
      </c>
      <c r="G746" s="21" t="s">
        <v>2711</v>
      </c>
      <c r="H746" s="19">
        <v>5.0</v>
      </c>
      <c r="I746" s="21" t="s">
        <v>438</v>
      </c>
      <c r="J746" s="22" t="s">
        <v>2484</v>
      </c>
    </row>
    <row r="747">
      <c r="A747" s="15" t="s">
        <v>3457</v>
      </c>
      <c r="B747" s="16">
        <v>45100.0</v>
      </c>
      <c r="C747" s="17">
        <v>45102.0</v>
      </c>
      <c r="D747" s="18">
        <v>2.0</v>
      </c>
      <c r="E747" s="19">
        <v>3.0</v>
      </c>
      <c r="F747" s="20">
        <v>16000.0</v>
      </c>
      <c r="G747" s="21" t="s">
        <v>2711</v>
      </c>
      <c r="H747" s="19">
        <v>4.0</v>
      </c>
      <c r="I747" s="21" t="s">
        <v>378</v>
      </c>
      <c r="J747" s="22" t="s">
        <v>2582</v>
      </c>
    </row>
    <row r="748">
      <c r="A748" s="15" t="s">
        <v>3458</v>
      </c>
      <c r="B748" s="16">
        <v>45100.0</v>
      </c>
      <c r="C748" s="17">
        <v>45101.0</v>
      </c>
      <c r="D748" s="18">
        <v>16.0</v>
      </c>
      <c r="E748" s="19">
        <v>10.0</v>
      </c>
      <c r="F748" s="20">
        <v>34800.0</v>
      </c>
      <c r="G748" s="21" t="s">
        <v>2711</v>
      </c>
      <c r="H748" s="19">
        <v>4.0</v>
      </c>
      <c r="I748" s="21" t="s">
        <v>230</v>
      </c>
      <c r="J748" s="22" t="s">
        <v>2697</v>
      </c>
    </row>
    <row r="749">
      <c r="A749" s="15" t="s">
        <v>3459</v>
      </c>
      <c r="B749" s="16">
        <v>45100.0</v>
      </c>
      <c r="C749" s="17">
        <v>45102.0</v>
      </c>
      <c r="D749" s="18">
        <v>3.0</v>
      </c>
      <c r="E749" s="19">
        <v>3.0</v>
      </c>
      <c r="F749" s="20">
        <v>16000.0</v>
      </c>
      <c r="G749" s="21" t="s">
        <v>2711</v>
      </c>
      <c r="H749" s="19">
        <v>4.0</v>
      </c>
      <c r="I749" s="21" t="s">
        <v>985</v>
      </c>
      <c r="J749" s="22" t="s">
        <v>2682</v>
      </c>
    </row>
    <row r="750">
      <c r="A750" s="15" t="s">
        <v>3460</v>
      </c>
      <c r="B750" s="16">
        <v>45100.0</v>
      </c>
      <c r="C750" s="17">
        <v>45101.0</v>
      </c>
      <c r="D750" s="18">
        <v>1.0</v>
      </c>
      <c r="E750" s="19">
        <v>3.0</v>
      </c>
      <c r="F750" s="20">
        <v>16000.0</v>
      </c>
      <c r="G750" s="21" t="s">
        <v>2711</v>
      </c>
      <c r="H750" s="19">
        <v>5.0</v>
      </c>
      <c r="I750" s="21" t="s">
        <v>656</v>
      </c>
      <c r="J750" s="22" t="s">
        <v>2511</v>
      </c>
    </row>
    <row r="751">
      <c r="A751" s="15" t="s">
        <v>3461</v>
      </c>
      <c r="B751" s="16">
        <v>45100.0</v>
      </c>
      <c r="C751" s="17">
        <v>45103.0</v>
      </c>
      <c r="D751" s="18">
        <v>4.0</v>
      </c>
      <c r="E751" s="19">
        <v>2.0</v>
      </c>
      <c r="F751" s="20">
        <v>14000.0</v>
      </c>
      <c r="G751" s="21" t="s">
        <v>2711</v>
      </c>
      <c r="H751" s="19">
        <v>4.0</v>
      </c>
      <c r="I751" s="21" t="s">
        <v>854</v>
      </c>
      <c r="J751" s="22" t="s">
        <v>2612</v>
      </c>
    </row>
    <row r="752">
      <c r="A752" s="15" t="s">
        <v>3462</v>
      </c>
      <c r="B752" s="16">
        <v>45100.0</v>
      </c>
      <c r="C752" s="17">
        <v>45101.0</v>
      </c>
      <c r="D752" s="18">
        <v>3.0</v>
      </c>
      <c r="E752" s="19">
        <v>2.0</v>
      </c>
      <c r="F752" s="20">
        <v>14000.0</v>
      </c>
      <c r="G752" s="21" t="s">
        <v>2711</v>
      </c>
      <c r="H752" s="19">
        <v>4.0</v>
      </c>
      <c r="I752" s="21" t="s">
        <v>1105</v>
      </c>
      <c r="J752" s="22" t="s">
        <v>2622</v>
      </c>
    </row>
    <row r="753">
      <c r="A753" s="15" t="s">
        <v>3463</v>
      </c>
      <c r="B753" s="16">
        <v>45100.0</v>
      </c>
      <c r="C753" s="17">
        <v>45101.0</v>
      </c>
      <c r="D753" s="18">
        <v>2.0</v>
      </c>
      <c r="E753" s="19">
        <v>1.0</v>
      </c>
      <c r="F753" s="20">
        <v>12000.0</v>
      </c>
      <c r="G753" s="21" t="s">
        <v>2711</v>
      </c>
      <c r="H753" s="19">
        <v>4.0</v>
      </c>
      <c r="I753" s="21" t="s">
        <v>541</v>
      </c>
      <c r="J753" s="22" t="s">
        <v>2557</v>
      </c>
    </row>
    <row r="754">
      <c r="A754" s="15" t="s">
        <v>3464</v>
      </c>
      <c r="B754" s="16">
        <v>45100.0</v>
      </c>
      <c r="C754" s="17">
        <v>45105.0</v>
      </c>
      <c r="D754" s="18">
        <v>5.0</v>
      </c>
      <c r="E754" s="19">
        <v>2.0</v>
      </c>
      <c r="F754" s="20">
        <v>14000.0</v>
      </c>
      <c r="G754" s="21" t="s">
        <v>2711</v>
      </c>
      <c r="H754" s="19">
        <v>5.0</v>
      </c>
      <c r="I754" s="21" t="s">
        <v>1910</v>
      </c>
      <c r="J754" s="22" t="s">
        <v>2602</v>
      </c>
    </row>
    <row r="755">
      <c r="A755" s="15" t="s">
        <v>3465</v>
      </c>
      <c r="B755" s="16">
        <v>45100.0</v>
      </c>
      <c r="C755" s="17">
        <v>45101.0</v>
      </c>
      <c r="D755" s="18">
        <v>1.0</v>
      </c>
      <c r="E755" s="19">
        <v>1.0</v>
      </c>
      <c r="F755" s="20">
        <v>12000.0</v>
      </c>
      <c r="G755" s="21" t="s">
        <v>2711</v>
      </c>
      <c r="H755" s="19">
        <v>5.0</v>
      </c>
      <c r="I755" s="21" t="s">
        <v>720</v>
      </c>
      <c r="J755" s="22" t="s">
        <v>2652</v>
      </c>
    </row>
    <row r="756">
      <c r="A756" s="15" t="s">
        <v>3466</v>
      </c>
      <c r="B756" s="16">
        <v>45100.0</v>
      </c>
      <c r="C756" s="17">
        <v>45103.0</v>
      </c>
      <c r="D756" s="18">
        <v>1.0</v>
      </c>
      <c r="E756" s="19">
        <v>1.0</v>
      </c>
      <c r="F756" s="20">
        <v>12000.0</v>
      </c>
      <c r="G756" s="21" t="s">
        <v>2711</v>
      </c>
      <c r="H756" s="19">
        <v>4.0</v>
      </c>
      <c r="I756" s="21" t="s">
        <v>1764</v>
      </c>
      <c r="J756" s="22" t="s">
        <v>2506</v>
      </c>
    </row>
    <row r="757">
      <c r="A757" s="15" t="s">
        <v>3467</v>
      </c>
      <c r="B757" s="16">
        <v>45100.0</v>
      </c>
      <c r="C757" s="17">
        <v>45101.0</v>
      </c>
      <c r="D757" s="18">
        <v>6.0</v>
      </c>
      <c r="E757" s="19">
        <v>1.0</v>
      </c>
      <c r="F757" s="20">
        <v>12000.0</v>
      </c>
      <c r="G757" s="21" t="s">
        <v>2711</v>
      </c>
      <c r="H757" s="19">
        <v>5.0</v>
      </c>
      <c r="I757" s="21" t="s">
        <v>593</v>
      </c>
      <c r="J757" s="22" t="s">
        <v>2682</v>
      </c>
    </row>
    <row r="758">
      <c r="A758" s="15" t="s">
        <v>3468</v>
      </c>
      <c r="B758" s="16">
        <v>45100.0</v>
      </c>
      <c r="C758" s="17">
        <v>45105.0</v>
      </c>
      <c r="D758" s="18">
        <v>4.0</v>
      </c>
      <c r="E758" s="19">
        <v>1.0</v>
      </c>
      <c r="F758" s="20">
        <v>12000.0</v>
      </c>
      <c r="G758" s="21" t="s">
        <v>2711</v>
      </c>
      <c r="H758" s="19">
        <v>4.0</v>
      </c>
      <c r="I758" s="21" t="s">
        <v>1394</v>
      </c>
      <c r="J758" s="22" t="s">
        <v>2506</v>
      </c>
    </row>
    <row r="759">
      <c r="A759" s="15" t="s">
        <v>3469</v>
      </c>
      <c r="B759" s="16">
        <v>45100.0</v>
      </c>
      <c r="C759" s="17">
        <v>45105.0</v>
      </c>
      <c r="D759" s="18">
        <v>2.0</v>
      </c>
      <c r="E759" s="19">
        <v>3.0</v>
      </c>
      <c r="F759" s="20">
        <v>16000.0</v>
      </c>
      <c r="G759" s="21" t="s">
        <v>2711</v>
      </c>
      <c r="H759" s="19">
        <v>4.0</v>
      </c>
      <c r="I759" s="21" t="s">
        <v>1117</v>
      </c>
      <c r="J759" s="22" t="s">
        <v>2577</v>
      </c>
    </row>
    <row r="760">
      <c r="A760" s="15" t="s">
        <v>3470</v>
      </c>
      <c r="B760" s="16">
        <v>45100.0</v>
      </c>
      <c r="C760" s="17">
        <v>45105.0</v>
      </c>
      <c r="D760" s="18">
        <v>5.0</v>
      </c>
      <c r="E760" s="19">
        <v>2.0</v>
      </c>
      <c r="F760" s="20">
        <v>14000.0</v>
      </c>
      <c r="G760" s="21" t="s">
        <v>2711</v>
      </c>
      <c r="H760" s="19">
        <v>4.0</v>
      </c>
      <c r="I760" s="21" t="s">
        <v>2132</v>
      </c>
      <c r="J760" s="22" t="s">
        <v>2562</v>
      </c>
    </row>
    <row r="761">
      <c r="A761" s="15" t="s">
        <v>3471</v>
      </c>
      <c r="B761" s="16">
        <v>45100.0</v>
      </c>
      <c r="C761" s="17">
        <v>45103.0</v>
      </c>
      <c r="D761" s="18">
        <v>15.0</v>
      </c>
      <c r="E761" s="19">
        <v>10.0</v>
      </c>
      <c r="F761" s="20">
        <v>34500.0</v>
      </c>
      <c r="G761" s="21" t="s">
        <v>2711</v>
      </c>
      <c r="H761" s="19">
        <v>5.0</v>
      </c>
      <c r="I761" s="21" t="s">
        <v>1926</v>
      </c>
      <c r="J761" s="22" t="s">
        <v>2537</v>
      </c>
    </row>
    <row r="762">
      <c r="A762" s="15" t="s">
        <v>3472</v>
      </c>
      <c r="B762" s="16">
        <v>45100.0</v>
      </c>
      <c r="C762" s="17">
        <v>45103.0</v>
      </c>
      <c r="D762" s="18">
        <v>12.0</v>
      </c>
      <c r="E762" s="19">
        <v>8.0</v>
      </c>
      <c r="F762" s="20">
        <v>26000.0</v>
      </c>
      <c r="G762" s="21" t="s">
        <v>2711</v>
      </c>
      <c r="H762" s="19">
        <v>5.0</v>
      </c>
      <c r="I762" s="21" t="s">
        <v>2330</v>
      </c>
      <c r="J762" s="22" t="s">
        <v>2627</v>
      </c>
    </row>
    <row r="763">
      <c r="A763" s="15" t="s">
        <v>3473</v>
      </c>
      <c r="B763" s="17">
        <v>45101.0</v>
      </c>
      <c r="C763" s="17">
        <f>B763 + RANDBETWEEN(1,5)</f>
        <v>45104</v>
      </c>
      <c r="D763" s="18">
        <v>2.0</v>
      </c>
      <c r="E763" s="19">
        <v>3.0</v>
      </c>
      <c r="F763" s="20">
        <v>16000.0</v>
      </c>
      <c r="G763" s="21" t="s">
        <v>2711</v>
      </c>
      <c r="H763" s="19">
        <v>5.0</v>
      </c>
      <c r="I763" s="21" t="s">
        <v>1985</v>
      </c>
      <c r="J763" s="22" t="s">
        <v>2592</v>
      </c>
    </row>
    <row r="764">
      <c r="A764" s="15" t="s">
        <v>3474</v>
      </c>
      <c r="B764" s="16">
        <v>45101.0</v>
      </c>
      <c r="C764" s="17">
        <v>45102.0</v>
      </c>
      <c r="D764" s="18">
        <v>15.0</v>
      </c>
      <c r="E764" s="19">
        <v>6.0</v>
      </c>
      <c r="F764" s="20">
        <v>26500.0</v>
      </c>
      <c r="G764" s="21" t="s">
        <v>2711</v>
      </c>
      <c r="H764" s="19">
        <v>4.0</v>
      </c>
      <c r="I764" s="21" t="s">
        <v>1945</v>
      </c>
      <c r="J764" s="22" t="s">
        <v>2667</v>
      </c>
    </row>
    <row r="765">
      <c r="A765" s="15" t="s">
        <v>3475</v>
      </c>
      <c r="B765" s="16">
        <v>45101.0</v>
      </c>
      <c r="C765" s="17">
        <v>45106.0</v>
      </c>
      <c r="D765" s="18">
        <v>5.0</v>
      </c>
      <c r="E765" s="19">
        <v>3.0</v>
      </c>
      <c r="F765" s="20">
        <v>16000.0</v>
      </c>
      <c r="G765" s="21" t="s">
        <v>2711</v>
      </c>
      <c r="H765" s="19">
        <v>4.0</v>
      </c>
      <c r="I765" s="21" t="s">
        <v>2457</v>
      </c>
      <c r="J765" s="22" t="s">
        <v>2557</v>
      </c>
    </row>
    <row r="766">
      <c r="A766" s="15" t="s">
        <v>3476</v>
      </c>
      <c r="B766" s="16">
        <v>45101.0</v>
      </c>
      <c r="C766" s="17">
        <v>45106.0</v>
      </c>
      <c r="D766" s="18">
        <v>5.0</v>
      </c>
      <c r="E766" s="19">
        <v>1.0</v>
      </c>
      <c r="F766" s="20">
        <v>12000.0</v>
      </c>
      <c r="G766" s="21" t="s">
        <v>2711</v>
      </c>
      <c r="H766" s="19">
        <v>4.0</v>
      </c>
      <c r="I766" s="21" t="s">
        <v>2216</v>
      </c>
      <c r="J766" s="22" t="s">
        <v>2557</v>
      </c>
    </row>
    <row r="767">
      <c r="A767" s="15" t="s">
        <v>3477</v>
      </c>
      <c r="B767" s="16">
        <v>45101.0</v>
      </c>
      <c r="C767" s="17">
        <v>45105.0</v>
      </c>
      <c r="D767" s="18">
        <v>12.0</v>
      </c>
      <c r="E767" s="19">
        <v>7.0</v>
      </c>
      <c r="F767" s="20">
        <v>24000.0</v>
      </c>
      <c r="G767" s="21" t="s">
        <v>2711</v>
      </c>
      <c r="H767" s="19">
        <v>5.0</v>
      </c>
      <c r="I767" s="21" t="s">
        <v>2100</v>
      </c>
      <c r="J767" s="22" t="s">
        <v>2662</v>
      </c>
    </row>
    <row r="768">
      <c r="A768" s="15" t="s">
        <v>3478</v>
      </c>
      <c r="B768" s="16">
        <v>45101.0</v>
      </c>
      <c r="C768" s="17">
        <v>45103.0</v>
      </c>
      <c r="D768" s="18">
        <v>14.0</v>
      </c>
      <c r="E768" s="19">
        <v>10.0</v>
      </c>
      <c r="F768" s="20">
        <v>30000.0</v>
      </c>
      <c r="G768" s="21" t="s">
        <v>2711</v>
      </c>
      <c r="H768" s="19">
        <v>4.0</v>
      </c>
      <c r="I768" s="21" t="s">
        <v>989</v>
      </c>
      <c r="J768" s="22" t="s">
        <v>2667</v>
      </c>
    </row>
    <row r="769">
      <c r="A769" s="15" t="s">
        <v>3479</v>
      </c>
      <c r="B769" s="16">
        <v>45101.0</v>
      </c>
      <c r="C769" s="17">
        <v>45103.0</v>
      </c>
      <c r="D769" s="18">
        <v>1.0</v>
      </c>
      <c r="E769" s="19">
        <v>1.0</v>
      </c>
      <c r="F769" s="20">
        <v>12000.0</v>
      </c>
      <c r="G769" s="21" t="s">
        <v>2711</v>
      </c>
      <c r="H769" s="19">
        <v>5.0</v>
      </c>
      <c r="I769" s="21" t="s">
        <v>6</v>
      </c>
      <c r="J769" s="22" t="s">
        <v>2511</v>
      </c>
    </row>
    <row r="770">
      <c r="A770" s="15" t="s">
        <v>3480</v>
      </c>
      <c r="B770" s="16">
        <v>45101.0</v>
      </c>
      <c r="C770" s="17">
        <v>45104.0</v>
      </c>
      <c r="D770" s="18">
        <v>4.0</v>
      </c>
      <c r="E770" s="19">
        <v>1.0</v>
      </c>
      <c r="F770" s="20">
        <v>12000.0</v>
      </c>
      <c r="G770" s="21" t="s">
        <v>2711</v>
      </c>
      <c r="H770" s="19">
        <v>4.0</v>
      </c>
      <c r="I770" s="21" t="s">
        <v>1344</v>
      </c>
      <c r="J770" s="22" t="s">
        <v>2592</v>
      </c>
    </row>
    <row r="771">
      <c r="A771" s="15" t="s">
        <v>3481</v>
      </c>
      <c r="B771" s="16">
        <v>45101.0</v>
      </c>
      <c r="C771" s="17">
        <v>45106.0</v>
      </c>
      <c r="D771" s="18">
        <v>3.0</v>
      </c>
      <c r="E771" s="19">
        <v>1.0</v>
      </c>
      <c r="F771" s="20">
        <v>12000.0</v>
      </c>
      <c r="G771" s="21" t="s">
        <v>2711</v>
      </c>
      <c r="H771" s="19">
        <v>5.0</v>
      </c>
      <c r="I771" s="21" t="s">
        <v>1721</v>
      </c>
      <c r="J771" s="22" t="s">
        <v>2572</v>
      </c>
    </row>
    <row r="772">
      <c r="A772" s="15" t="s">
        <v>3482</v>
      </c>
      <c r="B772" s="16">
        <v>45101.0</v>
      </c>
      <c r="C772" s="17">
        <v>45103.0</v>
      </c>
      <c r="D772" s="18">
        <v>3.0</v>
      </c>
      <c r="E772" s="19">
        <v>2.0</v>
      </c>
      <c r="F772" s="20">
        <v>14000.0</v>
      </c>
      <c r="G772" s="21" t="s">
        <v>2711</v>
      </c>
      <c r="H772" s="19">
        <v>4.0</v>
      </c>
      <c r="I772" s="21" t="s">
        <v>222</v>
      </c>
      <c r="J772" s="22" t="s">
        <v>2572</v>
      </c>
    </row>
    <row r="773">
      <c r="A773" s="15" t="s">
        <v>3483</v>
      </c>
      <c r="B773" s="16">
        <v>45101.0</v>
      </c>
      <c r="C773" s="17">
        <v>45102.0</v>
      </c>
      <c r="D773" s="18">
        <v>16.0</v>
      </c>
      <c r="E773" s="19">
        <v>10.0</v>
      </c>
      <c r="F773" s="20">
        <v>34800.0</v>
      </c>
      <c r="G773" s="21" t="s">
        <v>2711</v>
      </c>
      <c r="H773" s="19">
        <v>4.0</v>
      </c>
      <c r="I773" s="21" t="s">
        <v>1902</v>
      </c>
      <c r="J773" s="22" t="s">
        <v>2667</v>
      </c>
    </row>
    <row r="774">
      <c r="A774" s="15" t="s">
        <v>3484</v>
      </c>
      <c r="B774" s="16">
        <v>45101.0</v>
      </c>
      <c r="C774" s="17">
        <v>45106.0</v>
      </c>
      <c r="D774" s="18">
        <v>4.0</v>
      </c>
      <c r="E774" s="19">
        <v>1.0</v>
      </c>
      <c r="F774" s="20">
        <v>12000.0</v>
      </c>
      <c r="G774" s="21" t="s">
        <v>2711</v>
      </c>
      <c r="H774" s="19">
        <v>4.0</v>
      </c>
      <c r="I774" s="21" t="s">
        <v>640</v>
      </c>
      <c r="J774" s="22" t="s">
        <v>2577</v>
      </c>
    </row>
    <row r="775">
      <c r="A775" s="15" t="s">
        <v>3485</v>
      </c>
      <c r="B775" s="16">
        <v>45101.0</v>
      </c>
      <c r="C775" s="17">
        <v>45102.0</v>
      </c>
      <c r="D775" s="18">
        <v>3.0</v>
      </c>
      <c r="E775" s="19">
        <v>2.0</v>
      </c>
      <c r="F775" s="20">
        <v>14000.0</v>
      </c>
      <c r="G775" s="21" t="s">
        <v>2711</v>
      </c>
      <c r="H775" s="19">
        <v>4.0</v>
      </c>
      <c r="I775" s="21" t="s">
        <v>1941</v>
      </c>
      <c r="J775" s="22" t="s">
        <v>2652</v>
      </c>
    </row>
    <row r="776">
      <c r="A776" s="15" t="s">
        <v>3486</v>
      </c>
      <c r="B776" s="16">
        <v>45101.0</v>
      </c>
      <c r="C776" s="17">
        <v>45103.0</v>
      </c>
      <c r="D776" s="18">
        <v>1.0</v>
      </c>
      <c r="E776" s="19">
        <v>2.0</v>
      </c>
      <c r="F776" s="20">
        <v>14000.0</v>
      </c>
      <c r="G776" s="21" t="s">
        <v>2711</v>
      </c>
      <c r="H776" s="19">
        <v>5.0</v>
      </c>
      <c r="I776" s="21" t="s">
        <v>1149</v>
      </c>
      <c r="J776" s="22" t="s">
        <v>2567</v>
      </c>
    </row>
    <row r="777">
      <c r="A777" s="15" t="s">
        <v>3487</v>
      </c>
      <c r="B777" s="16">
        <v>45101.0</v>
      </c>
      <c r="C777" s="17">
        <v>45103.0</v>
      </c>
      <c r="D777" s="18">
        <v>3.0</v>
      </c>
      <c r="E777" s="19">
        <v>1.0</v>
      </c>
      <c r="F777" s="20">
        <v>12000.0</v>
      </c>
      <c r="G777" s="21" t="s">
        <v>2711</v>
      </c>
      <c r="H777" s="19">
        <v>4.0</v>
      </c>
      <c r="I777" s="21" t="s">
        <v>965</v>
      </c>
      <c r="J777" s="22" t="s">
        <v>2577</v>
      </c>
    </row>
    <row r="778">
      <c r="A778" s="15" t="s">
        <v>3488</v>
      </c>
      <c r="B778" s="16">
        <v>45101.0</v>
      </c>
      <c r="C778" s="17">
        <v>45102.0</v>
      </c>
      <c r="D778" s="18">
        <v>6.0</v>
      </c>
      <c r="E778" s="19">
        <v>1.0</v>
      </c>
      <c r="F778" s="20">
        <v>12000.0</v>
      </c>
      <c r="G778" s="21" t="s">
        <v>2711</v>
      </c>
      <c r="H778" s="19">
        <v>4.0</v>
      </c>
      <c r="I778" s="21" t="s">
        <v>2465</v>
      </c>
      <c r="J778" s="22" t="s">
        <v>2692</v>
      </c>
    </row>
    <row r="779">
      <c r="A779" s="15" t="s">
        <v>3489</v>
      </c>
      <c r="B779" s="16">
        <v>45101.0</v>
      </c>
      <c r="C779" s="17">
        <v>45102.0</v>
      </c>
      <c r="D779" s="18">
        <v>18.0</v>
      </c>
      <c r="E779" s="19">
        <v>9.0</v>
      </c>
      <c r="F779" s="20">
        <v>33400.0</v>
      </c>
      <c r="G779" s="21" t="s">
        <v>2711</v>
      </c>
      <c r="H779" s="19">
        <v>4.0</v>
      </c>
      <c r="I779" s="21" t="s">
        <v>2362</v>
      </c>
      <c r="J779" s="22" t="s">
        <v>2672</v>
      </c>
    </row>
    <row r="780">
      <c r="A780" s="15" t="s">
        <v>3490</v>
      </c>
      <c r="B780" s="16">
        <v>45101.0</v>
      </c>
      <c r="C780" s="17">
        <v>45105.0</v>
      </c>
      <c r="D780" s="18">
        <v>3.0</v>
      </c>
      <c r="E780" s="19">
        <v>2.0</v>
      </c>
      <c r="F780" s="20">
        <v>14000.0</v>
      </c>
      <c r="G780" s="21" t="s">
        <v>2711</v>
      </c>
      <c r="H780" s="19">
        <v>4.0</v>
      </c>
      <c r="I780" s="21" t="s">
        <v>811</v>
      </c>
      <c r="J780" s="22" t="s">
        <v>2567</v>
      </c>
    </row>
    <row r="781">
      <c r="A781" s="15" t="s">
        <v>3491</v>
      </c>
      <c r="B781" s="16">
        <v>45101.0</v>
      </c>
      <c r="C781" s="17">
        <v>45106.0</v>
      </c>
      <c r="D781" s="18">
        <v>13.0</v>
      </c>
      <c r="E781" s="19">
        <v>10.0</v>
      </c>
      <c r="F781" s="20">
        <v>30000.0</v>
      </c>
      <c r="G781" s="21" t="s">
        <v>2711</v>
      </c>
      <c r="H781" s="19">
        <v>4.0</v>
      </c>
      <c r="I781" s="21" t="s">
        <v>1862</v>
      </c>
      <c r="J781" s="22" t="s">
        <v>2667</v>
      </c>
    </row>
    <row r="782">
      <c r="A782" s="15" t="s">
        <v>3492</v>
      </c>
      <c r="B782" s="16">
        <v>45101.0</v>
      </c>
      <c r="C782" s="17">
        <v>45102.0</v>
      </c>
      <c r="D782" s="18">
        <v>3.0</v>
      </c>
      <c r="E782" s="19">
        <v>1.0</v>
      </c>
      <c r="F782" s="20">
        <v>12000.0</v>
      </c>
      <c r="G782" s="21" t="s">
        <v>2711</v>
      </c>
      <c r="H782" s="19">
        <v>4.0</v>
      </c>
      <c r="I782" s="21" t="s">
        <v>2057</v>
      </c>
      <c r="J782" s="22" t="s">
        <v>2516</v>
      </c>
    </row>
    <row r="783">
      <c r="A783" s="15" t="s">
        <v>3493</v>
      </c>
      <c r="B783" s="16">
        <v>45101.0</v>
      </c>
      <c r="C783" s="17">
        <v>45102.0</v>
      </c>
      <c r="D783" s="18">
        <v>3.0</v>
      </c>
      <c r="E783" s="19">
        <v>1.0</v>
      </c>
      <c r="F783" s="20">
        <v>12000.0</v>
      </c>
      <c r="G783" s="21" t="s">
        <v>2711</v>
      </c>
      <c r="H783" s="19">
        <v>4.0</v>
      </c>
      <c r="I783" s="21" t="s">
        <v>1914</v>
      </c>
      <c r="J783" s="22" t="s">
        <v>2617</v>
      </c>
    </row>
    <row r="784">
      <c r="A784" s="40" t="s">
        <v>3494</v>
      </c>
      <c r="B784" s="45">
        <v>45101.0</v>
      </c>
      <c r="C784" s="42">
        <v>45104.0</v>
      </c>
      <c r="D784" s="40">
        <v>2.0</v>
      </c>
      <c r="E784" s="40">
        <v>3.0</v>
      </c>
      <c r="F784" s="46">
        <v>16000.0</v>
      </c>
      <c r="G784" s="40" t="s">
        <v>2711</v>
      </c>
      <c r="H784" s="40">
        <v>4.0</v>
      </c>
      <c r="I784" s="40" t="s">
        <v>1870</v>
      </c>
      <c r="J784" s="40" t="s">
        <v>2527</v>
      </c>
    </row>
    <row r="785">
      <c r="A785" s="15" t="s">
        <v>3495</v>
      </c>
      <c r="B785" s="16">
        <v>45101.0</v>
      </c>
      <c r="C785" s="17">
        <v>45103.0</v>
      </c>
      <c r="D785" s="18">
        <v>6.0</v>
      </c>
      <c r="E785" s="19">
        <v>3.0</v>
      </c>
      <c r="F785" s="20">
        <v>16000.0</v>
      </c>
      <c r="G785" s="21" t="s">
        <v>2711</v>
      </c>
      <c r="H785" s="19">
        <v>5.0</v>
      </c>
      <c r="I785" s="21" t="s">
        <v>767</v>
      </c>
      <c r="J785" s="22" t="s">
        <v>2602</v>
      </c>
    </row>
    <row r="786">
      <c r="A786" s="15" t="s">
        <v>3496</v>
      </c>
      <c r="B786" s="16">
        <v>45101.0</v>
      </c>
      <c r="C786" s="17">
        <v>45105.0</v>
      </c>
      <c r="D786" s="18">
        <v>18.0</v>
      </c>
      <c r="E786" s="19">
        <v>4.0</v>
      </c>
      <c r="F786" s="20">
        <v>23400.0</v>
      </c>
      <c r="G786" s="21" t="s">
        <v>2711</v>
      </c>
      <c r="H786" s="19">
        <v>5.0</v>
      </c>
      <c r="I786" s="21" t="s">
        <v>382</v>
      </c>
      <c r="J786" s="22" t="s">
        <v>2667</v>
      </c>
    </row>
    <row r="787">
      <c r="A787" s="15" t="s">
        <v>3497</v>
      </c>
      <c r="B787" s="16">
        <v>45101.0</v>
      </c>
      <c r="C787" s="17">
        <v>45103.0</v>
      </c>
      <c r="D787" s="18">
        <v>5.0</v>
      </c>
      <c r="E787" s="19">
        <v>1.0</v>
      </c>
      <c r="F787" s="20">
        <v>12000.0</v>
      </c>
      <c r="G787" s="21" t="s">
        <v>2711</v>
      </c>
      <c r="H787" s="19">
        <v>4.0</v>
      </c>
      <c r="I787" s="21" t="s">
        <v>2465</v>
      </c>
      <c r="J787" s="22" t="s">
        <v>2490</v>
      </c>
    </row>
    <row r="788">
      <c r="A788" s="15" t="s">
        <v>3498</v>
      </c>
      <c r="B788" s="16">
        <v>45101.0</v>
      </c>
      <c r="C788" s="17">
        <v>45104.0</v>
      </c>
      <c r="D788" s="18">
        <v>20.0</v>
      </c>
      <c r="E788" s="19">
        <v>4.0</v>
      </c>
      <c r="F788" s="20">
        <v>24000.0</v>
      </c>
      <c r="G788" s="21" t="s">
        <v>2711</v>
      </c>
      <c r="H788" s="19">
        <v>4.0</v>
      </c>
      <c r="I788" s="21" t="s">
        <v>2271</v>
      </c>
      <c r="J788" s="22" t="s">
        <v>2627</v>
      </c>
    </row>
    <row r="789">
      <c r="A789" s="15" t="s">
        <v>3499</v>
      </c>
      <c r="B789" s="16">
        <v>45101.0</v>
      </c>
      <c r="C789" s="17">
        <v>45102.0</v>
      </c>
      <c r="D789" s="18">
        <v>1.0</v>
      </c>
      <c r="E789" s="19">
        <v>2.0</v>
      </c>
      <c r="F789" s="20">
        <v>14000.0</v>
      </c>
      <c r="G789" s="21" t="s">
        <v>2711</v>
      </c>
      <c r="H789" s="19">
        <v>5.0</v>
      </c>
      <c r="I789" s="21" t="s">
        <v>82</v>
      </c>
      <c r="J789" s="22" t="s">
        <v>2652</v>
      </c>
    </row>
    <row r="790">
      <c r="A790" s="15" t="s">
        <v>3500</v>
      </c>
      <c r="B790" s="16">
        <v>45101.0</v>
      </c>
      <c r="C790" s="17">
        <v>45102.0</v>
      </c>
      <c r="D790" s="18">
        <v>10.0</v>
      </c>
      <c r="E790" s="19">
        <v>9.0</v>
      </c>
      <c r="F790" s="20">
        <v>28000.0</v>
      </c>
      <c r="G790" s="21" t="s">
        <v>2711</v>
      </c>
      <c r="H790" s="19">
        <v>5.0</v>
      </c>
      <c r="I790" s="21" t="s">
        <v>2294</v>
      </c>
      <c r="J790" s="22" t="s">
        <v>2637</v>
      </c>
    </row>
    <row r="791">
      <c r="A791" s="15" t="s">
        <v>3501</v>
      </c>
      <c r="B791" s="16">
        <v>45101.0</v>
      </c>
      <c r="C791" s="17">
        <v>45106.0</v>
      </c>
      <c r="D791" s="18">
        <v>3.0</v>
      </c>
      <c r="E791" s="19">
        <v>3.0</v>
      </c>
      <c r="F791" s="20">
        <v>16000.0</v>
      </c>
      <c r="G791" s="21" t="s">
        <v>2711</v>
      </c>
      <c r="H791" s="19">
        <v>5.0</v>
      </c>
      <c r="I791" s="21" t="s">
        <v>2358</v>
      </c>
      <c r="J791" s="22" t="s">
        <v>2532</v>
      </c>
    </row>
    <row r="792">
      <c r="A792" s="15" t="s">
        <v>3502</v>
      </c>
      <c r="B792" s="16">
        <v>45101.0</v>
      </c>
      <c r="C792" s="17">
        <v>45105.0</v>
      </c>
      <c r="D792" s="18">
        <v>2.0</v>
      </c>
      <c r="E792" s="19">
        <v>2.0</v>
      </c>
      <c r="F792" s="20">
        <v>14000.0</v>
      </c>
      <c r="G792" s="21" t="s">
        <v>2711</v>
      </c>
      <c r="H792" s="19">
        <v>4.0</v>
      </c>
      <c r="I792" s="21" t="s">
        <v>1985</v>
      </c>
      <c r="J792" s="22" t="s">
        <v>2542</v>
      </c>
    </row>
    <row r="793">
      <c r="A793" s="15" t="s">
        <v>3503</v>
      </c>
      <c r="B793" s="16">
        <v>45101.0</v>
      </c>
      <c r="C793" s="17">
        <v>45105.0</v>
      </c>
      <c r="D793" s="18">
        <v>1.0</v>
      </c>
      <c r="E793" s="19">
        <v>2.0</v>
      </c>
      <c r="F793" s="20">
        <v>14000.0</v>
      </c>
      <c r="G793" s="21" t="s">
        <v>2711</v>
      </c>
      <c r="H793" s="19">
        <v>4.0</v>
      </c>
      <c r="I793" s="21" t="s">
        <v>545</v>
      </c>
      <c r="J793" s="22" t="s">
        <v>2617</v>
      </c>
    </row>
    <row r="794">
      <c r="A794" s="15" t="s">
        <v>3504</v>
      </c>
      <c r="B794" s="16">
        <v>45101.0</v>
      </c>
      <c r="C794" s="17">
        <v>45102.0</v>
      </c>
      <c r="D794" s="18">
        <v>4.0</v>
      </c>
      <c r="E794" s="19">
        <v>3.0</v>
      </c>
      <c r="F794" s="20">
        <v>16000.0</v>
      </c>
      <c r="G794" s="21" t="s">
        <v>2711</v>
      </c>
      <c r="H794" s="19">
        <v>5.0</v>
      </c>
      <c r="I794" s="21" t="s">
        <v>2184</v>
      </c>
      <c r="J794" s="22" t="s">
        <v>2557</v>
      </c>
    </row>
    <row r="795">
      <c r="A795" s="15" t="s">
        <v>3505</v>
      </c>
      <c r="B795" s="16">
        <v>45101.0</v>
      </c>
      <c r="C795" s="17">
        <v>45104.0</v>
      </c>
      <c r="D795" s="18">
        <v>10.0</v>
      </c>
      <c r="E795" s="19">
        <v>10.0</v>
      </c>
      <c r="F795" s="20">
        <v>30000.0</v>
      </c>
      <c r="G795" s="21" t="s">
        <v>2711</v>
      </c>
      <c r="H795" s="19">
        <v>5.0</v>
      </c>
      <c r="I795" s="21" t="s">
        <v>942</v>
      </c>
      <c r="J795" s="22" t="s">
        <v>2607</v>
      </c>
    </row>
    <row r="796">
      <c r="A796" s="15" t="s">
        <v>3506</v>
      </c>
      <c r="B796" s="16">
        <v>45101.0</v>
      </c>
      <c r="C796" s="17">
        <v>45103.0</v>
      </c>
      <c r="D796" s="18">
        <v>1.0</v>
      </c>
      <c r="E796" s="19">
        <v>3.0</v>
      </c>
      <c r="F796" s="20">
        <v>16000.0</v>
      </c>
      <c r="G796" s="21" t="s">
        <v>2711</v>
      </c>
      <c r="H796" s="19">
        <v>4.0</v>
      </c>
      <c r="I796" s="21" t="s">
        <v>1882</v>
      </c>
      <c r="J796" s="22" t="s">
        <v>2652</v>
      </c>
    </row>
    <row r="797">
      <c r="A797" s="15" t="s">
        <v>3507</v>
      </c>
      <c r="B797" s="16">
        <v>45101.0</v>
      </c>
      <c r="C797" s="17">
        <v>45106.0</v>
      </c>
      <c r="D797" s="18">
        <v>8.0</v>
      </c>
      <c r="E797" s="19">
        <v>10.0</v>
      </c>
      <c r="F797" s="20">
        <v>30000.0</v>
      </c>
      <c r="G797" s="21" t="s">
        <v>2711</v>
      </c>
      <c r="H797" s="19">
        <v>5.0</v>
      </c>
      <c r="I797" s="21" t="s">
        <v>422</v>
      </c>
      <c r="J797" s="22" t="s">
        <v>2484</v>
      </c>
    </row>
    <row r="798">
      <c r="A798" s="15" t="s">
        <v>3508</v>
      </c>
      <c r="B798" s="17">
        <v>45102.0</v>
      </c>
      <c r="C798" s="17">
        <f t="shared" ref="C798:C799" si="8">B798 + RANDBETWEEN(1,5)</f>
        <v>45104</v>
      </c>
      <c r="D798" s="18">
        <v>5.0</v>
      </c>
      <c r="E798" s="19">
        <v>2.0</v>
      </c>
      <c r="F798" s="20">
        <v>14000.0</v>
      </c>
      <c r="G798" s="21" t="s">
        <v>2711</v>
      </c>
      <c r="H798" s="19">
        <v>4.0</v>
      </c>
      <c r="I798" s="21" t="s">
        <v>922</v>
      </c>
      <c r="J798" s="22" t="s">
        <v>2612</v>
      </c>
    </row>
    <row r="799">
      <c r="A799" s="15" t="s">
        <v>3509</v>
      </c>
      <c r="B799" s="17">
        <v>45102.0</v>
      </c>
      <c r="C799" s="17">
        <f t="shared" si="8"/>
        <v>45105</v>
      </c>
      <c r="D799" s="18">
        <v>9.0</v>
      </c>
      <c r="E799" s="19">
        <v>6.0</v>
      </c>
      <c r="F799" s="20">
        <v>22000.0</v>
      </c>
      <c r="G799" s="21" t="s">
        <v>2711</v>
      </c>
      <c r="H799" s="19">
        <v>4.0</v>
      </c>
      <c r="I799" s="21" t="s">
        <v>274</v>
      </c>
      <c r="J799" s="22" t="s">
        <v>2637</v>
      </c>
    </row>
    <row r="800">
      <c r="A800" s="15" t="s">
        <v>3510</v>
      </c>
      <c r="B800" s="16">
        <v>45102.0</v>
      </c>
      <c r="C800" s="17">
        <v>45103.0</v>
      </c>
      <c r="D800" s="18">
        <v>2.0</v>
      </c>
      <c r="E800" s="19">
        <v>2.0</v>
      </c>
      <c r="F800" s="20">
        <v>14000.0</v>
      </c>
      <c r="G800" s="21" t="s">
        <v>2711</v>
      </c>
      <c r="H800" s="19">
        <v>5.0</v>
      </c>
      <c r="I800" s="21" t="s">
        <v>266</v>
      </c>
      <c r="J800" s="22" t="s">
        <v>2612</v>
      </c>
    </row>
    <row r="801">
      <c r="A801" s="15" t="s">
        <v>3511</v>
      </c>
      <c r="B801" s="16">
        <v>45102.0</v>
      </c>
      <c r="C801" s="17">
        <v>45105.0</v>
      </c>
      <c r="D801" s="18">
        <v>4.0</v>
      </c>
      <c r="E801" s="19">
        <v>1.0</v>
      </c>
      <c r="F801" s="20">
        <v>12000.0</v>
      </c>
      <c r="G801" s="21" t="s">
        <v>2711</v>
      </c>
      <c r="H801" s="19">
        <v>4.0</v>
      </c>
      <c r="I801" s="21" t="s">
        <v>2160</v>
      </c>
      <c r="J801" s="22" t="s">
        <v>2562</v>
      </c>
    </row>
    <row r="802">
      <c r="A802" s="15" t="s">
        <v>3512</v>
      </c>
      <c r="B802" s="16">
        <v>45102.0</v>
      </c>
      <c r="C802" s="17">
        <v>45105.0</v>
      </c>
      <c r="D802" s="18">
        <v>13.0</v>
      </c>
      <c r="E802" s="19">
        <v>4.0</v>
      </c>
      <c r="F802" s="20">
        <v>18000.0</v>
      </c>
      <c r="G802" s="21" t="s">
        <v>2711</v>
      </c>
      <c r="H802" s="19">
        <v>4.0</v>
      </c>
      <c r="I802" s="21" t="s">
        <v>2294</v>
      </c>
      <c r="J802" s="22" t="s">
        <v>2484</v>
      </c>
      <c r="K802" s="27"/>
    </row>
    <row r="803">
      <c r="A803" s="15" t="s">
        <v>3513</v>
      </c>
      <c r="B803" s="16">
        <v>45102.0</v>
      </c>
      <c r="C803" s="17">
        <v>45106.0</v>
      </c>
      <c r="D803" s="18">
        <v>3.0</v>
      </c>
      <c r="E803" s="19">
        <v>2.0</v>
      </c>
      <c r="F803" s="20">
        <v>14000.0</v>
      </c>
      <c r="G803" s="21" t="s">
        <v>2711</v>
      </c>
      <c r="H803" s="19">
        <v>5.0</v>
      </c>
      <c r="I803" s="21" t="s">
        <v>704</v>
      </c>
      <c r="J803" s="22" t="s">
        <v>2632</v>
      </c>
      <c r="K803" s="27"/>
    </row>
    <row r="804">
      <c r="A804" s="15" t="s">
        <v>3514</v>
      </c>
      <c r="B804" s="16">
        <v>45102.0</v>
      </c>
      <c r="C804" s="17">
        <v>45105.0</v>
      </c>
      <c r="D804" s="18">
        <v>6.0</v>
      </c>
      <c r="E804" s="19">
        <v>2.0</v>
      </c>
      <c r="F804" s="20">
        <v>14000.0</v>
      </c>
      <c r="G804" s="21" t="s">
        <v>2711</v>
      </c>
      <c r="H804" s="19">
        <v>5.0</v>
      </c>
      <c r="I804" s="21" t="s">
        <v>386</v>
      </c>
      <c r="J804" s="22" t="s">
        <v>2567</v>
      </c>
    </row>
    <row r="805">
      <c r="A805" s="15" t="s">
        <v>3515</v>
      </c>
      <c r="B805" s="16">
        <v>45102.0</v>
      </c>
      <c r="C805" s="17">
        <v>45104.0</v>
      </c>
      <c r="D805" s="18">
        <v>20.0</v>
      </c>
      <c r="E805" s="19">
        <v>10.0</v>
      </c>
      <c r="F805" s="20">
        <v>36000.0</v>
      </c>
      <c r="G805" s="21" t="s">
        <v>2711</v>
      </c>
      <c r="H805" s="19">
        <v>4.0</v>
      </c>
      <c r="I805" s="21" t="s">
        <v>1926</v>
      </c>
      <c r="J805" s="22" t="s">
        <v>2537</v>
      </c>
    </row>
    <row r="806">
      <c r="A806" s="15" t="s">
        <v>3516</v>
      </c>
      <c r="B806" s="16">
        <v>45102.0</v>
      </c>
      <c r="C806" s="17">
        <v>45104.0</v>
      </c>
      <c r="D806" s="18">
        <v>6.0</v>
      </c>
      <c r="E806" s="19">
        <v>2.0</v>
      </c>
      <c r="F806" s="20">
        <v>14000.0</v>
      </c>
      <c r="G806" s="21" t="s">
        <v>2711</v>
      </c>
      <c r="H806" s="19">
        <v>5.0</v>
      </c>
      <c r="I806" s="21" t="s">
        <v>1748</v>
      </c>
      <c r="J806" s="22" t="s">
        <v>2516</v>
      </c>
    </row>
    <row r="807">
      <c r="A807" s="15" t="s">
        <v>3517</v>
      </c>
      <c r="B807" s="16">
        <v>45102.0</v>
      </c>
      <c r="C807" s="17">
        <v>45104.0</v>
      </c>
      <c r="D807" s="18">
        <v>1.0</v>
      </c>
      <c r="E807" s="19">
        <v>2.0</v>
      </c>
      <c r="F807" s="20">
        <v>14000.0</v>
      </c>
      <c r="G807" s="21" t="s">
        <v>2711</v>
      </c>
      <c r="H807" s="19">
        <v>4.0</v>
      </c>
      <c r="I807" s="21" t="s">
        <v>1085</v>
      </c>
      <c r="J807" s="22" t="s">
        <v>2622</v>
      </c>
    </row>
    <row r="808">
      <c r="A808" s="15" t="s">
        <v>3518</v>
      </c>
      <c r="B808" s="16">
        <v>45102.0</v>
      </c>
      <c r="C808" s="17">
        <v>45105.0</v>
      </c>
      <c r="D808" s="18">
        <v>5.0</v>
      </c>
      <c r="E808" s="19">
        <v>3.0</v>
      </c>
      <c r="F808" s="20">
        <v>16000.0</v>
      </c>
      <c r="G808" s="21" t="s">
        <v>2711</v>
      </c>
      <c r="H808" s="19">
        <v>4.0</v>
      </c>
      <c r="I808" s="21" t="s">
        <v>605</v>
      </c>
      <c r="J808" s="22" t="s">
        <v>2612</v>
      </c>
    </row>
    <row r="809">
      <c r="A809" s="15" t="s">
        <v>3519</v>
      </c>
      <c r="B809" s="16">
        <v>45102.0</v>
      </c>
      <c r="C809" s="17">
        <v>45104.0</v>
      </c>
      <c r="D809" s="18">
        <v>5.0</v>
      </c>
      <c r="E809" s="19">
        <v>3.0</v>
      </c>
      <c r="F809" s="20">
        <v>16000.0</v>
      </c>
      <c r="G809" s="21" t="s">
        <v>2711</v>
      </c>
      <c r="H809" s="19">
        <v>5.0</v>
      </c>
      <c r="I809" s="21" t="s">
        <v>2025</v>
      </c>
      <c r="J809" s="22" t="s">
        <v>2647</v>
      </c>
    </row>
    <row r="810">
      <c r="A810" s="15" t="s">
        <v>3520</v>
      </c>
      <c r="B810" s="16">
        <v>45102.0</v>
      </c>
      <c r="C810" s="17">
        <v>45105.0</v>
      </c>
      <c r="D810" s="18">
        <v>12.0</v>
      </c>
      <c r="E810" s="19">
        <v>6.0</v>
      </c>
      <c r="F810" s="20">
        <v>22000.0</v>
      </c>
      <c r="G810" s="21" t="s">
        <v>2711</v>
      </c>
      <c r="H810" s="19">
        <v>5.0</v>
      </c>
      <c r="I810" s="21" t="s">
        <v>2244</v>
      </c>
      <c r="J810" s="22" t="s">
        <v>2484</v>
      </c>
    </row>
    <row r="811">
      <c r="A811" s="15" t="s">
        <v>3521</v>
      </c>
      <c r="B811" s="16">
        <v>45102.0</v>
      </c>
      <c r="C811" s="17">
        <v>45103.0</v>
      </c>
      <c r="D811" s="18">
        <v>6.0</v>
      </c>
      <c r="E811" s="19">
        <v>2.0</v>
      </c>
      <c r="F811" s="20">
        <v>14000.0</v>
      </c>
      <c r="G811" s="21" t="s">
        <v>2711</v>
      </c>
      <c r="H811" s="19">
        <v>5.0</v>
      </c>
      <c r="I811" s="21" t="s">
        <v>1834</v>
      </c>
      <c r="J811" s="22" t="s">
        <v>2532</v>
      </c>
    </row>
    <row r="812">
      <c r="A812" s="15" t="s">
        <v>3522</v>
      </c>
      <c r="B812" s="16">
        <v>45102.0</v>
      </c>
      <c r="C812" s="17">
        <v>45106.0</v>
      </c>
      <c r="D812" s="18">
        <v>19.0</v>
      </c>
      <c r="E812" s="19">
        <v>5.0</v>
      </c>
      <c r="F812" s="20">
        <v>25700.0</v>
      </c>
      <c r="G812" s="21" t="s">
        <v>2711</v>
      </c>
      <c r="H812" s="19">
        <v>5.0</v>
      </c>
      <c r="I812" s="21" t="s">
        <v>1830</v>
      </c>
      <c r="J812" s="22" t="s">
        <v>2667</v>
      </c>
    </row>
    <row r="813">
      <c r="A813" s="15" t="s">
        <v>3523</v>
      </c>
      <c r="B813" s="16">
        <v>45102.0</v>
      </c>
      <c r="C813" s="17">
        <v>45104.0</v>
      </c>
      <c r="D813" s="18">
        <v>11.0</v>
      </c>
      <c r="E813" s="19">
        <v>7.0</v>
      </c>
      <c r="F813" s="20">
        <v>24000.0</v>
      </c>
      <c r="G813" s="21" t="s">
        <v>2711</v>
      </c>
      <c r="H813" s="19">
        <v>5.0</v>
      </c>
      <c r="I813" s="21" t="s">
        <v>1316</v>
      </c>
      <c r="J813" s="22" t="s">
        <v>2484</v>
      </c>
    </row>
    <row r="814">
      <c r="A814" s="15" t="s">
        <v>3524</v>
      </c>
      <c r="B814" s="16">
        <v>45102.0</v>
      </c>
      <c r="C814" s="17">
        <v>45104.0</v>
      </c>
      <c r="D814" s="18">
        <v>4.0</v>
      </c>
      <c r="E814" s="19">
        <v>3.0</v>
      </c>
      <c r="F814" s="20">
        <v>16000.0</v>
      </c>
      <c r="G814" s="21" t="s">
        <v>2711</v>
      </c>
      <c r="H814" s="19">
        <v>4.0</v>
      </c>
      <c r="I814" s="21" t="s">
        <v>30</v>
      </c>
      <c r="J814" s="22" t="s">
        <v>2506</v>
      </c>
    </row>
    <row r="815">
      <c r="A815" s="15" t="s">
        <v>3525</v>
      </c>
      <c r="B815" s="16">
        <v>45102.0</v>
      </c>
      <c r="C815" s="17">
        <v>45104.0</v>
      </c>
      <c r="D815" s="18">
        <v>2.0</v>
      </c>
      <c r="E815" s="19">
        <v>3.0</v>
      </c>
      <c r="F815" s="20">
        <v>16000.0</v>
      </c>
      <c r="G815" s="21" t="s">
        <v>2711</v>
      </c>
      <c r="H815" s="19">
        <v>4.0</v>
      </c>
      <c r="I815" s="21" t="s">
        <v>1717</v>
      </c>
      <c r="J815" s="22" t="s">
        <v>2602</v>
      </c>
    </row>
    <row r="816">
      <c r="A816" s="15" t="s">
        <v>3526</v>
      </c>
      <c r="B816" s="16">
        <v>45102.0</v>
      </c>
      <c r="C816" s="17">
        <v>45103.0</v>
      </c>
      <c r="D816" s="18">
        <v>2.0</v>
      </c>
      <c r="E816" s="19">
        <v>1.0</v>
      </c>
      <c r="F816" s="20">
        <v>12000.0</v>
      </c>
      <c r="G816" s="21" t="s">
        <v>2711</v>
      </c>
      <c r="H816" s="19">
        <v>5.0</v>
      </c>
      <c r="I816" s="21" t="s">
        <v>2152</v>
      </c>
      <c r="J816" s="22" t="s">
        <v>2496</v>
      </c>
    </row>
    <row r="817">
      <c r="A817" s="15" t="s">
        <v>3527</v>
      </c>
      <c r="B817" s="16">
        <v>45102.0</v>
      </c>
      <c r="C817" s="17">
        <v>45106.0</v>
      </c>
      <c r="D817" s="18">
        <v>6.0</v>
      </c>
      <c r="E817" s="19">
        <v>3.0</v>
      </c>
      <c r="F817" s="20">
        <v>16000.0</v>
      </c>
      <c r="G817" s="21" t="s">
        <v>2711</v>
      </c>
      <c r="H817" s="19">
        <v>4.0</v>
      </c>
      <c r="I817" s="21" t="s">
        <v>1312</v>
      </c>
      <c r="J817" s="22" t="s">
        <v>2490</v>
      </c>
    </row>
    <row r="818">
      <c r="A818" s="15" t="s">
        <v>3528</v>
      </c>
      <c r="B818" s="16">
        <v>45102.0</v>
      </c>
      <c r="C818" s="17">
        <v>45104.0</v>
      </c>
      <c r="D818" s="18">
        <v>3.0</v>
      </c>
      <c r="E818" s="19">
        <v>2.0</v>
      </c>
      <c r="F818" s="20">
        <v>14000.0</v>
      </c>
      <c r="G818" s="21" t="s">
        <v>2711</v>
      </c>
      <c r="H818" s="19">
        <v>5.0</v>
      </c>
      <c r="I818" s="21" t="s">
        <v>1748</v>
      </c>
      <c r="J818" s="22" t="s">
        <v>2612</v>
      </c>
    </row>
    <row r="819">
      <c r="A819" s="15" t="s">
        <v>3529</v>
      </c>
      <c r="B819" s="16">
        <v>45102.0</v>
      </c>
      <c r="C819" s="17">
        <v>45106.0</v>
      </c>
      <c r="D819" s="18">
        <v>18.0</v>
      </c>
      <c r="E819" s="19">
        <v>4.0</v>
      </c>
      <c r="F819" s="20">
        <v>23400.0</v>
      </c>
      <c r="G819" s="21" t="s">
        <v>2711</v>
      </c>
      <c r="H819" s="19">
        <v>5.0</v>
      </c>
      <c r="I819" s="21" t="s">
        <v>30</v>
      </c>
      <c r="J819" s="22" t="s">
        <v>2637</v>
      </c>
    </row>
    <row r="820">
      <c r="A820" s="15" t="s">
        <v>3530</v>
      </c>
      <c r="B820" s="16">
        <v>45102.0</v>
      </c>
      <c r="C820" s="17">
        <v>45104.0</v>
      </c>
      <c r="D820" s="18">
        <v>6.0</v>
      </c>
      <c r="E820" s="19">
        <v>3.0</v>
      </c>
      <c r="F820" s="20">
        <v>16000.0</v>
      </c>
      <c r="G820" s="21" t="s">
        <v>2711</v>
      </c>
      <c r="H820" s="19">
        <v>4.0</v>
      </c>
      <c r="I820" s="21" t="s">
        <v>767</v>
      </c>
      <c r="J820" s="22" t="s">
        <v>2516</v>
      </c>
    </row>
    <row r="821">
      <c r="A821" s="15" t="s">
        <v>3531</v>
      </c>
      <c r="B821" s="16">
        <v>45102.0</v>
      </c>
      <c r="C821" s="17">
        <v>45106.0</v>
      </c>
      <c r="D821" s="18">
        <v>3.0</v>
      </c>
      <c r="E821" s="19">
        <v>2.0</v>
      </c>
      <c r="F821" s="20">
        <v>14000.0</v>
      </c>
      <c r="G821" s="21" t="s">
        <v>2711</v>
      </c>
      <c r="H821" s="19">
        <v>5.0</v>
      </c>
      <c r="I821" s="21" t="s">
        <v>2060</v>
      </c>
      <c r="J821" s="22" t="s">
        <v>2532</v>
      </c>
    </row>
    <row r="822">
      <c r="A822" s="15" t="s">
        <v>3532</v>
      </c>
      <c r="B822" s="16">
        <v>45102.0</v>
      </c>
      <c r="C822" s="17">
        <v>45106.0</v>
      </c>
      <c r="D822" s="18">
        <v>18.0</v>
      </c>
      <c r="E822" s="19">
        <v>7.0</v>
      </c>
      <c r="F822" s="20">
        <v>29400.0</v>
      </c>
      <c r="G822" s="21" t="s">
        <v>2711</v>
      </c>
      <c r="H822" s="19">
        <v>5.0</v>
      </c>
      <c r="I822" s="21" t="s">
        <v>1025</v>
      </c>
      <c r="J822" s="22" t="s">
        <v>2501</v>
      </c>
    </row>
    <row r="823">
      <c r="A823" s="15" t="s">
        <v>3533</v>
      </c>
      <c r="B823" s="16">
        <v>45102.0</v>
      </c>
      <c r="C823" s="17">
        <v>45103.0</v>
      </c>
      <c r="D823" s="18">
        <v>15.0</v>
      </c>
      <c r="E823" s="19">
        <v>8.0</v>
      </c>
      <c r="F823" s="20">
        <v>30500.0</v>
      </c>
      <c r="G823" s="21" t="s">
        <v>2711</v>
      </c>
      <c r="H823" s="19">
        <v>4.0</v>
      </c>
      <c r="I823" s="21" t="s">
        <v>1244</v>
      </c>
      <c r="J823" s="22" t="s">
        <v>2662</v>
      </c>
    </row>
    <row r="824">
      <c r="A824" s="15" t="s">
        <v>3534</v>
      </c>
      <c r="B824" s="16">
        <v>45102.0</v>
      </c>
      <c r="C824" s="17">
        <v>45104.0</v>
      </c>
      <c r="D824" s="18">
        <v>2.0</v>
      </c>
      <c r="E824" s="19">
        <v>1.0</v>
      </c>
      <c r="F824" s="20">
        <v>12000.0</v>
      </c>
      <c r="G824" s="21" t="s">
        <v>2711</v>
      </c>
      <c r="H824" s="19">
        <v>4.0</v>
      </c>
      <c r="I824" s="21" t="s">
        <v>2358</v>
      </c>
      <c r="J824" s="22" t="s">
        <v>2490</v>
      </c>
    </row>
    <row r="825">
      <c r="A825" s="15" t="s">
        <v>3535</v>
      </c>
      <c r="B825" s="16">
        <v>45102.0</v>
      </c>
      <c r="C825" s="17">
        <v>45103.0</v>
      </c>
      <c r="D825" s="18">
        <v>19.0</v>
      </c>
      <c r="E825" s="19">
        <v>7.0</v>
      </c>
      <c r="F825" s="20">
        <v>29700.0</v>
      </c>
      <c r="G825" s="21" t="s">
        <v>2711</v>
      </c>
      <c r="H825" s="19">
        <v>4.0</v>
      </c>
      <c r="I825" s="21" t="s">
        <v>2255</v>
      </c>
      <c r="J825" s="22" t="s">
        <v>2627</v>
      </c>
    </row>
    <row r="826">
      <c r="A826" s="15" t="s">
        <v>3536</v>
      </c>
      <c r="B826" s="16">
        <v>45102.0</v>
      </c>
      <c r="C826" s="17">
        <v>45103.0</v>
      </c>
      <c r="D826" s="18">
        <v>12.0</v>
      </c>
      <c r="E826" s="19">
        <v>5.0</v>
      </c>
      <c r="F826" s="20">
        <v>20000.0</v>
      </c>
      <c r="G826" s="21" t="s">
        <v>2711</v>
      </c>
      <c r="H826" s="19">
        <v>4.0</v>
      </c>
      <c r="I826" s="21" t="s">
        <v>1021</v>
      </c>
      <c r="J826" s="22" t="s">
        <v>2672</v>
      </c>
    </row>
    <row r="827">
      <c r="A827" s="15" t="s">
        <v>3537</v>
      </c>
      <c r="B827" s="17">
        <v>45103.0</v>
      </c>
      <c r="C827" s="17">
        <f>B827 + RANDBETWEEN(1,5)</f>
        <v>45105</v>
      </c>
      <c r="D827" s="18">
        <v>11.0</v>
      </c>
      <c r="E827" s="19">
        <v>4.0</v>
      </c>
      <c r="F827" s="20">
        <v>18000.0</v>
      </c>
      <c r="G827" s="21" t="s">
        <v>2711</v>
      </c>
      <c r="H827" s="19">
        <v>5.0</v>
      </c>
      <c r="I827" s="21" t="s">
        <v>194</v>
      </c>
      <c r="J827" s="22" t="s">
        <v>2667</v>
      </c>
    </row>
    <row r="828">
      <c r="A828" s="15" t="s">
        <v>3538</v>
      </c>
      <c r="B828" s="16">
        <v>45103.0</v>
      </c>
      <c r="C828" s="17">
        <v>45104.0</v>
      </c>
      <c r="D828" s="18">
        <v>6.0</v>
      </c>
      <c r="E828" s="19">
        <v>1.0</v>
      </c>
      <c r="F828" s="20">
        <v>12000.0</v>
      </c>
      <c r="G828" s="21" t="s">
        <v>2711</v>
      </c>
      <c r="H828" s="19">
        <v>5.0</v>
      </c>
      <c r="I828" s="21" t="s">
        <v>170</v>
      </c>
      <c r="J828" s="22" t="s">
        <v>2592</v>
      </c>
    </row>
    <row r="829">
      <c r="A829" s="40" t="s">
        <v>3539</v>
      </c>
      <c r="B829" s="45">
        <v>45103.0</v>
      </c>
      <c r="C829" s="42">
        <v>45106.0</v>
      </c>
      <c r="D829" s="40">
        <v>13.0</v>
      </c>
      <c r="E829" s="40">
        <v>5.0</v>
      </c>
      <c r="F829" s="46">
        <v>20000.0</v>
      </c>
      <c r="G829" s="40" t="s">
        <v>2711</v>
      </c>
      <c r="H829" s="40">
        <v>4.0</v>
      </c>
      <c r="I829" s="40" t="s">
        <v>1351</v>
      </c>
      <c r="J829" s="40" t="s">
        <v>2587</v>
      </c>
    </row>
    <row r="830">
      <c r="A830" s="15" t="s">
        <v>3540</v>
      </c>
      <c r="B830" s="16">
        <v>45103.0</v>
      </c>
      <c r="C830" s="17">
        <v>45106.0</v>
      </c>
      <c r="D830" s="18">
        <v>13.0</v>
      </c>
      <c r="E830" s="19">
        <v>7.0</v>
      </c>
      <c r="F830" s="20">
        <v>24000.0</v>
      </c>
      <c r="G830" s="21" t="s">
        <v>2711</v>
      </c>
      <c r="H830" s="19">
        <v>5.0</v>
      </c>
      <c r="I830" s="21" t="s">
        <v>2377</v>
      </c>
      <c r="J830" s="22" t="s">
        <v>2627</v>
      </c>
    </row>
    <row r="831">
      <c r="A831" s="15" t="s">
        <v>3541</v>
      </c>
      <c r="B831" s="16">
        <v>45103.0</v>
      </c>
      <c r="C831" s="17">
        <v>45108.0</v>
      </c>
      <c r="D831" s="18">
        <v>10.0</v>
      </c>
      <c r="E831" s="19">
        <v>10.0</v>
      </c>
      <c r="F831" s="20">
        <v>30000.0</v>
      </c>
      <c r="G831" s="21" t="s">
        <v>2711</v>
      </c>
      <c r="H831" s="19">
        <v>5.0</v>
      </c>
      <c r="I831" s="21" t="s">
        <v>410</v>
      </c>
      <c r="J831" s="22" t="s">
        <v>2672</v>
      </c>
    </row>
    <row r="832">
      <c r="A832" s="15" t="s">
        <v>3542</v>
      </c>
      <c r="B832" s="16">
        <v>45103.0</v>
      </c>
      <c r="C832" s="17">
        <v>45108.0</v>
      </c>
      <c r="D832" s="18">
        <v>1.0</v>
      </c>
      <c r="E832" s="19">
        <v>3.0</v>
      </c>
      <c r="F832" s="20">
        <v>16000.0</v>
      </c>
      <c r="G832" s="21" t="s">
        <v>2711</v>
      </c>
      <c r="H832" s="19">
        <v>4.0</v>
      </c>
      <c r="I832" s="21" t="s">
        <v>1157</v>
      </c>
      <c r="J832" s="22" t="s">
        <v>2532</v>
      </c>
    </row>
    <row r="833">
      <c r="A833" s="15" t="s">
        <v>3543</v>
      </c>
      <c r="B833" s="16">
        <v>45103.0</v>
      </c>
      <c r="C833" s="17">
        <v>45106.0</v>
      </c>
      <c r="D833" s="18">
        <v>3.0</v>
      </c>
      <c r="E833" s="19">
        <v>1.0</v>
      </c>
      <c r="F833" s="20">
        <v>12000.0</v>
      </c>
      <c r="G833" s="21" t="s">
        <v>2711</v>
      </c>
      <c r="H833" s="19">
        <v>5.0</v>
      </c>
      <c r="I833" s="21" t="s">
        <v>1224</v>
      </c>
      <c r="J833" s="22" t="s">
        <v>2652</v>
      </c>
    </row>
    <row r="834">
      <c r="A834" s="15" t="s">
        <v>3544</v>
      </c>
      <c r="B834" s="16">
        <v>45103.0</v>
      </c>
      <c r="C834" s="17">
        <v>45105.0</v>
      </c>
      <c r="D834" s="18">
        <v>20.0</v>
      </c>
      <c r="E834" s="19">
        <v>9.0</v>
      </c>
      <c r="F834" s="20">
        <v>34000.0</v>
      </c>
      <c r="G834" s="21" t="s">
        <v>2711</v>
      </c>
      <c r="H834" s="19">
        <v>5.0</v>
      </c>
      <c r="I834" s="21" t="s">
        <v>1133</v>
      </c>
      <c r="J834" s="22" t="s">
        <v>2484</v>
      </c>
    </row>
    <row r="835">
      <c r="A835" s="15" t="s">
        <v>3545</v>
      </c>
      <c r="B835" s="16">
        <v>45103.0</v>
      </c>
      <c r="C835" s="17">
        <v>45106.0</v>
      </c>
      <c r="D835" s="18">
        <v>2.0</v>
      </c>
      <c r="E835" s="19">
        <v>2.0</v>
      </c>
      <c r="F835" s="20">
        <v>14000.0</v>
      </c>
      <c r="G835" s="21" t="s">
        <v>2711</v>
      </c>
      <c r="H835" s="19">
        <v>5.0</v>
      </c>
      <c r="I835" s="21" t="s">
        <v>406</v>
      </c>
      <c r="J835" s="22" t="s">
        <v>2602</v>
      </c>
    </row>
    <row r="836">
      <c r="A836" s="15" t="s">
        <v>3546</v>
      </c>
      <c r="B836" s="16">
        <v>45103.0</v>
      </c>
      <c r="C836" s="17">
        <v>45105.0</v>
      </c>
      <c r="D836" s="18">
        <v>9.0</v>
      </c>
      <c r="E836" s="19">
        <v>5.0</v>
      </c>
      <c r="F836" s="20">
        <v>20000.0</v>
      </c>
      <c r="G836" s="21" t="s">
        <v>2711</v>
      </c>
      <c r="H836" s="19">
        <v>4.0</v>
      </c>
      <c r="I836" s="21" t="s">
        <v>2164</v>
      </c>
      <c r="J836" s="22" t="s">
        <v>2537</v>
      </c>
    </row>
    <row r="837">
      <c r="A837" s="15" t="s">
        <v>3547</v>
      </c>
      <c r="B837" s="16">
        <v>45103.0</v>
      </c>
      <c r="C837" s="17">
        <v>45108.0</v>
      </c>
      <c r="D837" s="18">
        <v>6.0</v>
      </c>
      <c r="E837" s="19">
        <v>2.0</v>
      </c>
      <c r="F837" s="20">
        <v>14000.0</v>
      </c>
      <c r="G837" s="21" t="s">
        <v>2711</v>
      </c>
      <c r="H837" s="19">
        <v>4.0</v>
      </c>
      <c r="I837" s="21" t="s">
        <v>672</v>
      </c>
      <c r="J837" s="22" t="s">
        <v>2577</v>
      </c>
    </row>
    <row r="838">
      <c r="A838" s="15" t="s">
        <v>3548</v>
      </c>
      <c r="B838" s="16">
        <v>45103.0</v>
      </c>
      <c r="C838" s="17">
        <v>45105.0</v>
      </c>
      <c r="D838" s="18">
        <v>6.0</v>
      </c>
      <c r="E838" s="19">
        <v>2.0</v>
      </c>
      <c r="F838" s="20">
        <v>14000.0</v>
      </c>
      <c r="G838" s="21" t="s">
        <v>2711</v>
      </c>
      <c r="H838" s="19">
        <v>4.0</v>
      </c>
      <c r="I838" s="21" t="s">
        <v>819</v>
      </c>
      <c r="J838" s="22" t="s">
        <v>2652</v>
      </c>
    </row>
    <row r="839">
      <c r="A839" s="15" t="s">
        <v>3549</v>
      </c>
      <c r="B839" s="16">
        <v>45103.0</v>
      </c>
      <c r="C839" s="17">
        <v>45105.0</v>
      </c>
      <c r="D839" s="18">
        <v>5.0</v>
      </c>
      <c r="E839" s="19">
        <v>1.0</v>
      </c>
      <c r="F839" s="20">
        <v>12000.0</v>
      </c>
      <c r="G839" s="21" t="s">
        <v>2711</v>
      </c>
      <c r="H839" s="19">
        <v>5.0</v>
      </c>
      <c r="I839" s="21" t="s">
        <v>70</v>
      </c>
      <c r="J839" s="22" t="s">
        <v>2557</v>
      </c>
    </row>
    <row r="840">
      <c r="A840" s="15" t="s">
        <v>3550</v>
      </c>
      <c r="B840" s="16">
        <v>45103.0</v>
      </c>
      <c r="C840" s="17">
        <v>45105.0</v>
      </c>
      <c r="D840" s="18">
        <v>14.0</v>
      </c>
      <c r="E840" s="19">
        <v>6.0</v>
      </c>
      <c r="F840" s="20">
        <v>22000.0</v>
      </c>
      <c r="G840" s="21" t="s">
        <v>2711</v>
      </c>
      <c r="H840" s="19">
        <v>5.0</v>
      </c>
      <c r="I840" s="21" t="s">
        <v>2358</v>
      </c>
      <c r="J840" s="22" t="s">
        <v>2672</v>
      </c>
    </row>
    <row r="841">
      <c r="A841" s="15" t="s">
        <v>3551</v>
      </c>
      <c r="B841" s="16">
        <v>45103.0</v>
      </c>
      <c r="C841" s="17">
        <v>45104.0</v>
      </c>
      <c r="D841" s="18">
        <v>7.0</v>
      </c>
      <c r="E841" s="19">
        <v>8.0</v>
      </c>
      <c r="F841" s="20">
        <v>26000.0</v>
      </c>
      <c r="G841" s="21" t="s">
        <v>2711</v>
      </c>
      <c r="H841" s="19">
        <v>4.0</v>
      </c>
      <c r="I841" s="21" t="s">
        <v>2457</v>
      </c>
      <c r="J841" s="22" t="s">
        <v>2484</v>
      </c>
    </row>
    <row r="842">
      <c r="A842" s="15" t="s">
        <v>3552</v>
      </c>
      <c r="B842" s="16">
        <v>45103.0</v>
      </c>
      <c r="C842" s="17">
        <v>45104.0</v>
      </c>
      <c r="D842" s="18">
        <v>6.0</v>
      </c>
      <c r="E842" s="19">
        <v>3.0</v>
      </c>
      <c r="F842" s="20">
        <v>16000.0</v>
      </c>
      <c r="G842" s="21" t="s">
        <v>2711</v>
      </c>
      <c r="H842" s="19">
        <v>4.0</v>
      </c>
      <c r="I842" s="21" t="s">
        <v>74</v>
      </c>
      <c r="J842" s="22" t="s">
        <v>2647</v>
      </c>
    </row>
    <row r="843">
      <c r="A843" s="15" t="s">
        <v>3553</v>
      </c>
      <c r="B843" s="16">
        <v>45103.0</v>
      </c>
      <c r="C843" s="17">
        <v>45105.0</v>
      </c>
      <c r="D843" s="18">
        <v>3.0</v>
      </c>
      <c r="E843" s="19">
        <v>1.0</v>
      </c>
      <c r="F843" s="20">
        <v>12000.0</v>
      </c>
      <c r="G843" s="21" t="s">
        <v>2711</v>
      </c>
      <c r="H843" s="19">
        <v>4.0</v>
      </c>
      <c r="I843" s="21" t="s">
        <v>130</v>
      </c>
      <c r="J843" s="22" t="s">
        <v>2506</v>
      </c>
    </row>
    <row r="844">
      <c r="A844" s="15" t="s">
        <v>3554</v>
      </c>
      <c r="B844" s="16">
        <v>45103.0</v>
      </c>
      <c r="C844" s="17">
        <v>45105.0</v>
      </c>
      <c r="D844" s="18">
        <v>13.0</v>
      </c>
      <c r="E844" s="19">
        <v>4.0</v>
      </c>
      <c r="F844" s="20">
        <v>18000.0</v>
      </c>
      <c r="G844" s="21" t="s">
        <v>2711</v>
      </c>
      <c r="H844" s="19">
        <v>4.0</v>
      </c>
      <c r="I844" s="21" t="s">
        <v>2108</v>
      </c>
      <c r="J844" s="22" t="s">
        <v>2637</v>
      </c>
    </row>
    <row r="845">
      <c r="A845" s="15" t="s">
        <v>3555</v>
      </c>
      <c r="B845" s="16">
        <v>45103.0</v>
      </c>
      <c r="C845" s="17">
        <v>45104.0</v>
      </c>
      <c r="D845" s="18">
        <v>6.0</v>
      </c>
      <c r="E845" s="19">
        <v>1.0</v>
      </c>
      <c r="F845" s="20">
        <v>12000.0</v>
      </c>
      <c r="G845" s="21" t="s">
        <v>2711</v>
      </c>
      <c r="H845" s="19">
        <v>5.0</v>
      </c>
      <c r="I845" s="21" t="s">
        <v>118</v>
      </c>
      <c r="J845" s="22" t="s">
        <v>2647</v>
      </c>
    </row>
    <row r="846">
      <c r="A846" s="15" t="s">
        <v>3556</v>
      </c>
      <c r="B846" s="16">
        <v>45103.0</v>
      </c>
      <c r="C846" s="17">
        <v>45105.0</v>
      </c>
      <c r="D846" s="18">
        <v>2.0</v>
      </c>
      <c r="E846" s="19">
        <v>2.0</v>
      </c>
      <c r="F846" s="20">
        <v>14000.0</v>
      </c>
      <c r="G846" s="21" t="s">
        <v>2711</v>
      </c>
      <c r="H846" s="19">
        <v>4.0</v>
      </c>
      <c r="I846" s="21" t="s">
        <v>2037</v>
      </c>
      <c r="J846" s="22" t="s">
        <v>2602</v>
      </c>
    </row>
    <row r="847">
      <c r="A847" s="15" t="s">
        <v>3557</v>
      </c>
      <c r="B847" s="16">
        <v>45103.0</v>
      </c>
      <c r="C847" s="17">
        <v>45107.0</v>
      </c>
      <c r="D847" s="18">
        <v>1.0</v>
      </c>
      <c r="E847" s="19">
        <v>3.0</v>
      </c>
      <c r="F847" s="20">
        <v>16000.0</v>
      </c>
      <c r="G847" s="21" t="s">
        <v>2711</v>
      </c>
      <c r="H847" s="19">
        <v>5.0</v>
      </c>
      <c r="I847" s="21" t="s">
        <v>2068</v>
      </c>
      <c r="J847" s="22" t="s">
        <v>2642</v>
      </c>
    </row>
    <row r="848">
      <c r="A848" s="15" t="s">
        <v>3558</v>
      </c>
      <c r="B848" s="16">
        <v>45103.0</v>
      </c>
      <c r="C848" s="17">
        <v>45104.0</v>
      </c>
      <c r="D848" s="18">
        <v>1.0</v>
      </c>
      <c r="E848" s="19">
        <v>2.0</v>
      </c>
      <c r="F848" s="20">
        <v>14000.0</v>
      </c>
      <c r="G848" s="21" t="s">
        <v>2711</v>
      </c>
      <c r="H848" s="19">
        <v>5.0</v>
      </c>
      <c r="I848" s="21" t="s">
        <v>94</v>
      </c>
      <c r="J848" s="22" t="s">
        <v>2567</v>
      </c>
    </row>
    <row r="849">
      <c r="A849" s="15" t="s">
        <v>3559</v>
      </c>
      <c r="B849" s="16">
        <v>45103.0</v>
      </c>
      <c r="C849" s="17">
        <v>45107.0</v>
      </c>
      <c r="D849" s="18">
        <v>19.0</v>
      </c>
      <c r="E849" s="19">
        <v>5.0</v>
      </c>
      <c r="F849" s="20">
        <v>25700.0</v>
      </c>
      <c r="G849" s="21" t="s">
        <v>2711</v>
      </c>
      <c r="H849" s="19">
        <v>4.0</v>
      </c>
      <c r="I849" s="21" t="s">
        <v>593</v>
      </c>
      <c r="J849" s="22" t="s">
        <v>2637</v>
      </c>
    </row>
    <row r="850">
      <c r="A850" s="15" t="s">
        <v>3560</v>
      </c>
      <c r="B850" s="16">
        <v>45103.0</v>
      </c>
      <c r="C850" s="17">
        <v>45107.0</v>
      </c>
      <c r="D850" s="18">
        <v>1.0</v>
      </c>
      <c r="E850" s="19">
        <v>1.0</v>
      </c>
      <c r="F850" s="20">
        <v>12000.0</v>
      </c>
      <c r="G850" s="21" t="s">
        <v>2711</v>
      </c>
      <c r="H850" s="19">
        <v>4.0</v>
      </c>
      <c r="I850" s="21" t="s">
        <v>557</v>
      </c>
      <c r="J850" s="22" t="s">
        <v>2652</v>
      </c>
    </row>
    <row r="851">
      <c r="A851" s="15" t="s">
        <v>3561</v>
      </c>
      <c r="B851" s="16">
        <v>45103.0</v>
      </c>
      <c r="C851" s="17">
        <v>45104.0</v>
      </c>
      <c r="D851" s="18">
        <v>4.0</v>
      </c>
      <c r="E851" s="19">
        <v>2.0</v>
      </c>
      <c r="F851" s="20">
        <v>14000.0</v>
      </c>
      <c r="G851" s="21" t="s">
        <v>2711</v>
      </c>
      <c r="H851" s="19">
        <v>5.0</v>
      </c>
      <c r="I851" s="21" t="s">
        <v>1316</v>
      </c>
      <c r="J851" s="22" t="s">
        <v>2647</v>
      </c>
    </row>
    <row r="852">
      <c r="A852" s="15" t="s">
        <v>3562</v>
      </c>
      <c r="B852" s="16">
        <v>45103.0</v>
      </c>
      <c r="C852" s="17">
        <v>45105.0</v>
      </c>
      <c r="D852" s="18">
        <v>4.0</v>
      </c>
      <c r="E852" s="19">
        <v>3.0</v>
      </c>
      <c r="F852" s="20">
        <v>16000.0</v>
      </c>
      <c r="G852" s="21" t="s">
        <v>2711</v>
      </c>
      <c r="H852" s="19">
        <v>4.0</v>
      </c>
      <c r="I852" s="21" t="s">
        <v>326</v>
      </c>
      <c r="J852" s="22" t="s">
        <v>2687</v>
      </c>
    </row>
    <row r="853">
      <c r="A853" s="15" t="s">
        <v>3563</v>
      </c>
      <c r="B853" s="16">
        <v>45103.0</v>
      </c>
      <c r="C853" s="17">
        <v>45104.0</v>
      </c>
      <c r="D853" s="18">
        <v>5.0</v>
      </c>
      <c r="E853" s="19">
        <v>1.0</v>
      </c>
      <c r="F853" s="20">
        <v>12000.0</v>
      </c>
      <c r="G853" s="21" t="s">
        <v>2711</v>
      </c>
      <c r="H853" s="19">
        <v>5.0</v>
      </c>
      <c r="I853" s="21" t="s">
        <v>338</v>
      </c>
      <c r="J853" s="22" t="s">
        <v>2677</v>
      </c>
    </row>
    <row r="854">
      <c r="A854" s="15" t="s">
        <v>3564</v>
      </c>
      <c r="B854" s="16">
        <v>45103.0</v>
      </c>
      <c r="C854" s="17">
        <v>45108.0</v>
      </c>
      <c r="D854" s="18">
        <v>2.0</v>
      </c>
      <c r="E854" s="19">
        <v>1.0</v>
      </c>
      <c r="F854" s="20">
        <v>12000.0</v>
      </c>
      <c r="G854" s="21" t="s">
        <v>2711</v>
      </c>
      <c r="H854" s="19">
        <v>5.0</v>
      </c>
      <c r="I854" s="21" t="s">
        <v>1129</v>
      </c>
      <c r="J854" s="22" t="s">
        <v>2490</v>
      </c>
    </row>
    <row r="855">
      <c r="A855" s="15" t="s">
        <v>3565</v>
      </c>
      <c r="B855" s="16">
        <v>45103.0</v>
      </c>
      <c r="C855" s="17">
        <v>45104.0</v>
      </c>
      <c r="D855" s="18">
        <v>12.0</v>
      </c>
      <c r="E855" s="19">
        <v>7.0</v>
      </c>
      <c r="F855" s="20">
        <v>24000.0</v>
      </c>
      <c r="G855" s="21" t="s">
        <v>2711</v>
      </c>
      <c r="H855" s="19">
        <v>5.0</v>
      </c>
      <c r="I855" s="21" t="s">
        <v>246</v>
      </c>
      <c r="J855" s="22" t="s">
        <v>2501</v>
      </c>
    </row>
    <row r="856">
      <c r="A856" s="15" t="s">
        <v>3566</v>
      </c>
      <c r="B856" s="16">
        <v>45103.0</v>
      </c>
      <c r="C856" s="17">
        <v>45105.0</v>
      </c>
      <c r="D856" s="18">
        <v>5.0</v>
      </c>
      <c r="E856" s="19">
        <v>3.0</v>
      </c>
      <c r="F856" s="20">
        <v>16000.0</v>
      </c>
      <c r="G856" s="21" t="s">
        <v>2711</v>
      </c>
      <c r="H856" s="19">
        <v>5.0</v>
      </c>
      <c r="I856" s="21" t="s">
        <v>1113</v>
      </c>
      <c r="J856" s="22" t="s">
        <v>2532</v>
      </c>
    </row>
    <row r="857">
      <c r="A857" s="15" t="s">
        <v>3567</v>
      </c>
      <c r="B857" s="16">
        <v>45103.0</v>
      </c>
      <c r="C857" s="17">
        <v>45104.0</v>
      </c>
      <c r="D857" s="18">
        <v>1.0</v>
      </c>
      <c r="E857" s="19">
        <v>2.0</v>
      </c>
      <c r="F857" s="20">
        <v>14000.0</v>
      </c>
      <c r="G857" s="21" t="s">
        <v>2711</v>
      </c>
      <c r="H857" s="19">
        <v>4.0</v>
      </c>
      <c r="I857" s="21" t="s">
        <v>182</v>
      </c>
      <c r="J857" s="22" t="s">
        <v>2582</v>
      </c>
    </row>
    <row r="858">
      <c r="A858" s="15" t="s">
        <v>3568</v>
      </c>
      <c r="B858" s="16">
        <v>45103.0</v>
      </c>
      <c r="C858" s="17">
        <v>45104.0</v>
      </c>
      <c r="D858" s="18">
        <v>3.0</v>
      </c>
      <c r="E858" s="19">
        <v>1.0</v>
      </c>
      <c r="F858" s="20">
        <v>12000.0</v>
      </c>
      <c r="G858" s="21" t="s">
        <v>2711</v>
      </c>
      <c r="H858" s="19">
        <v>5.0</v>
      </c>
      <c r="I858" s="21" t="s">
        <v>86</v>
      </c>
      <c r="J858" s="22" t="s">
        <v>2511</v>
      </c>
    </row>
    <row r="859">
      <c r="A859" s="15" t="s">
        <v>3569</v>
      </c>
      <c r="B859" s="16">
        <v>45103.0</v>
      </c>
      <c r="C859" s="17">
        <v>45106.0</v>
      </c>
      <c r="D859" s="18">
        <v>1.0</v>
      </c>
      <c r="E859" s="19">
        <v>3.0</v>
      </c>
      <c r="F859" s="20">
        <v>16000.0</v>
      </c>
      <c r="G859" s="21" t="s">
        <v>2711</v>
      </c>
      <c r="H859" s="19">
        <v>4.0</v>
      </c>
      <c r="I859" s="21" t="s">
        <v>906</v>
      </c>
      <c r="J859" s="22" t="s">
        <v>2490</v>
      </c>
    </row>
    <row r="860">
      <c r="A860" s="15" t="s">
        <v>3570</v>
      </c>
      <c r="B860" s="16">
        <v>45103.0</v>
      </c>
      <c r="C860" s="17">
        <v>45105.0</v>
      </c>
      <c r="D860" s="18">
        <v>3.0</v>
      </c>
      <c r="E860" s="19">
        <v>1.0</v>
      </c>
      <c r="F860" s="20">
        <v>12000.0</v>
      </c>
      <c r="G860" s="21" t="s">
        <v>2711</v>
      </c>
      <c r="H860" s="19">
        <v>5.0</v>
      </c>
      <c r="I860" s="21" t="s">
        <v>1029</v>
      </c>
      <c r="J860" s="22" t="s">
        <v>2511</v>
      </c>
    </row>
    <row r="861">
      <c r="A861" s="15" t="s">
        <v>3571</v>
      </c>
      <c r="B861" s="16">
        <v>45103.0</v>
      </c>
      <c r="C861" s="17">
        <v>45104.0</v>
      </c>
      <c r="D861" s="18">
        <v>2.0</v>
      </c>
      <c r="E861" s="19">
        <v>3.0</v>
      </c>
      <c r="F861" s="20">
        <v>16000.0</v>
      </c>
      <c r="G861" s="21" t="s">
        <v>2747</v>
      </c>
      <c r="H861" s="21"/>
      <c r="I861" s="21" t="s">
        <v>1969</v>
      </c>
      <c r="J861" s="22" t="s">
        <v>2597</v>
      </c>
    </row>
    <row r="862">
      <c r="A862" s="15" t="s">
        <v>3572</v>
      </c>
      <c r="B862" s="16">
        <v>45103.0</v>
      </c>
      <c r="C862" s="17">
        <v>45104.0</v>
      </c>
      <c r="D862" s="18">
        <v>3.0</v>
      </c>
      <c r="E862" s="19">
        <v>3.0</v>
      </c>
      <c r="F862" s="20">
        <v>16000.0</v>
      </c>
      <c r="G862" s="21" t="s">
        <v>2711</v>
      </c>
      <c r="H862" s="19">
        <v>4.0</v>
      </c>
      <c r="I862" s="21" t="s">
        <v>1969</v>
      </c>
      <c r="J862" s="22" t="s">
        <v>2682</v>
      </c>
    </row>
    <row r="863">
      <c r="A863" s="15" t="s">
        <v>3573</v>
      </c>
      <c r="B863" s="16">
        <v>45103.0</v>
      </c>
      <c r="C863" s="17">
        <v>45104.0</v>
      </c>
      <c r="D863" s="18">
        <v>4.0</v>
      </c>
      <c r="E863" s="19">
        <v>2.0</v>
      </c>
      <c r="F863" s="20">
        <v>14000.0</v>
      </c>
      <c r="G863" s="21" t="s">
        <v>2711</v>
      </c>
      <c r="H863" s="19">
        <v>4.0</v>
      </c>
      <c r="I863" s="21" t="s">
        <v>1748</v>
      </c>
      <c r="J863" s="22" t="s">
        <v>2692</v>
      </c>
    </row>
    <row r="864">
      <c r="A864" s="15" t="s">
        <v>3574</v>
      </c>
      <c r="B864" s="16">
        <v>45103.0</v>
      </c>
      <c r="C864" s="17">
        <v>45105.0</v>
      </c>
      <c r="D864" s="18">
        <v>15.0</v>
      </c>
      <c r="E864" s="19">
        <v>9.0</v>
      </c>
      <c r="F864" s="20">
        <v>32500.0</v>
      </c>
      <c r="G864" s="21" t="s">
        <v>2711</v>
      </c>
      <c r="H864" s="19">
        <v>5.0</v>
      </c>
      <c r="I864" s="21" t="s">
        <v>910</v>
      </c>
      <c r="J864" s="22" t="s">
        <v>2627</v>
      </c>
      <c r="K864" s="27"/>
    </row>
    <row r="865">
      <c r="A865" s="15" t="s">
        <v>3575</v>
      </c>
      <c r="B865" s="16">
        <v>45103.0</v>
      </c>
      <c r="C865" s="17">
        <v>45105.0</v>
      </c>
      <c r="D865" s="18">
        <v>18.0</v>
      </c>
      <c r="E865" s="19">
        <v>9.0</v>
      </c>
      <c r="F865" s="20">
        <v>33400.0</v>
      </c>
      <c r="G865" s="21" t="s">
        <v>2711</v>
      </c>
      <c r="H865" s="19">
        <v>4.0</v>
      </c>
      <c r="I865" s="21" t="s">
        <v>1866</v>
      </c>
      <c r="J865" s="22" t="s">
        <v>2587</v>
      </c>
      <c r="K865" s="27"/>
    </row>
    <row r="866">
      <c r="A866" s="15" t="s">
        <v>3576</v>
      </c>
      <c r="B866" s="16">
        <v>45104.0</v>
      </c>
      <c r="C866" s="17">
        <v>45109.0</v>
      </c>
      <c r="D866" s="18">
        <v>14.0</v>
      </c>
      <c r="E866" s="19">
        <v>10.0</v>
      </c>
      <c r="F866" s="20">
        <v>30000.0</v>
      </c>
      <c r="G866" s="21" t="s">
        <v>2711</v>
      </c>
      <c r="H866" s="19">
        <v>4.0</v>
      </c>
      <c r="I866" s="21" t="s">
        <v>2453</v>
      </c>
      <c r="J866" s="22" t="s">
        <v>2501</v>
      </c>
    </row>
    <row r="867">
      <c r="A867" s="15" t="s">
        <v>3577</v>
      </c>
      <c r="B867" s="16">
        <v>45104.0</v>
      </c>
      <c r="C867" s="17">
        <v>45109.0</v>
      </c>
      <c r="D867" s="18">
        <v>1.0</v>
      </c>
      <c r="E867" s="19">
        <v>3.0</v>
      </c>
      <c r="F867" s="20">
        <v>16000.0</v>
      </c>
      <c r="G867" s="21" t="s">
        <v>2711</v>
      </c>
      <c r="H867" s="19">
        <v>4.0</v>
      </c>
      <c r="I867" s="21" t="s">
        <v>1953</v>
      </c>
      <c r="J867" s="22" t="s">
        <v>2527</v>
      </c>
    </row>
    <row r="868">
      <c r="A868" s="15" t="s">
        <v>3578</v>
      </c>
      <c r="B868" s="16">
        <v>45104.0</v>
      </c>
      <c r="C868" s="17">
        <v>45109.0</v>
      </c>
      <c r="D868" s="18">
        <v>4.0</v>
      </c>
      <c r="E868" s="19">
        <v>3.0</v>
      </c>
      <c r="F868" s="20">
        <v>16000.0</v>
      </c>
      <c r="G868" s="21" t="s">
        <v>2711</v>
      </c>
      <c r="H868" s="19">
        <v>4.0</v>
      </c>
      <c r="I868" s="21" t="s">
        <v>1280</v>
      </c>
      <c r="J868" s="22" t="s">
        <v>2632</v>
      </c>
    </row>
    <row r="869">
      <c r="A869" s="15" t="s">
        <v>3579</v>
      </c>
      <c r="B869" s="16">
        <v>45104.0</v>
      </c>
      <c r="C869" s="17">
        <v>45105.0</v>
      </c>
      <c r="D869" s="18">
        <v>15.0</v>
      </c>
      <c r="E869" s="19">
        <v>5.0</v>
      </c>
      <c r="F869" s="20">
        <v>24500.0</v>
      </c>
      <c r="G869" s="21" t="s">
        <v>2711</v>
      </c>
      <c r="H869" s="19">
        <v>5.0</v>
      </c>
      <c r="I869" s="21" t="s">
        <v>2334</v>
      </c>
      <c r="J869" s="22" t="s">
        <v>2662</v>
      </c>
    </row>
    <row r="870">
      <c r="A870" s="15" t="s">
        <v>3580</v>
      </c>
      <c r="B870" s="16">
        <v>45104.0</v>
      </c>
      <c r="C870" s="17">
        <v>45105.0</v>
      </c>
      <c r="D870" s="18">
        <v>10.0</v>
      </c>
      <c r="E870" s="19">
        <v>10.0</v>
      </c>
      <c r="F870" s="20">
        <v>30000.0</v>
      </c>
      <c r="G870" s="21" t="s">
        <v>2711</v>
      </c>
      <c r="H870" s="19">
        <v>5.0</v>
      </c>
      <c r="I870" s="21" t="s">
        <v>6</v>
      </c>
      <c r="J870" s="22" t="s">
        <v>2697</v>
      </c>
    </row>
    <row r="871">
      <c r="A871" s="15" t="s">
        <v>3581</v>
      </c>
      <c r="B871" s="16">
        <v>45104.0</v>
      </c>
      <c r="C871" s="17">
        <v>45109.0</v>
      </c>
      <c r="D871" s="18">
        <v>6.0</v>
      </c>
      <c r="E871" s="19">
        <v>1.0</v>
      </c>
      <c r="F871" s="20">
        <v>12000.0</v>
      </c>
      <c r="G871" s="21" t="s">
        <v>2711</v>
      </c>
      <c r="H871" s="19">
        <v>5.0</v>
      </c>
      <c r="I871" s="21" t="s">
        <v>38</v>
      </c>
      <c r="J871" s="22" t="s">
        <v>2490</v>
      </c>
    </row>
    <row r="872">
      <c r="A872" s="15" t="s">
        <v>3582</v>
      </c>
      <c r="B872" s="16">
        <v>45104.0</v>
      </c>
      <c r="C872" s="17">
        <v>45107.0</v>
      </c>
      <c r="D872" s="18">
        <v>5.0</v>
      </c>
      <c r="E872" s="19">
        <v>3.0</v>
      </c>
      <c r="F872" s="20">
        <v>16000.0</v>
      </c>
      <c r="G872" s="21" t="s">
        <v>2711</v>
      </c>
      <c r="H872" s="19">
        <v>5.0</v>
      </c>
      <c r="I872" s="21" t="s">
        <v>2259</v>
      </c>
      <c r="J872" s="22" t="s">
        <v>2687</v>
      </c>
    </row>
    <row r="873">
      <c r="A873" s="15" t="s">
        <v>3583</v>
      </c>
      <c r="B873" s="16">
        <v>45104.0</v>
      </c>
      <c r="C873" s="17">
        <v>45107.0</v>
      </c>
      <c r="D873" s="18">
        <v>5.0</v>
      </c>
      <c r="E873" s="19">
        <v>1.0</v>
      </c>
      <c r="F873" s="20">
        <v>12000.0</v>
      </c>
      <c r="G873" s="21" t="s">
        <v>2711</v>
      </c>
      <c r="H873" s="19">
        <v>5.0</v>
      </c>
      <c r="I873" s="21" t="s">
        <v>2029</v>
      </c>
      <c r="J873" s="22" t="s">
        <v>2527</v>
      </c>
    </row>
    <row r="874">
      <c r="A874" s="15" t="s">
        <v>3584</v>
      </c>
      <c r="B874" s="16">
        <v>45104.0</v>
      </c>
      <c r="C874" s="17">
        <v>45105.0</v>
      </c>
      <c r="D874" s="18">
        <v>41.0</v>
      </c>
      <c r="E874" s="19">
        <v>12.0</v>
      </c>
      <c r="F874" s="20">
        <v>46300.0</v>
      </c>
      <c r="G874" s="21" t="s">
        <v>2711</v>
      </c>
      <c r="H874" s="19">
        <v>5.0</v>
      </c>
      <c r="I874" s="21" t="s">
        <v>2148</v>
      </c>
      <c r="J874" s="22" t="s">
        <v>2521</v>
      </c>
    </row>
    <row r="875">
      <c r="A875" s="15" t="s">
        <v>3585</v>
      </c>
      <c r="B875" s="16">
        <v>45104.0</v>
      </c>
      <c r="C875" s="17">
        <v>45106.0</v>
      </c>
      <c r="D875" s="18">
        <v>10.0</v>
      </c>
      <c r="E875" s="19">
        <v>7.0</v>
      </c>
      <c r="F875" s="20">
        <v>24000.0</v>
      </c>
      <c r="G875" s="21" t="s">
        <v>2711</v>
      </c>
      <c r="H875" s="19">
        <v>4.0</v>
      </c>
      <c r="I875" s="21" t="s">
        <v>2255</v>
      </c>
      <c r="J875" s="22" t="s">
        <v>2667</v>
      </c>
    </row>
    <row r="876">
      <c r="A876" s="15" t="s">
        <v>3586</v>
      </c>
      <c r="B876" s="16">
        <v>45104.0</v>
      </c>
      <c r="C876" s="17">
        <v>45107.0</v>
      </c>
      <c r="D876" s="18">
        <v>8.0</v>
      </c>
      <c r="E876" s="19">
        <v>5.0</v>
      </c>
      <c r="F876" s="20">
        <v>20000.0</v>
      </c>
      <c r="G876" s="21" t="s">
        <v>2711</v>
      </c>
      <c r="H876" s="19">
        <v>5.0</v>
      </c>
      <c r="I876" s="21" t="s">
        <v>42</v>
      </c>
      <c r="J876" s="22" t="s">
        <v>2662</v>
      </c>
    </row>
    <row r="877">
      <c r="A877" s="15" t="s">
        <v>3587</v>
      </c>
      <c r="B877" s="16">
        <v>45104.0</v>
      </c>
      <c r="C877" s="17">
        <v>45108.0</v>
      </c>
      <c r="D877" s="18">
        <v>78.0</v>
      </c>
      <c r="E877" s="19">
        <v>16.0</v>
      </c>
      <c r="F877" s="20">
        <v>65400.0</v>
      </c>
      <c r="G877" s="21" t="s">
        <v>2711</v>
      </c>
      <c r="H877" s="19">
        <v>4.0</v>
      </c>
      <c r="I877" s="21" t="s">
        <v>178</v>
      </c>
      <c r="J877" s="22" t="s">
        <v>2521</v>
      </c>
    </row>
    <row r="878">
      <c r="A878" s="15" t="s">
        <v>3588</v>
      </c>
      <c r="B878" s="16">
        <v>45104.0</v>
      </c>
      <c r="C878" s="17">
        <v>45106.0</v>
      </c>
      <c r="D878" s="18">
        <v>3.0</v>
      </c>
      <c r="E878" s="19">
        <v>3.0</v>
      </c>
      <c r="F878" s="20">
        <v>16000.0</v>
      </c>
      <c r="G878" s="21" t="s">
        <v>2711</v>
      </c>
      <c r="H878" s="19">
        <v>4.0</v>
      </c>
      <c r="I878" s="21" t="s">
        <v>2385</v>
      </c>
      <c r="J878" s="22" t="s">
        <v>2562</v>
      </c>
    </row>
    <row r="879">
      <c r="A879" s="15" t="s">
        <v>3589</v>
      </c>
      <c r="B879" s="16">
        <v>45104.0</v>
      </c>
      <c r="C879" s="17">
        <v>45105.0</v>
      </c>
      <c r="D879" s="18">
        <v>60.0</v>
      </c>
      <c r="E879" s="19">
        <v>11.0</v>
      </c>
      <c r="F879" s="20">
        <v>50000.0</v>
      </c>
      <c r="G879" s="21" t="s">
        <v>2711</v>
      </c>
      <c r="H879" s="19">
        <v>5.0</v>
      </c>
      <c r="I879" s="21" t="s">
        <v>2366</v>
      </c>
      <c r="J879" s="22" t="s">
        <v>2521</v>
      </c>
    </row>
    <row r="880">
      <c r="A880" s="15" t="s">
        <v>3590</v>
      </c>
      <c r="B880" s="16">
        <v>45104.0</v>
      </c>
      <c r="C880" s="17">
        <v>45107.0</v>
      </c>
      <c r="D880" s="18">
        <v>54.0</v>
      </c>
      <c r="E880" s="19">
        <v>20.0</v>
      </c>
      <c r="F880" s="20">
        <v>66200.0</v>
      </c>
      <c r="G880" s="21" t="s">
        <v>2711</v>
      </c>
      <c r="H880" s="19">
        <v>4.0</v>
      </c>
      <c r="I880" s="21" t="s">
        <v>1351</v>
      </c>
      <c r="J880" s="22" t="s">
        <v>2521</v>
      </c>
    </row>
    <row r="881">
      <c r="A881" s="15" t="s">
        <v>3591</v>
      </c>
      <c r="B881" s="16">
        <v>45104.0</v>
      </c>
      <c r="C881" s="17">
        <v>45108.0</v>
      </c>
      <c r="D881" s="18">
        <v>1.0</v>
      </c>
      <c r="E881" s="19">
        <v>3.0</v>
      </c>
      <c r="F881" s="20">
        <v>16000.0</v>
      </c>
      <c r="G881" s="21" t="s">
        <v>2711</v>
      </c>
      <c r="H881" s="19">
        <v>4.0</v>
      </c>
      <c r="I881" s="21" t="s">
        <v>1089</v>
      </c>
      <c r="J881" s="22" t="s">
        <v>2687</v>
      </c>
    </row>
    <row r="882">
      <c r="A882" s="15" t="s">
        <v>3592</v>
      </c>
      <c r="B882" s="16">
        <v>45104.0</v>
      </c>
      <c r="C882" s="17">
        <v>45106.0</v>
      </c>
      <c r="D882" s="18">
        <v>14.0</v>
      </c>
      <c r="E882" s="19">
        <v>7.0</v>
      </c>
      <c r="F882" s="20">
        <v>24000.0</v>
      </c>
      <c r="G882" s="21" t="s">
        <v>2711</v>
      </c>
      <c r="H882" s="19">
        <v>4.0</v>
      </c>
      <c r="I882" s="21" t="s">
        <v>1386</v>
      </c>
      <c r="J882" s="22" t="s">
        <v>2627</v>
      </c>
    </row>
    <row r="883">
      <c r="A883" s="15" t="s">
        <v>3593</v>
      </c>
      <c r="B883" s="16">
        <v>45104.0</v>
      </c>
      <c r="C883" s="17">
        <v>45109.0</v>
      </c>
      <c r="D883" s="18">
        <v>5.0</v>
      </c>
      <c r="E883" s="19">
        <v>3.0</v>
      </c>
      <c r="F883" s="20">
        <v>16000.0</v>
      </c>
      <c r="G883" s="21" t="s">
        <v>2711</v>
      </c>
      <c r="H883" s="19">
        <v>5.0</v>
      </c>
      <c r="I883" s="21" t="s">
        <v>1969</v>
      </c>
      <c r="J883" s="22" t="s">
        <v>2642</v>
      </c>
    </row>
    <row r="884">
      <c r="A884" s="15" t="s">
        <v>3594</v>
      </c>
      <c r="B884" s="16">
        <v>45104.0</v>
      </c>
      <c r="C884" s="17">
        <v>45108.0</v>
      </c>
      <c r="D884" s="18">
        <v>5.0</v>
      </c>
      <c r="E884" s="19">
        <v>3.0</v>
      </c>
      <c r="F884" s="20">
        <v>16000.0</v>
      </c>
      <c r="G884" s="21" t="s">
        <v>2711</v>
      </c>
      <c r="H884" s="19">
        <v>5.0</v>
      </c>
      <c r="I884" s="21" t="s">
        <v>402</v>
      </c>
      <c r="J884" s="22" t="s">
        <v>2602</v>
      </c>
    </row>
    <row r="885">
      <c r="A885" s="15" t="s">
        <v>3595</v>
      </c>
      <c r="B885" s="16">
        <v>45104.0</v>
      </c>
      <c r="C885" s="17">
        <v>45107.0</v>
      </c>
      <c r="D885" s="18">
        <v>16.0</v>
      </c>
      <c r="E885" s="19">
        <v>4.0</v>
      </c>
      <c r="F885" s="20">
        <v>22800.0</v>
      </c>
      <c r="G885" s="21" t="s">
        <v>2711</v>
      </c>
      <c r="H885" s="19">
        <v>4.0</v>
      </c>
      <c r="I885" s="21" t="s">
        <v>2124</v>
      </c>
      <c r="J885" s="22" t="s">
        <v>2484</v>
      </c>
    </row>
    <row r="886">
      <c r="A886" s="15" t="s">
        <v>3596</v>
      </c>
      <c r="B886" s="16">
        <v>45104.0</v>
      </c>
      <c r="C886" s="17">
        <v>45107.0</v>
      </c>
      <c r="D886" s="18">
        <v>78.0</v>
      </c>
      <c r="E886" s="19">
        <v>22.0</v>
      </c>
      <c r="F886" s="20">
        <v>77400.0</v>
      </c>
      <c r="G886" s="21" t="s">
        <v>2711</v>
      </c>
      <c r="H886" s="19">
        <v>5.0</v>
      </c>
      <c r="I886" s="21" t="s">
        <v>510</v>
      </c>
      <c r="J886" s="22" t="s">
        <v>2521</v>
      </c>
    </row>
    <row r="887">
      <c r="A887" s="15" t="s">
        <v>3597</v>
      </c>
      <c r="B887" s="16">
        <v>45104.0</v>
      </c>
      <c r="C887" s="17">
        <v>45108.0</v>
      </c>
      <c r="D887" s="18">
        <v>33.0</v>
      </c>
      <c r="E887" s="19">
        <v>12.0</v>
      </c>
      <c r="F887" s="20">
        <v>43900.0</v>
      </c>
      <c r="G887" s="21" t="s">
        <v>2711</v>
      </c>
      <c r="H887" s="19">
        <v>5.0</v>
      </c>
      <c r="I887" s="21" t="s">
        <v>775</v>
      </c>
      <c r="J887" s="22" t="s">
        <v>2521</v>
      </c>
    </row>
    <row r="888">
      <c r="A888" s="15" t="s">
        <v>3598</v>
      </c>
      <c r="B888" s="16">
        <v>45104.0</v>
      </c>
      <c r="C888" s="17">
        <v>45105.0</v>
      </c>
      <c r="D888" s="18">
        <v>6.0</v>
      </c>
      <c r="E888" s="19">
        <v>1.0</v>
      </c>
      <c r="F888" s="20">
        <v>12000.0</v>
      </c>
      <c r="G888" s="21" t="s">
        <v>2711</v>
      </c>
      <c r="H888" s="19">
        <v>4.0</v>
      </c>
      <c r="I888" s="21" t="s">
        <v>2224</v>
      </c>
      <c r="J888" s="22" t="s">
        <v>2506</v>
      </c>
    </row>
    <row r="889">
      <c r="A889" s="15" t="s">
        <v>3599</v>
      </c>
      <c r="B889" s="16">
        <v>45104.0</v>
      </c>
      <c r="C889" s="17">
        <v>45105.0</v>
      </c>
      <c r="D889" s="18">
        <v>4.0</v>
      </c>
      <c r="E889" s="19">
        <v>1.0</v>
      </c>
      <c r="F889" s="20">
        <v>12000.0</v>
      </c>
      <c r="G889" s="21" t="s">
        <v>2711</v>
      </c>
      <c r="H889" s="19">
        <v>5.0</v>
      </c>
      <c r="I889" s="21" t="s">
        <v>350</v>
      </c>
      <c r="J889" s="22" t="s">
        <v>2632</v>
      </c>
    </row>
    <row r="890">
      <c r="A890" s="15" t="s">
        <v>3600</v>
      </c>
      <c r="B890" s="16">
        <v>45104.0</v>
      </c>
      <c r="C890" s="17">
        <v>45109.0</v>
      </c>
      <c r="D890" s="18">
        <v>2.0</v>
      </c>
      <c r="E890" s="19">
        <v>2.0</v>
      </c>
      <c r="F890" s="20">
        <v>14000.0</v>
      </c>
      <c r="G890" s="21" t="s">
        <v>2711</v>
      </c>
      <c r="H890" s="19">
        <v>5.0</v>
      </c>
      <c r="I890" s="21" t="s">
        <v>1721</v>
      </c>
      <c r="J890" s="22" t="s">
        <v>2547</v>
      </c>
    </row>
    <row r="891">
      <c r="A891" s="15" t="s">
        <v>3601</v>
      </c>
      <c r="B891" s="16">
        <v>45104.0</v>
      </c>
      <c r="C891" s="17">
        <v>45108.0</v>
      </c>
      <c r="D891" s="18">
        <v>3.0</v>
      </c>
      <c r="E891" s="19">
        <v>3.0</v>
      </c>
      <c r="F891" s="20">
        <v>16000.0</v>
      </c>
      <c r="G891" s="21" t="s">
        <v>2711</v>
      </c>
      <c r="H891" s="19">
        <v>4.0</v>
      </c>
      <c r="I891" s="21" t="s">
        <v>2164</v>
      </c>
      <c r="J891" s="22" t="s">
        <v>2547</v>
      </c>
    </row>
    <row r="892">
      <c r="A892" s="15" t="s">
        <v>3602</v>
      </c>
      <c r="B892" s="16">
        <v>45104.0</v>
      </c>
      <c r="C892" s="17">
        <v>45106.0</v>
      </c>
      <c r="D892" s="18">
        <v>3.0</v>
      </c>
      <c r="E892" s="19">
        <v>2.0</v>
      </c>
      <c r="F892" s="20">
        <v>14000.0</v>
      </c>
      <c r="G892" s="21" t="s">
        <v>2711</v>
      </c>
      <c r="H892" s="19">
        <v>5.0</v>
      </c>
      <c r="I892" s="21" t="s">
        <v>334</v>
      </c>
      <c r="J892" s="22" t="s">
        <v>2652</v>
      </c>
    </row>
    <row r="893">
      <c r="A893" s="15" t="s">
        <v>3603</v>
      </c>
      <c r="B893" s="16">
        <v>45104.0</v>
      </c>
      <c r="C893" s="17">
        <v>45107.0</v>
      </c>
      <c r="D893" s="18">
        <v>3.0</v>
      </c>
      <c r="E893" s="19">
        <v>3.0</v>
      </c>
      <c r="F893" s="20">
        <v>16000.0</v>
      </c>
      <c r="G893" s="21" t="s">
        <v>2711</v>
      </c>
      <c r="H893" s="19">
        <v>4.0</v>
      </c>
      <c r="I893" s="21" t="s">
        <v>2232</v>
      </c>
      <c r="J893" s="22" t="s">
        <v>2496</v>
      </c>
      <c r="K893" s="27"/>
    </row>
    <row r="894">
      <c r="A894" s="15" t="s">
        <v>3604</v>
      </c>
      <c r="B894" s="16">
        <v>45104.0</v>
      </c>
      <c r="C894" s="17">
        <v>45107.0</v>
      </c>
      <c r="D894" s="18">
        <v>4.0</v>
      </c>
      <c r="E894" s="19">
        <v>3.0</v>
      </c>
      <c r="F894" s="20">
        <v>16000.0</v>
      </c>
      <c r="G894" s="21" t="s">
        <v>2711</v>
      </c>
      <c r="H894" s="19">
        <v>4.0</v>
      </c>
      <c r="I894" s="21" t="s">
        <v>526</v>
      </c>
      <c r="J894" s="22" t="s">
        <v>2516</v>
      </c>
    </row>
    <row r="895">
      <c r="A895" s="15" t="s">
        <v>3605</v>
      </c>
      <c r="B895" s="17">
        <v>45105.0</v>
      </c>
      <c r="C895" s="17">
        <f>B895 + RANDBETWEEN(1,5)</f>
        <v>45110</v>
      </c>
      <c r="D895" s="18">
        <v>4.0</v>
      </c>
      <c r="E895" s="19">
        <v>3.0</v>
      </c>
      <c r="F895" s="20">
        <v>16000.0</v>
      </c>
      <c r="G895" s="21" t="s">
        <v>2711</v>
      </c>
      <c r="H895" s="19">
        <v>5.0</v>
      </c>
      <c r="I895" s="21" t="s">
        <v>1886</v>
      </c>
      <c r="J895" s="22" t="s">
        <v>2511</v>
      </c>
    </row>
    <row r="896">
      <c r="A896" s="15" t="s">
        <v>3606</v>
      </c>
      <c r="B896" s="16">
        <v>45105.0</v>
      </c>
      <c r="C896" s="17">
        <v>45107.0</v>
      </c>
      <c r="D896" s="18">
        <v>5.0</v>
      </c>
      <c r="E896" s="19">
        <v>2.0</v>
      </c>
      <c r="F896" s="20">
        <v>14000.0</v>
      </c>
      <c r="G896" s="21" t="s">
        <v>2711</v>
      </c>
      <c r="H896" s="19">
        <v>4.0</v>
      </c>
      <c r="I896" s="21" t="s">
        <v>1732</v>
      </c>
      <c r="J896" s="22" t="s">
        <v>2617</v>
      </c>
    </row>
    <row r="897">
      <c r="A897" s="15" t="s">
        <v>3607</v>
      </c>
      <c r="B897" s="16">
        <v>45105.0</v>
      </c>
      <c r="C897" s="17">
        <v>45109.0</v>
      </c>
      <c r="D897" s="18">
        <v>2.0</v>
      </c>
      <c r="E897" s="19">
        <v>1.0</v>
      </c>
      <c r="F897" s="20">
        <v>12000.0</v>
      </c>
      <c r="G897" s="21" t="s">
        <v>2711</v>
      </c>
      <c r="H897" s="19">
        <v>4.0</v>
      </c>
      <c r="I897" s="21" t="s">
        <v>494</v>
      </c>
      <c r="J897" s="22" t="s">
        <v>2682</v>
      </c>
    </row>
    <row r="898">
      <c r="A898" s="15" t="s">
        <v>3608</v>
      </c>
      <c r="B898" s="16">
        <v>45105.0</v>
      </c>
      <c r="C898" s="17">
        <v>45106.0</v>
      </c>
      <c r="D898" s="18">
        <v>64.0</v>
      </c>
      <c r="E898" s="19">
        <v>13.0</v>
      </c>
      <c r="F898" s="20">
        <v>55200.0</v>
      </c>
      <c r="G898" s="21" t="s">
        <v>2711</v>
      </c>
      <c r="H898" s="19">
        <v>5.0</v>
      </c>
      <c r="I898" s="21" t="s">
        <v>1906</v>
      </c>
      <c r="J898" s="22" t="s">
        <v>2521</v>
      </c>
    </row>
    <row r="899">
      <c r="A899" s="15" t="s">
        <v>3609</v>
      </c>
      <c r="B899" s="16">
        <v>45105.0</v>
      </c>
      <c r="C899" s="17">
        <v>45107.0</v>
      </c>
      <c r="D899" s="18">
        <v>5.0</v>
      </c>
      <c r="E899" s="19">
        <v>2.0</v>
      </c>
      <c r="F899" s="20">
        <v>14000.0</v>
      </c>
      <c r="G899" s="21" t="s">
        <v>2711</v>
      </c>
      <c r="H899" s="19">
        <v>4.0</v>
      </c>
      <c r="I899" s="21" t="s">
        <v>1212</v>
      </c>
      <c r="J899" s="22" t="s">
        <v>2532</v>
      </c>
    </row>
    <row r="900">
      <c r="A900" s="15" t="s">
        <v>3610</v>
      </c>
      <c r="B900" s="16">
        <v>45105.0</v>
      </c>
      <c r="C900" s="17">
        <v>45107.0</v>
      </c>
      <c r="D900" s="18">
        <v>10.0</v>
      </c>
      <c r="E900" s="19">
        <v>4.0</v>
      </c>
      <c r="F900" s="20">
        <v>18000.0</v>
      </c>
      <c r="G900" s="21" t="s">
        <v>2711</v>
      </c>
      <c r="H900" s="19">
        <v>5.0</v>
      </c>
      <c r="I900" s="21" t="s">
        <v>2156</v>
      </c>
      <c r="J900" s="22" t="s">
        <v>2637</v>
      </c>
    </row>
    <row r="901">
      <c r="A901" s="15" t="s">
        <v>3611</v>
      </c>
      <c r="B901" s="16">
        <v>45105.0</v>
      </c>
      <c r="C901" s="17">
        <v>45108.0</v>
      </c>
      <c r="D901" s="18">
        <v>8.0</v>
      </c>
      <c r="E901" s="19">
        <v>10.0</v>
      </c>
      <c r="F901" s="20">
        <v>30000.0</v>
      </c>
      <c r="G901" s="21" t="s">
        <v>2711</v>
      </c>
      <c r="H901" s="19">
        <v>4.0</v>
      </c>
      <c r="I901" s="21" t="s">
        <v>1717</v>
      </c>
      <c r="J901" s="22" t="s">
        <v>2662</v>
      </c>
    </row>
    <row r="902">
      <c r="A902" s="15" t="s">
        <v>3612</v>
      </c>
      <c r="B902" s="16">
        <v>45105.0</v>
      </c>
      <c r="C902" s="17">
        <v>45106.0</v>
      </c>
      <c r="D902" s="18">
        <v>6.0</v>
      </c>
      <c r="E902" s="19">
        <v>3.0</v>
      </c>
      <c r="F902" s="20">
        <v>16000.0</v>
      </c>
      <c r="G902" s="21" t="s">
        <v>2711</v>
      </c>
      <c r="H902" s="19">
        <v>4.0</v>
      </c>
      <c r="I902" s="21" t="s">
        <v>1109</v>
      </c>
      <c r="J902" s="22" t="s">
        <v>2547</v>
      </c>
    </row>
    <row r="903">
      <c r="A903" s="15" t="s">
        <v>3613</v>
      </c>
      <c r="B903" s="16">
        <v>45105.0</v>
      </c>
      <c r="C903" s="17">
        <v>45109.0</v>
      </c>
      <c r="D903" s="18">
        <v>3.0</v>
      </c>
      <c r="E903" s="19">
        <v>1.0</v>
      </c>
      <c r="F903" s="20">
        <v>12000.0</v>
      </c>
      <c r="G903" s="21" t="s">
        <v>2711</v>
      </c>
      <c r="H903" s="19">
        <v>5.0</v>
      </c>
      <c r="I903" s="21" t="s">
        <v>2224</v>
      </c>
      <c r="J903" s="22" t="s">
        <v>2582</v>
      </c>
    </row>
    <row r="904">
      <c r="A904" s="15" t="s">
        <v>3614</v>
      </c>
      <c r="B904" s="16">
        <v>45105.0</v>
      </c>
      <c r="C904" s="17">
        <v>45108.0</v>
      </c>
      <c r="D904" s="18">
        <v>12.0</v>
      </c>
      <c r="E904" s="19">
        <v>9.0</v>
      </c>
      <c r="F904" s="20">
        <v>28000.0</v>
      </c>
      <c r="G904" s="21" t="s">
        <v>2711</v>
      </c>
      <c r="H904" s="19">
        <v>5.0</v>
      </c>
      <c r="I904" s="21" t="s">
        <v>334</v>
      </c>
      <c r="J904" s="22" t="s">
        <v>2537</v>
      </c>
    </row>
    <row r="905">
      <c r="A905" s="15" t="s">
        <v>3615</v>
      </c>
      <c r="B905" s="16">
        <v>45105.0</v>
      </c>
      <c r="C905" s="17">
        <v>45108.0</v>
      </c>
      <c r="D905" s="18">
        <v>13.0</v>
      </c>
      <c r="E905" s="19">
        <v>9.0</v>
      </c>
      <c r="F905" s="20">
        <v>28000.0</v>
      </c>
      <c r="G905" s="21" t="s">
        <v>2711</v>
      </c>
      <c r="H905" s="19">
        <v>5.0</v>
      </c>
      <c r="I905" s="21" t="s">
        <v>202</v>
      </c>
      <c r="J905" s="22" t="s">
        <v>2501</v>
      </c>
    </row>
    <row r="906">
      <c r="A906" s="15" t="s">
        <v>3616</v>
      </c>
      <c r="B906" s="16">
        <v>45105.0</v>
      </c>
      <c r="C906" s="17">
        <v>45106.0</v>
      </c>
      <c r="D906" s="18">
        <v>61.0</v>
      </c>
      <c r="E906" s="19">
        <v>17.0</v>
      </c>
      <c r="F906" s="20">
        <v>62300.0</v>
      </c>
      <c r="G906" s="21" t="s">
        <v>2711</v>
      </c>
      <c r="H906" s="19">
        <v>5.0</v>
      </c>
      <c r="I906" s="21" t="s">
        <v>118</v>
      </c>
      <c r="J906" s="22" t="s">
        <v>2521</v>
      </c>
    </row>
    <row r="907">
      <c r="A907" s="15" t="s">
        <v>3617</v>
      </c>
      <c r="B907" s="16">
        <v>45105.0</v>
      </c>
      <c r="C907" s="17">
        <v>45110.0</v>
      </c>
      <c r="D907" s="18">
        <v>5.0</v>
      </c>
      <c r="E907" s="19">
        <v>3.0</v>
      </c>
      <c r="F907" s="20">
        <v>16000.0</v>
      </c>
      <c r="G907" s="21" t="s">
        <v>2711</v>
      </c>
      <c r="H907" s="19">
        <v>5.0</v>
      </c>
      <c r="I907" s="21" t="s">
        <v>122</v>
      </c>
      <c r="J907" s="22" t="s">
        <v>2511</v>
      </c>
    </row>
    <row r="908">
      <c r="A908" s="15" t="s">
        <v>3618</v>
      </c>
      <c r="B908" s="16">
        <v>45105.0</v>
      </c>
      <c r="C908" s="17">
        <v>45109.0</v>
      </c>
      <c r="D908" s="18">
        <v>6.0</v>
      </c>
      <c r="E908" s="19">
        <v>3.0</v>
      </c>
      <c r="F908" s="20">
        <v>16000.0</v>
      </c>
      <c r="G908" s="21" t="s">
        <v>2711</v>
      </c>
      <c r="H908" s="19">
        <v>4.0</v>
      </c>
      <c r="I908" s="21" t="s">
        <v>338</v>
      </c>
      <c r="J908" s="22" t="s">
        <v>2632</v>
      </c>
    </row>
    <row r="909">
      <c r="A909" s="15" t="s">
        <v>3619</v>
      </c>
      <c r="B909" s="16">
        <v>45105.0</v>
      </c>
      <c r="C909" s="17">
        <v>45106.0</v>
      </c>
      <c r="D909" s="18">
        <v>6.0</v>
      </c>
      <c r="E909" s="19">
        <v>3.0</v>
      </c>
      <c r="F909" s="20">
        <v>16000.0</v>
      </c>
      <c r="G909" s="21" t="s">
        <v>2711</v>
      </c>
      <c r="H909" s="19">
        <v>5.0</v>
      </c>
      <c r="I909" s="21" t="s">
        <v>1268</v>
      </c>
      <c r="J909" s="22" t="s">
        <v>2597</v>
      </c>
    </row>
    <row r="910">
      <c r="A910" s="15" t="s">
        <v>3620</v>
      </c>
      <c r="B910" s="16">
        <v>45105.0</v>
      </c>
      <c r="C910" s="17">
        <v>45107.0</v>
      </c>
      <c r="D910" s="18">
        <v>4.0</v>
      </c>
      <c r="E910" s="19">
        <v>1.0</v>
      </c>
      <c r="F910" s="20">
        <v>12000.0</v>
      </c>
      <c r="G910" s="21" t="s">
        <v>2711</v>
      </c>
      <c r="H910" s="19">
        <v>5.0</v>
      </c>
      <c r="I910" s="21" t="s">
        <v>2389</v>
      </c>
      <c r="J910" s="22" t="s">
        <v>2597</v>
      </c>
    </row>
    <row r="911">
      <c r="A911" s="15" t="s">
        <v>3621</v>
      </c>
      <c r="B911" s="16">
        <v>45105.0</v>
      </c>
      <c r="C911" s="17">
        <v>45110.0</v>
      </c>
      <c r="D911" s="18">
        <v>1.0</v>
      </c>
      <c r="E911" s="19">
        <v>3.0</v>
      </c>
      <c r="F911" s="20">
        <v>16000.0</v>
      </c>
      <c r="G911" s="21" t="s">
        <v>2711</v>
      </c>
      <c r="H911" s="19">
        <v>5.0</v>
      </c>
      <c r="I911" s="21" t="s">
        <v>1105</v>
      </c>
      <c r="J911" s="22" t="s">
        <v>2506</v>
      </c>
    </row>
    <row r="912">
      <c r="A912" s="15" t="s">
        <v>3622</v>
      </c>
      <c r="B912" s="16">
        <v>45105.0</v>
      </c>
      <c r="C912" s="17">
        <v>45109.0</v>
      </c>
      <c r="D912" s="18">
        <v>1.0</v>
      </c>
      <c r="E912" s="19">
        <v>1.0</v>
      </c>
      <c r="F912" s="20">
        <v>12000.0</v>
      </c>
      <c r="G912" s="21" t="s">
        <v>2711</v>
      </c>
      <c r="H912" s="19">
        <v>5.0</v>
      </c>
      <c r="I912" s="21" t="s">
        <v>454</v>
      </c>
      <c r="J912" s="22" t="s">
        <v>2632</v>
      </c>
    </row>
    <row r="913">
      <c r="A913" s="15" t="s">
        <v>3623</v>
      </c>
      <c r="B913" s="16">
        <v>45105.0</v>
      </c>
      <c r="C913" s="17">
        <v>45110.0</v>
      </c>
      <c r="D913" s="18">
        <v>6.0</v>
      </c>
      <c r="E913" s="19">
        <v>1.0</v>
      </c>
      <c r="F913" s="20">
        <v>12000.0</v>
      </c>
      <c r="G913" s="21" t="s">
        <v>2711</v>
      </c>
      <c r="H913" s="19">
        <v>5.0</v>
      </c>
      <c r="I913" s="21" t="s">
        <v>1866</v>
      </c>
      <c r="J913" s="22" t="s">
        <v>2622</v>
      </c>
    </row>
    <row r="914">
      <c r="A914" s="15" t="s">
        <v>3624</v>
      </c>
      <c r="B914" s="16">
        <v>45105.0</v>
      </c>
      <c r="C914" s="17">
        <v>45107.0</v>
      </c>
      <c r="D914" s="18">
        <v>5.0</v>
      </c>
      <c r="E914" s="19">
        <v>3.0</v>
      </c>
      <c r="F914" s="20">
        <v>16000.0</v>
      </c>
      <c r="G914" s="21" t="s">
        <v>2711</v>
      </c>
      <c r="H914" s="19">
        <v>5.0</v>
      </c>
      <c r="I914" s="21" t="s">
        <v>2283</v>
      </c>
      <c r="J914" s="22" t="s">
        <v>2642</v>
      </c>
    </row>
    <row r="915">
      <c r="A915" s="15" t="s">
        <v>3625</v>
      </c>
      <c r="B915" s="16">
        <v>45105.0</v>
      </c>
      <c r="C915" s="17">
        <v>45109.0</v>
      </c>
      <c r="D915" s="18">
        <v>2.0</v>
      </c>
      <c r="E915" s="19">
        <v>3.0</v>
      </c>
      <c r="F915" s="20">
        <v>16000.0</v>
      </c>
      <c r="G915" s="21" t="s">
        <v>2711</v>
      </c>
      <c r="H915" s="19">
        <v>4.0</v>
      </c>
      <c r="I915" s="21" t="s">
        <v>2310</v>
      </c>
      <c r="J915" s="22" t="s">
        <v>2532</v>
      </c>
    </row>
    <row r="916">
      <c r="A916" s="15" t="s">
        <v>3626</v>
      </c>
      <c r="B916" s="16">
        <v>45105.0</v>
      </c>
      <c r="C916" s="17">
        <v>45109.0</v>
      </c>
      <c r="D916" s="18">
        <v>11.0</v>
      </c>
      <c r="E916" s="19">
        <v>7.0</v>
      </c>
      <c r="F916" s="20">
        <v>24000.0</v>
      </c>
      <c r="G916" s="21" t="s">
        <v>2711</v>
      </c>
      <c r="H916" s="19">
        <v>4.0</v>
      </c>
      <c r="I916" s="21" t="s">
        <v>2314</v>
      </c>
      <c r="J916" s="22" t="s">
        <v>2672</v>
      </c>
    </row>
    <row r="917">
      <c r="A917" s="15" t="s">
        <v>3627</v>
      </c>
      <c r="B917" s="16">
        <v>45105.0</v>
      </c>
      <c r="C917" s="17">
        <v>45109.0</v>
      </c>
      <c r="D917" s="18">
        <v>16.0</v>
      </c>
      <c r="E917" s="19">
        <v>7.0</v>
      </c>
      <c r="F917" s="20">
        <v>28800.0</v>
      </c>
      <c r="G917" s="21" t="s">
        <v>2711</v>
      </c>
      <c r="H917" s="19">
        <v>5.0</v>
      </c>
      <c r="I917" s="21" t="s">
        <v>1109</v>
      </c>
      <c r="J917" s="22" t="s">
        <v>2672</v>
      </c>
    </row>
    <row r="918">
      <c r="A918" s="15" t="s">
        <v>3628</v>
      </c>
      <c r="B918" s="16">
        <v>45105.0</v>
      </c>
      <c r="C918" s="17">
        <v>45110.0</v>
      </c>
      <c r="D918" s="18">
        <v>15.0</v>
      </c>
      <c r="E918" s="19">
        <v>6.0</v>
      </c>
      <c r="F918" s="20">
        <v>26500.0</v>
      </c>
      <c r="G918" s="21" t="s">
        <v>2711</v>
      </c>
      <c r="H918" s="19">
        <v>4.0</v>
      </c>
      <c r="I918" s="21" t="s">
        <v>70</v>
      </c>
      <c r="J918" s="22" t="s">
        <v>2672</v>
      </c>
    </row>
    <row r="919">
      <c r="A919" s="15" t="s">
        <v>3629</v>
      </c>
      <c r="B919" s="16">
        <v>45105.0</v>
      </c>
      <c r="C919" s="17">
        <v>45109.0</v>
      </c>
      <c r="D919" s="18">
        <v>1.0</v>
      </c>
      <c r="E919" s="19">
        <v>1.0</v>
      </c>
      <c r="F919" s="20">
        <v>12000.0</v>
      </c>
      <c r="G919" s="21" t="s">
        <v>2711</v>
      </c>
      <c r="H919" s="19">
        <v>4.0</v>
      </c>
      <c r="I919" s="21" t="s">
        <v>1109</v>
      </c>
      <c r="J919" s="22" t="s">
        <v>2511</v>
      </c>
      <c r="K919" s="27"/>
    </row>
    <row r="920">
      <c r="A920" s="15" t="s">
        <v>3630</v>
      </c>
      <c r="B920" s="16">
        <v>45105.0</v>
      </c>
      <c r="C920" s="17">
        <v>45107.0</v>
      </c>
      <c r="D920" s="18">
        <v>8.0</v>
      </c>
      <c r="E920" s="19">
        <v>4.0</v>
      </c>
      <c r="F920" s="20">
        <v>18000.0</v>
      </c>
      <c r="G920" s="21" t="s">
        <v>2711</v>
      </c>
      <c r="H920" s="19">
        <v>5.0</v>
      </c>
      <c r="I920" s="21" t="s">
        <v>850</v>
      </c>
      <c r="J920" s="22" t="s">
        <v>2501</v>
      </c>
      <c r="K920" s="27"/>
    </row>
    <row r="921">
      <c r="A921" s="15" t="s">
        <v>3631</v>
      </c>
      <c r="B921" s="17">
        <v>45106.0</v>
      </c>
      <c r="C921" s="17">
        <f t="shared" ref="C921:C922" si="9">B921 + RANDBETWEEN(1,5)</f>
        <v>45108</v>
      </c>
      <c r="D921" s="18">
        <v>1.0</v>
      </c>
      <c r="E921" s="19">
        <v>2.0</v>
      </c>
      <c r="F921" s="20">
        <v>14000.0</v>
      </c>
      <c r="G921" s="21" t="s">
        <v>2711</v>
      </c>
      <c r="H921" s="19">
        <v>5.0</v>
      </c>
      <c r="I921" s="21" t="s">
        <v>10</v>
      </c>
      <c r="J921" s="22" t="s">
        <v>2687</v>
      </c>
      <c r="K921" s="27"/>
    </row>
    <row r="922">
      <c r="A922" s="15" t="s">
        <v>3632</v>
      </c>
      <c r="B922" s="17">
        <v>45106.0</v>
      </c>
      <c r="C922" s="17">
        <f t="shared" si="9"/>
        <v>45111</v>
      </c>
      <c r="D922" s="18">
        <v>5.0</v>
      </c>
      <c r="E922" s="19">
        <v>3.0</v>
      </c>
      <c r="F922" s="20">
        <v>16000.0</v>
      </c>
      <c r="G922" s="21" t="s">
        <v>2711</v>
      </c>
      <c r="H922" s="19">
        <v>4.0</v>
      </c>
      <c r="I922" s="21" t="s">
        <v>2330</v>
      </c>
      <c r="J922" s="22" t="s">
        <v>2642</v>
      </c>
    </row>
    <row r="923">
      <c r="A923" s="15" t="s">
        <v>3633</v>
      </c>
      <c r="B923" s="16">
        <v>45106.0</v>
      </c>
      <c r="C923" s="17">
        <v>45111.0</v>
      </c>
      <c r="D923" s="18">
        <v>3.0</v>
      </c>
      <c r="E923" s="19">
        <v>3.0</v>
      </c>
      <c r="F923" s="20">
        <v>16000.0</v>
      </c>
      <c r="G923" s="21" t="s">
        <v>2711</v>
      </c>
      <c r="H923" s="19">
        <v>5.0</v>
      </c>
      <c r="I923" s="21" t="s">
        <v>266</v>
      </c>
      <c r="J923" s="22" t="s">
        <v>2597</v>
      </c>
    </row>
    <row r="924">
      <c r="A924" s="15" t="s">
        <v>3634</v>
      </c>
      <c r="B924" s="16">
        <v>45106.0</v>
      </c>
      <c r="C924" s="17">
        <v>45108.0</v>
      </c>
      <c r="D924" s="18">
        <v>3.0</v>
      </c>
      <c r="E924" s="19">
        <v>2.0</v>
      </c>
      <c r="F924" s="20">
        <v>14000.0</v>
      </c>
      <c r="G924" s="21" t="s">
        <v>2711</v>
      </c>
      <c r="H924" s="19">
        <v>4.0</v>
      </c>
      <c r="I924" s="21" t="s">
        <v>2306</v>
      </c>
      <c r="J924" s="22" t="s">
        <v>2687</v>
      </c>
    </row>
    <row r="925">
      <c r="A925" s="15" t="s">
        <v>3635</v>
      </c>
      <c r="B925" s="16">
        <v>45106.0</v>
      </c>
      <c r="C925" s="17">
        <v>45109.0</v>
      </c>
      <c r="D925" s="18">
        <v>5.0</v>
      </c>
      <c r="E925" s="19">
        <v>2.0</v>
      </c>
      <c r="F925" s="20">
        <v>14000.0</v>
      </c>
      <c r="G925" s="21" t="s">
        <v>2711</v>
      </c>
      <c r="H925" s="19">
        <v>4.0</v>
      </c>
      <c r="I925" s="21" t="s">
        <v>2192</v>
      </c>
      <c r="J925" s="22" t="s">
        <v>2506</v>
      </c>
    </row>
    <row r="926">
      <c r="A926" s="15" t="s">
        <v>3636</v>
      </c>
      <c r="B926" s="16">
        <v>45106.0</v>
      </c>
      <c r="C926" s="17">
        <v>45110.0</v>
      </c>
      <c r="D926" s="18">
        <v>16.0</v>
      </c>
      <c r="E926" s="19">
        <v>8.0</v>
      </c>
      <c r="F926" s="20">
        <v>30800.0</v>
      </c>
      <c r="G926" s="21" t="s">
        <v>2711</v>
      </c>
      <c r="H926" s="19">
        <v>4.0</v>
      </c>
      <c r="I926" s="21" t="s">
        <v>1232</v>
      </c>
      <c r="J926" s="22" t="s">
        <v>2607</v>
      </c>
    </row>
    <row r="927">
      <c r="A927" s="15" t="s">
        <v>3637</v>
      </c>
      <c r="B927" s="16">
        <v>45106.0</v>
      </c>
      <c r="C927" s="17">
        <v>45107.0</v>
      </c>
      <c r="D927" s="18">
        <v>4.0</v>
      </c>
      <c r="E927" s="19">
        <v>1.0</v>
      </c>
      <c r="F927" s="20">
        <v>12000.0</v>
      </c>
      <c r="G927" s="21" t="s">
        <v>2711</v>
      </c>
      <c r="H927" s="19">
        <v>5.0</v>
      </c>
      <c r="I927" s="21" t="s">
        <v>202</v>
      </c>
      <c r="J927" s="22" t="s">
        <v>2572</v>
      </c>
    </row>
    <row r="928">
      <c r="A928" s="15" t="s">
        <v>3638</v>
      </c>
      <c r="B928" s="16">
        <v>45106.0</v>
      </c>
      <c r="C928" s="17">
        <v>45107.0</v>
      </c>
      <c r="D928" s="18">
        <v>7.0</v>
      </c>
      <c r="E928" s="19">
        <v>8.0</v>
      </c>
      <c r="F928" s="20">
        <v>26000.0</v>
      </c>
      <c r="G928" s="21" t="s">
        <v>2711</v>
      </c>
      <c r="H928" s="19">
        <v>5.0</v>
      </c>
      <c r="I928" s="21" t="s">
        <v>1232</v>
      </c>
      <c r="J928" s="22" t="s">
        <v>2672</v>
      </c>
    </row>
    <row r="929">
      <c r="A929" s="15" t="s">
        <v>3639</v>
      </c>
      <c r="B929" s="16">
        <v>45106.0</v>
      </c>
      <c r="C929" s="17">
        <v>45107.0</v>
      </c>
      <c r="D929" s="18">
        <v>19.0</v>
      </c>
      <c r="E929" s="19">
        <v>8.0</v>
      </c>
      <c r="F929" s="20">
        <v>31700.0</v>
      </c>
      <c r="G929" s="21" t="s">
        <v>2711</v>
      </c>
      <c r="H929" s="19">
        <v>4.0</v>
      </c>
      <c r="I929" s="21" t="s">
        <v>2156</v>
      </c>
      <c r="J929" s="22" t="s">
        <v>2587</v>
      </c>
    </row>
    <row r="930">
      <c r="A930" s="15" t="s">
        <v>3640</v>
      </c>
      <c r="B930" s="16">
        <v>45106.0</v>
      </c>
      <c r="C930" s="17">
        <v>45109.0</v>
      </c>
      <c r="D930" s="18">
        <v>2.0</v>
      </c>
      <c r="E930" s="19">
        <v>3.0</v>
      </c>
      <c r="F930" s="20">
        <v>16000.0</v>
      </c>
      <c r="G930" s="21" t="s">
        <v>2711</v>
      </c>
      <c r="H930" s="19">
        <v>5.0</v>
      </c>
      <c r="I930" s="21" t="s">
        <v>965</v>
      </c>
      <c r="J930" s="22" t="s">
        <v>2622</v>
      </c>
    </row>
    <row r="931">
      <c r="A931" s="15" t="s">
        <v>3641</v>
      </c>
      <c r="B931" s="16">
        <v>45106.0</v>
      </c>
      <c r="C931" s="17">
        <v>45109.0</v>
      </c>
      <c r="D931" s="18">
        <v>5.0</v>
      </c>
      <c r="E931" s="19">
        <v>3.0</v>
      </c>
      <c r="F931" s="20">
        <v>16000.0</v>
      </c>
      <c r="G931" s="21" t="s">
        <v>2711</v>
      </c>
      <c r="H931" s="19">
        <v>5.0</v>
      </c>
      <c r="I931" s="21" t="s">
        <v>660</v>
      </c>
      <c r="J931" s="22" t="s">
        <v>2622</v>
      </c>
    </row>
    <row r="932">
      <c r="A932" s="15" t="s">
        <v>3642</v>
      </c>
      <c r="B932" s="16">
        <v>45106.0</v>
      </c>
      <c r="C932" s="17">
        <v>45108.0</v>
      </c>
      <c r="D932" s="18">
        <v>16.0</v>
      </c>
      <c r="E932" s="19">
        <v>6.0</v>
      </c>
      <c r="F932" s="20">
        <v>26800.0</v>
      </c>
      <c r="G932" s="21" t="s">
        <v>2711</v>
      </c>
      <c r="H932" s="19">
        <v>5.0</v>
      </c>
      <c r="I932" s="21" t="s">
        <v>1870</v>
      </c>
      <c r="J932" s="22" t="s">
        <v>2672</v>
      </c>
    </row>
    <row r="933">
      <c r="A933" s="15" t="s">
        <v>3643</v>
      </c>
      <c r="B933" s="16">
        <v>45106.0</v>
      </c>
      <c r="C933" s="17">
        <v>45111.0</v>
      </c>
      <c r="D933" s="18">
        <v>6.0</v>
      </c>
      <c r="E933" s="19">
        <v>2.0</v>
      </c>
      <c r="F933" s="20">
        <v>14000.0</v>
      </c>
      <c r="G933" s="21" t="s">
        <v>2711</v>
      </c>
      <c r="H933" s="19">
        <v>5.0</v>
      </c>
      <c r="I933" s="21" t="s">
        <v>370</v>
      </c>
      <c r="J933" s="22" t="s">
        <v>2577</v>
      </c>
    </row>
    <row r="934">
      <c r="A934" s="15" t="s">
        <v>3644</v>
      </c>
      <c r="B934" s="16">
        <v>45106.0</v>
      </c>
      <c r="C934" s="17">
        <v>45109.0</v>
      </c>
      <c r="D934" s="18">
        <v>9.0</v>
      </c>
      <c r="E934" s="19">
        <v>7.0</v>
      </c>
      <c r="F934" s="20">
        <v>24000.0</v>
      </c>
      <c r="G934" s="21" t="s">
        <v>2711</v>
      </c>
      <c r="H934" s="19">
        <v>4.0</v>
      </c>
      <c r="I934" s="21" t="s">
        <v>42</v>
      </c>
      <c r="J934" s="22" t="s">
        <v>2672</v>
      </c>
    </row>
    <row r="935">
      <c r="A935" s="15" t="s">
        <v>3645</v>
      </c>
      <c r="B935" s="16">
        <v>45106.0</v>
      </c>
      <c r="C935" s="17">
        <v>45110.0</v>
      </c>
      <c r="D935" s="18">
        <v>1.0</v>
      </c>
      <c r="E935" s="19">
        <v>3.0</v>
      </c>
      <c r="F935" s="20">
        <v>16000.0</v>
      </c>
      <c r="G935" s="21" t="s">
        <v>2711</v>
      </c>
      <c r="H935" s="19">
        <v>5.0</v>
      </c>
      <c r="I935" s="21" t="s">
        <v>993</v>
      </c>
      <c r="J935" s="22" t="s">
        <v>2567</v>
      </c>
    </row>
    <row r="936">
      <c r="A936" s="15" t="s">
        <v>3646</v>
      </c>
      <c r="B936" s="16">
        <v>45106.0</v>
      </c>
      <c r="C936" s="17">
        <v>45107.0</v>
      </c>
      <c r="D936" s="18">
        <v>2.0</v>
      </c>
      <c r="E936" s="19">
        <v>3.0</v>
      </c>
      <c r="F936" s="20">
        <v>16000.0</v>
      </c>
      <c r="G936" s="21" t="s">
        <v>2711</v>
      </c>
      <c r="H936" s="19">
        <v>4.0</v>
      </c>
      <c r="I936" s="21" t="s">
        <v>62</v>
      </c>
      <c r="J936" s="22" t="s">
        <v>2496</v>
      </c>
    </row>
    <row r="937">
      <c r="A937" s="15" t="s">
        <v>3647</v>
      </c>
      <c r="B937" s="16">
        <v>45106.0</v>
      </c>
      <c r="C937" s="17">
        <v>45107.0</v>
      </c>
      <c r="D937" s="18">
        <v>3.0</v>
      </c>
      <c r="E937" s="19">
        <v>3.0</v>
      </c>
      <c r="F937" s="20">
        <v>16000.0</v>
      </c>
      <c r="G937" s="21" t="s">
        <v>2711</v>
      </c>
      <c r="H937" s="19">
        <v>5.0</v>
      </c>
      <c r="I937" s="21" t="s">
        <v>577</v>
      </c>
      <c r="J937" s="22" t="s">
        <v>2527</v>
      </c>
    </row>
    <row r="938">
      <c r="A938" s="15" t="s">
        <v>3648</v>
      </c>
      <c r="B938" s="16">
        <v>45106.0</v>
      </c>
      <c r="C938" s="17">
        <v>45109.0</v>
      </c>
      <c r="D938" s="18">
        <v>2.0</v>
      </c>
      <c r="E938" s="19">
        <v>1.0</v>
      </c>
      <c r="F938" s="20">
        <v>12000.0</v>
      </c>
      <c r="G938" s="21" t="s">
        <v>2711</v>
      </c>
      <c r="H938" s="19">
        <v>4.0</v>
      </c>
      <c r="I938" s="21" t="s">
        <v>1021</v>
      </c>
      <c r="J938" s="22" t="s">
        <v>2511</v>
      </c>
    </row>
    <row r="939">
      <c r="A939" s="15" t="s">
        <v>3649</v>
      </c>
      <c r="B939" s="16">
        <v>45106.0</v>
      </c>
      <c r="C939" s="17">
        <v>45108.0</v>
      </c>
      <c r="D939" s="18">
        <v>3.0</v>
      </c>
      <c r="E939" s="19">
        <v>3.0</v>
      </c>
      <c r="F939" s="20">
        <v>16000.0</v>
      </c>
      <c r="G939" s="21" t="s">
        <v>2711</v>
      </c>
      <c r="H939" s="19">
        <v>4.0</v>
      </c>
      <c r="I939" s="21" t="s">
        <v>450</v>
      </c>
      <c r="J939" s="22" t="s">
        <v>2692</v>
      </c>
    </row>
    <row r="940">
      <c r="A940" s="15" t="s">
        <v>3650</v>
      </c>
      <c r="B940" s="16">
        <v>45106.0</v>
      </c>
      <c r="C940" s="17">
        <v>45108.0</v>
      </c>
      <c r="D940" s="18">
        <v>6.0</v>
      </c>
      <c r="E940" s="19">
        <v>1.0</v>
      </c>
      <c r="F940" s="20">
        <v>12000.0</v>
      </c>
      <c r="G940" s="21" t="s">
        <v>2711</v>
      </c>
      <c r="H940" s="19">
        <v>5.0</v>
      </c>
      <c r="I940" s="21" t="s">
        <v>194</v>
      </c>
      <c r="J940" s="22" t="s">
        <v>2567</v>
      </c>
    </row>
    <row r="941">
      <c r="A941" s="15" t="s">
        <v>3651</v>
      </c>
      <c r="B941" s="16">
        <v>45106.0</v>
      </c>
      <c r="C941" s="17">
        <v>45110.0</v>
      </c>
      <c r="D941" s="18">
        <v>6.0</v>
      </c>
      <c r="E941" s="19">
        <v>2.0</v>
      </c>
      <c r="F941" s="20">
        <v>14000.0</v>
      </c>
      <c r="G941" s="21" t="s">
        <v>2711</v>
      </c>
      <c r="H941" s="19">
        <v>5.0</v>
      </c>
      <c r="I941" s="21" t="s">
        <v>58</v>
      </c>
      <c r="J941" s="22" t="s">
        <v>2642</v>
      </c>
    </row>
    <row r="942">
      <c r="A942" s="15" t="s">
        <v>3652</v>
      </c>
      <c r="B942" s="16">
        <v>45106.0</v>
      </c>
      <c r="C942" s="17">
        <v>45108.0</v>
      </c>
      <c r="D942" s="18">
        <v>2.0</v>
      </c>
      <c r="E942" s="19">
        <v>3.0</v>
      </c>
      <c r="F942" s="20">
        <v>16000.0</v>
      </c>
      <c r="G942" s="21" t="s">
        <v>2711</v>
      </c>
      <c r="H942" s="19">
        <v>5.0</v>
      </c>
      <c r="I942" s="21" t="s">
        <v>561</v>
      </c>
      <c r="J942" s="22" t="s">
        <v>2622</v>
      </c>
    </row>
    <row r="943">
      <c r="A943" s="15" t="s">
        <v>3653</v>
      </c>
      <c r="B943" s="16">
        <v>45106.0</v>
      </c>
      <c r="C943" s="17">
        <v>45110.0</v>
      </c>
      <c r="D943" s="18">
        <v>18.0</v>
      </c>
      <c r="E943" s="19">
        <v>6.0</v>
      </c>
      <c r="F943" s="20">
        <v>27400.0</v>
      </c>
      <c r="G943" s="21" t="s">
        <v>2711</v>
      </c>
      <c r="H943" s="19">
        <v>5.0</v>
      </c>
      <c r="I943" s="21" t="s">
        <v>1985</v>
      </c>
      <c r="J943" s="22" t="s">
        <v>2672</v>
      </c>
    </row>
    <row r="944">
      <c r="A944" s="15" t="s">
        <v>3654</v>
      </c>
      <c r="B944" s="16">
        <v>45106.0</v>
      </c>
      <c r="C944" s="17">
        <v>45108.0</v>
      </c>
      <c r="D944" s="18">
        <v>6.0</v>
      </c>
      <c r="E944" s="19">
        <v>1.0</v>
      </c>
      <c r="F944" s="20">
        <v>12000.0</v>
      </c>
      <c r="G944" s="21" t="s">
        <v>2711</v>
      </c>
      <c r="H944" s="19">
        <v>4.0</v>
      </c>
      <c r="I944" s="21" t="s">
        <v>2216</v>
      </c>
      <c r="J944" s="22" t="s">
        <v>2632</v>
      </c>
    </row>
    <row r="945">
      <c r="A945" s="15" t="s">
        <v>3655</v>
      </c>
      <c r="B945" s="16">
        <v>45106.0</v>
      </c>
      <c r="C945" s="17">
        <v>45107.0</v>
      </c>
      <c r="D945" s="18">
        <v>13.0</v>
      </c>
      <c r="E945" s="19">
        <v>7.0</v>
      </c>
      <c r="F945" s="20">
        <v>24000.0</v>
      </c>
      <c r="G945" s="21" t="s">
        <v>2711</v>
      </c>
      <c r="H945" s="19">
        <v>4.0</v>
      </c>
      <c r="I945" s="21" t="s">
        <v>450</v>
      </c>
      <c r="J945" s="22" t="s">
        <v>2697</v>
      </c>
    </row>
    <row r="946">
      <c r="A946" s="15" t="s">
        <v>3656</v>
      </c>
      <c r="B946" s="16">
        <v>45106.0</v>
      </c>
      <c r="C946" s="17">
        <v>45109.0</v>
      </c>
      <c r="D946" s="18">
        <v>4.0</v>
      </c>
      <c r="E946" s="19">
        <v>1.0</v>
      </c>
      <c r="F946" s="20">
        <v>12000.0</v>
      </c>
      <c r="G946" s="21" t="s">
        <v>2711</v>
      </c>
      <c r="H946" s="19">
        <v>5.0</v>
      </c>
      <c r="I946" s="21" t="s">
        <v>589</v>
      </c>
      <c r="J946" s="22" t="s">
        <v>2652</v>
      </c>
    </row>
    <row r="947">
      <c r="A947" s="15" t="s">
        <v>3657</v>
      </c>
      <c r="B947" s="16">
        <v>45106.0</v>
      </c>
      <c r="C947" s="17">
        <v>45107.0</v>
      </c>
      <c r="D947" s="18">
        <v>11.0</v>
      </c>
      <c r="E947" s="19">
        <v>9.0</v>
      </c>
      <c r="F947" s="20">
        <v>28000.0</v>
      </c>
      <c r="G947" s="21" t="s">
        <v>2711</v>
      </c>
      <c r="H947" s="19">
        <v>5.0</v>
      </c>
      <c r="I947" s="21" t="s">
        <v>366</v>
      </c>
      <c r="J947" s="22" t="s">
        <v>2627</v>
      </c>
    </row>
    <row r="948">
      <c r="A948" s="15" t="s">
        <v>3658</v>
      </c>
      <c r="B948" s="16">
        <v>45106.0</v>
      </c>
      <c r="C948" s="17">
        <v>45110.0</v>
      </c>
      <c r="D948" s="18">
        <v>4.0</v>
      </c>
      <c r="E948" s="19">
        <v>1.0</v>
      </c>
      <c r="F948" s="20">
        <v>12000.0</v>
      </c>
      <c r="G948" s="21" t="s">
        <v>2711</v>
      </c>
      <c r="H948" s="19">
        <v>4.0</v>
      </c>
      <c r="I948" s="21" t="s">
        <v>1826</v>
      </c>
      <c r="J948" s="22" t="s">
        <v>2532</v>
      </c>
    </row>
    <row r="949">
      <c r="A949" s="15" t="s">
        <v>3659</v>
      </c>
      <c r="B949" s="16">
        <v>45106.0</v>
      </c>
      <c r="C949" s="17">
        <v>45110.0</v>
      </c>
      <c r="D949" s="18">
        <v>6.0</v>
      </c>
      <c r="E949" s="19">
        <v>1.0</v>
      </c>
      <c r="F949" s="20">
        <v>12000.0</v>
      </c>
      <c r="G949" s="21" t="s">
        <v>2711</v>
      </c>
      <c r="H949" s="19">
        <v>5.0</v>
      </c>
      <c r="I949" s="21" t="s">
        <v>898</v>
      </c>
      <c r="J949" s="22" t="s">
        <v>2642</v>
      </c>
    </row>
    <row r="950">
      <c r="A950" s="15" t="s">
        <v>3660</v>
      </c>
      <c r="B950" s="16">
        <v>45106.0</v>
      </c>
      <c r="C950" s="17">
        <v>45110.0</v>
      </c>
      <c r="D950" s="18">
        <v>17.0</v>
      </c>
      <c r="E950" s="19">
        <v>10.0</v>
      </c>
      <c r="F950" s="20">
        <v>35100.0</v>
      </c>
      <c r="G950" s="21" t="s">
        <v>2711</v>
      </c>
      <c r="H950" s="19">
        <v>4.0</v>
      </c>
      <c r="I950" s="21" t="s">
        <v>106</v>
      </c>
      <c r="J950" s="22" t="s">
        <v>2484</v>
      </c>
    </row>
    <row r="951">
      <c r="A951" s="15" t="s">
        <v>3661</v>
      </c>
      <c r="B951" s="16">
        <v>45106.0</v>
      </c>
      <c r="C951" s="17">
        <v>45108.0</v>
      </c>
      <c r="D951" s="18">
        <v>5.0</v>
      </c>
      <c r="E951" s="19">
        <v>1.0</v>
      </c>
      <c r="F951" s="20">
        <v>12000.0</v>
      </c>
      <c r="G951" s="21" t="s">
        <v>2711</v>
      </c>
      <c r="H951" s="19">
        <v>5.0</v>
      </c>
      <c r="I951" s="21" t="s">
        <v>1894</v>
      </c>
      <c r="J951" s="22" t="s">
        <v>2602</v>
      </c>
      <c r="K951" s="27"/>
    </row>
    <row r="952">
      <c r="A952" s="15" t="s">
        <v>3662</v>
      </c>
      <c r="B952" s="16">
        <v>45106.0</v>
      </c>
      <c r="C952" s="17">
        <v>45108.0</v>
      </c>
      <c r="D952" s="18">
        <v>20.0</v>
      </c>
      <c r="E952" s="19">
        <v>9.0</v>
      </c>
      <c r="F952" s="20">
        <v>34000.0</v>
      </c>
      <c r="G952" s="21" t="s">
        <v>2711</v>
      </c>
      <c r="H952" s="19">
        <v>5.0</v>
      </c>
      <c r="I952" s="21" t="s">
        <v>2425</v>
      </c>
      <c r="J952" s="22" t="s">
        <v>2672</v>
      </c>
    </row>
    <row r="953">
      <c r="A953" s="15" t="s">
        <v>3663</v>
      </c>
      <c r="B953" s="16">
        <v>45106.0</v>
      </c>
      <c r="C953" s="17">
        <v>45109.0</v>
      </c>
      <c r="D953" s="18">
        <v>4.0</v>
      </c>
      <c r="E953" s="19">
        <v>3.0</v>
      </c>
      <c r="F953" s="20">
        <v>16000.0</v>
      </c>
      <c r="G953" s="21" t="s">
        <v>2711</v>
      </c>
      <c r="H953" s="19">
        <v>5.0</v>
      </c>
      <c r="I953" s="21" t="s">
        <v>2251</v>
      </c>
      <c r="J953" s="22" t="s">
        <v>2582</v>
      </c>
    </row>
    <row r="954">
      <c r="A954" s="15" t="s">
        <v>3664</v>
      </c>
      <c r="B954" s="16">
        <v>45106.0</v>
      </c>
      <c r="C954" s="17">
        <v>45107.0</v>
      </c>
      <c r="D954" s="18">
        <v>18.0</v>
      </c>
      <c r="E954" s="19">
        <v>7.0</v>
      </c>
      <c r="F954" s="20">
        <v>29400.0</v>
      </c>
      <c r="G954" s="21" t="s">
        <v>2711</v>
      </c>
      <c r="H954" s="19">
        <v>5.0</v>
      </c>
      <c r="I954" s="21" t="s">
        <v>1355</v>
      </c>
      <c r="J954" s="22" t="s">
        <v>2607</v>
      </c>
    </row>
    <row r="955">
      <c r="A955" s="15" t="s">
        <v>3665</v>
      </c>
      <c r="B955" s="17">
        <v>45107.0</v>
      </c>
      <c r="C955" s="17">
        <f>B955 + RANDBETWEEN(1,5)</f>
        <v>45109</v>
      </c>
      <c r="D955" s="18">
        <v>1.0</v>
      </c>
      <c r="E955" s="19">
        <v>2.0</v>
      </c>
      <c r="F955" s="20">
        <v>14000.0</v>
      </c>
      <c r="G955" s="21" t="s">
        <v>2711</v>
      </c>
      <c r="H955" s="19">
        <v>4.0</v>
      </c>
      <c r="I955" s="21" t="s">
        <v>1316</v>
      </c>
      <c r="J955" s="22" t="s">
        <v>2582</v>
      </c>
    </row>
    <row r="956">
      <c r="A956" s="15" t="s">
        <v>3666</v>
      </c>
      <c r="B956" s="16">
        <v>45107.0</v>
      </c>
      <c r="C956" s="17">
        <v>45112.0</v>
      </c>
      <c r="D956" s="18">
        <v>1.0</v>
      </c>
      <c r="E956" s="19">
        <v>1.0</v>
      </c>
      <c r="F956" s="20">
        <v>12000.0</v>
      </c>
      <c r="G956" s="21" t="s">
        <v>2711</v>
      </c>
      <c r="H956" s="19">
        <v>5.0</v>
      </c>
      <c r="I956" s="21" t="s">
        <v>30</v>
      </c>
      <c r="J956" s="22" t="s">
        <v>2516</v>
      </c>
    </row>
    <row r="957">
      <c r="A957" s="15" t="s">
        <v>3667</v>
      </c>
      <c r="B957" s="16">
        <v>45107.0</v>
      </c>
      <c r="C957" s="17">
        <v>45111.0</v>
      </c>
      <c r="D957" s="18">
        <v>15.0</v>
      </c>
      <c r="E957" s="19">
        <v>9.0</v>
      </c>
      <c r="F957" s="20">
        <v>32500.0</v>
      </c>
      <c r="G957" s="21" t="s">
        <v>2711</v>
      </c>
      <c r="H957" s="19">
        <v>5.0</v>
      </c>
      <c r="I957" s="21" t="s">
        <v>803</v>
      </c>
      <c r="J957" s="22" t="s">
        <v>2662</v>
      </c>
    </row>
    <row r="958">
      <c r="A958" s="15" t="s">
        <v>3668</v>
      </c>
      <c r="B958" s="16">
        <v>45107.0</v>
      </c>
      <c r="C958" s="17">
        <v>45109.0</v>
      </c>
      <c r="D958" s="18">
        <v>3.0</v>
      </c>
      <c r="E958" s="19">
        <v>3.0</v>
      </c>
      <c r="F958" s="20">
        <v>16000.0</v>
      </c>
      <c r="G958" s="21" t="s">
        <v>2711</v>
      </c>
      <c r="H958" s="19">
        <v>5.0</v>
      </c>
      <c r="I958" s="21" t="s">
        <v>783</v>
      </c>
      <c r="J958" s="22" t="s">
        <v>2532</v>
      </c>
    </row>
    <row r="959">
      <c r="A959" s="15" t="s">
        <v>3669</v>
      </c>
      <c r="B959" s="16">
        <v>45107.0</v>
      </c>
      <c r="C959" s="17">
        <v>45109.0</v>
      </c>
      <c r="D959" s="18">
        <v>6.0</v>
      </c>
      <c r="E959" s="19">
        <v>1.0</v>
      </c>
      <c r="F959" s="20">
        <v>12000.0</v>
      </c>
      <c r="G959" s="21" t="s">
        <v>2711</v>
      </c>
      <c r="H959" s="19">
        <v>4.0</v>
      </c>
      <c r="I959" s="21" t="s">
        <v>2290</v>
      </c>
      <c r="J959" s="22" t="s">
        <v>2632</v>
      </c>
    </row>
    <row r="960">
      <c r="A960" s="15" t="s">
        <v>3670</v>
      </c>
      <c r="B960" s="16">
        <v>45107.0</v>
      </c>
      <c r="C960" s="17">
        <v>45108.0</v>
      </c>
      <c r="D960" s="18">
        <v>11.0</v>
      </c>
      <c r="E960" s="19">
        <v>9.0</v>
      </c>
      <c r="F960" s="20">
        <v>28000.0</v>
      </c>
      <c r="G960" s="21" t="s">
        <v>2711</v>
      </c>
      <c r="H960" s="19">
        <v>4.0</v>
      </c>
      <c r="I960" s="21" t="s">
        <v>2271</v>
      </c>
      <c r="J960" s="22" t="s">
        <v>2607</v>
      </c>
    </row>
    <row r="961">
      <c r="A961" s="15" t="s">
        <v>3671</v>
      </c>
      <c r="B961" s="16">
        <v>45107.0</v>
      </c>
      <c r="C961" s="17">
        <v>45112.0</v>
      </c>
      <c r="D961" s="18">
        <v>9.0</v>
      </c>
      <c r="E961" s="19">
        <v>8.0</v>
      </c>
      <c r="F961" s="20">
        <v>26000.0</v>
      </c>
      <c r="G961" s="21" t="s">
        <v>2711</v>
      </c>
      <c r="H961" s="19">
        <v>5.0</v>
      </c>
      <c r="I961" s="21" t="s">
        <v>537</v>
      </c>
      <c r="J961" s="22" t="s">
        <v>2627</v>
      </c>
    </row>
    <row r="962">
      <c r="A962" s="15" t="s">
        <v>3672</v>
      </c>
      <c r="B962" s="16">
        <v>45107.0</v>
      </c>
      <c r="C962" s="17">
        <v>45112.0</v>
      </c>
      <c r="D962" s="18">
        <v>18.0</v>
      </c>
      <c r="E962" s="19">
        <v>4.0</v>
      </c>
      <c r="F962" s="20">
        <v>23400.0</v>
      </c>
      <c r="G962" s="21" t="s">
        <v>2711</v>
      </c>
      <c r="H962" s="19">
        <v>5.0</v>
      </c>
      <c r="I962" s="21" t="s">
        <v>2469</v>
      </c>
      <c r="J962" s="22" t="s">
        <v>2537</v>
      </c>
    </row>
    <row r="963">
      <c r="A963" s="15" t="s">
        <v>3673</v>
      </c>
      <c r="B963" s="16">
        <v>45107.0</v>
      </c>
      <c r="C963" s="17">
        <v>45112.0</v>
      </c>
      <c r="D963" s="18">
        <v>5.0</v>
      </c>
      <c r="E963" s="19">
        <v>2.0</v>
      </c>
      <c r="F963" s="20">
        <v>14000.0</v>
      </c>
      <c r="G963" s="21" t="s">
        <v>2711</v>
      </c>
      <c r="H963" s="19">
        <v>5.0</v>
      </c>
      <c r="I963" s="21" t="s">
        <v>1834</v>
      </c>
      <c r="J963" s="22" t="s">
        <v>2496</v>
      </c>
    </row>
    <row r="964">
      <c r="A964" s="15" t="s">
        <v>3674</v>
      </c>
      <c r="B964" s="16">
        <v>45107.0</v>
      </c>
      <c r="C964" s="17">
        <v>45112.0</v>
      </c>
      <c r="D964" s="18">
        <v>13.0</v>
      </c>
      <c r="E964" s="19">
        <v>9.0</v>
      </c>
      <c r="F964" s="20">
        <v>28000.0</v>
      </c>
      <c r="G964" s="21" t="s">
        <v>2711</v>
      </c>
      <c r="H964" s="19">
        <v>5.0</v>
      </c>
      <c r="I964" s="21" t="s">
        <v>498</v>
      </c>
      <c r="J964" s="22" t="s">
        <v>2662</v>
      </c>
    </row>
    <row r="965">
      <c r="A965" s="15" t="s">
        <v>3675</v>
      </c>
      <c r="B965" s="16">
        <v>45107.0</v>
      </c>
      <c r="C965" s="17">
        <v>45112.0</v>
      </c>
      <c r="D965" s="18">
        <v>1.0</v>
      </c>
      <c r="E965" s="19">
        <v>3.0</v>
      </c>
      <c r="F965" s="20">
        <v>16000.0</v>
      </c>
      <c r="G965" s="21" t="s">
        <v>2711</v>
      </c>
      <c r="H965" s="19">
        <v>4.0</v>
      </c>
      <c r="I965" s="21" t="s">
        <v>716</v>
      </c>
      <c r="J965" s="22" t="s">
        <v>2511</v>
      </c>
    </row>
    <row r="966">
      <c r="A966" s="15" t="s">
        <v>3676</v>
      </c>
      <c r="B966" s="16">
        <v>45107.0</v>
      </c>
      <c r="C966" s="17">
        <v>45110.0</v>
      </c>
      <c r="D966" s="18">
        <v>6.0</v>
      </c>
      <c r="E966" s="19">
        <v>2.0</v>
      </c>
      <c r="F966" s="20">
        <v>14000.0</v>
      </c>
      <c r="G966" s="21" t="s">
        <v>2711</v>
      </c>
      <c r="H966" s="19">
        <v>4.0</v>
      </c>
      <c r="I966" s="21" t="s">
        <v>306</v>
      </c>
      <c r="J966" s="22" t="s">
        <v>2652</v>
      </c>
    </row>
    <row r="967">
      <c r="A967" s="15" t="s">
        <v>3677</v>
      </c>
      <c r="B967" s="16">
        <v>45107.0</v>
      </c>
      <c r="C967" s="17">
        <v>45111.0</v>
      </c>
      <c r="D967" s="18">
        <v>3.0</v>
      </c>
      <c r="E967" s="19">
        <v>3.0</v>
      </c>
      <c r="F967" s="20">
        <v>16000.0</v>
      </c>
      <c r="G967" s="21" t="s">
        <v>2711</v>
      </c>
      <c r="H967" s="19">
        <v>4.0</v>
      </c>
      <c r="I967" s="21" t="s">
        <v>981</v>
      </c>
      <c r="J967" s="22" t="s">
        <v>2597</v>
      </c>
    </row>
    <row r="968">
      <c r="A968" s="15" t="s">
        <v>3678</v>
      </c>
      <c r="B968" s="16">
        <v>45107.0</v>
      </c>
      <c r="C968" s="17">
        <v>45110.0</v>
      </c>
      <c r="D968" s="18">
        <v>1.0</v>
      </c>
      <c r="E968" s="19">
        <v>1.0</v>
      </c>
      <c r="F968" s="20">
        <v>12000.0</v>
      </c>
      <c r="G968" s="21" t="s">
        <v>2711</v>
      </c>
      <c r="H968" s="19">
        <v>4.0</v>
      </c>
      <c r="I968" s="21" t="s">
        <v>2381</v>
      </c>
      <c r="J968" s="22" t="s">
        <v>2506</v>
      </c>
    </row>
    <row r="969">
      <c r="A969" s="15" t="s">
        <v>3679</v>
      </c>
      <c r="B969" s="16">
        <v>45107.0</v>
      </c>
      <c r="C969" s="17">
        <v>45108.0</v>
      </c>
      <c r="D969" s="18">
        <v>3.0</v>
      </c>
      <c r="E969" s="19">
        <v>3.0</v>
      </c>
      <c r="F969" s="20">
        <v>16000.0</v>
      </c>
      <c r="G969" s="21" t="s">
        <v>2711</v>
      </c>
      <c r="H969" s="19">
        <v>5.0</v>
      </c>
      <c r="I969" s="21" t="s">
        <v>2168</v>
      </c>
      <c r="J969" s="22" t="s">
        <v>2557</v>
      </c>
    </row>
    <row r="970">
      <c r="A970" s="15" t="s">
        <v>3680</v>
      </c>
      <c r="B970" s="16">
        <v>45107.0</v>
      </c>
      <c r="C970" s="17">
        <v>45112.0</v>
      </c>
      <c r="D970" s="18">
        <v>15.0</v>
      </c>
      <c r="E970" s="19">
        <v>4.0</v>
      </c>
      <c r="F970" s="20">
        <v>22500.0</v>
      </c>
      <c r="G970" s="21" t="s">
        <v>2711</v>
      </c>
      <c r="H970" s="19">
        <v>4.0</v>
      </c>
      <c r="I970" s="21" t="s">
        <v>154</v>
      </c>
      <c r="J970" s="22" t="s">
        <v>2697</v>
      </c>
    </row>
    <row r="971">
      <c r="A971" s="15" t="s">
        <v>3681</v>
      </c>
      <c r="B971" s="16">
        <v>45107.0</v>
      </c>
      <c r="C971" s="17">
        <v>45111.0</v>
      </c>
      <c r="D971" s="18">
        <v>4.0</v>
      </c>
      <c r="E971" s="19">
        <v>1.0</v>
      </c>
      <c r="F971" s="20">
        <v>12000.0</v>
      </c>
      <c r="G971" s="21" t="s">
        <v>2711</v>
      </c>
      <c r="H971" s="19">
        <v>5.0</v>
      </c>
      <c r="I971" s="21" t="s">
        <v>1296</v>
      </c>
      <c r="J971" s="22" t="s">
        <v>2562</v>
      </c>
    </row>
    <row r="972">
      <c r="A972" s="15" t="s">
        <v>3682</v>
      </c>
      <c r="B972" s="16">
        <v>45107.0</v>
      </c>
      <c r="C972" s="17">
        <v>45112.0</v>
      </c>
      <c r="D972" s="18">
        <v>5.0</v>
      </c>
      <c r="E972" s="19">
        <v>2.0</v>
      </c>
      <c r="F972" s="20">
        <v>14000.0</v>
      </c>
      <c r="G972" s="21" t="s">
        <v>2711</v>
      </c>
      <c r="H972" s="19">
        <v>4.0</v>
      </c>
      <c r="I972" s="21" t="s">
        <v>2358</v>
      </c>
      <c r="J972" s="22" t="s">
        <v>2490</v>
      </c>
    </row>
    <row r="973">
      <c r="A973" s="15" t="s">
        <v>3683</v>
      </c>
      <c r="B973" s="16">
        <v>45107.0</v>
      </c>
      <c r="C973" s="17">
        <v>45110.0</v>
      </c>
      <c r="D973" s="18">
        <v>4.0</v>
      </c>
      <c r="E973" s="19">
        <v>3.0</v>
      </c>
      <c r="F973" s="20">
        <v>16000.0</v>
      </c>
      <c r="G973" s="21" t="s">
        <v>2711</v>
      </c>
      <c r="H973" s="19">
        <v>4.0</v>
      </c>
      <c r="I973" s="21" t="s">
        <v>1804</v>
      </c>
      <c r="J973" s="22" t="s">
        <v>2622</v>
      </c>
    </row>
    <row r="974">
      <c r="A974" s="15" t="s">
        <v>3684</v>
      </c>
      <c r="B974" s="16">
        <v>45107.0</v>
      </c>
      <c r="C974" s="17">
        <v>45112.0</v>
      </c>
      <c r="D974" s="18">
        <v>7.0</v>
      </c>
      <c r="E974" s="19">
        <v>9.0</v>
      </c>
      <c r="F974" s="20">
        <v>28000.0</v>
      </c>
      <c r="G974" s="21" t="s">
        <v>2711</v>
      </c>
      <c r="H974" s="19">
        <v>5.0</v>
      </c>
      <c r="I974" s="21" t="s">
        <v>2421</v>
      </c>
      <c r="J974" s="22" t="s">
        <v>2672</v>
      </c>
    </row>
    <row r="975">
      <c r="A975" s="15" t="s">
        <v>3685</v>
      </c>
      <c r="B975" s="16">
        <v>45107.0</v>
      </c>
      <c r="C975" s="17">
        <v>45110.0</v>
      </c>
      <c r="D975" s="18">
        <v>7.0</v>
      </c>
      <c r="E975" s="19">
        <v>9.0</v>
      </c>
      <c r="F975" s="20">
        <v>28000.0</v>
      </c>
      <c r="G975" s="21" t="s">
        <v>2711</v>
      </c>
      <c r="H975" s="19">
        <v>5.0</v>
      </c>
      <c r="I975" s="21" t="s">
        <v>1013</v>
      </c>
      <c r="J975" s="22" t="s">
        <v>2627</v>
      </c>
    </row>
    <row r="976">
      <c r="A976" s="15" t="s">
        <v>3686</v>
      </c>
      <c r="B976" s="16">
        <v>45107.0</v>
      </c>
      <c r="C976" s="17">
        <v>45109.0</v>
      </c>
      <c r="D976" s="18">
        <v>1.0</v>
      </c>
      <c r="E976" s="19">
        <v>3.0</v>
      </c>
      <c r="F976" s="20">
        <v>16000.0</v>
      </c>
      <c r="G976" s="21" t="s">
        <v>2711</v>
      </c>
      <c r="H976" s="19">
        <v>5.0</v>
      </c>
      <c r="I976" s="21" t="s">
        <v>2068</v>
      </c>
      <c r="J976" s="22" t="s">
        <v>2557</v>
      </c>
    </row>
    <row r="977">
      <c r="A977" s="15" t="s">
        <v>3687</v>
      </c>
      <c r="B977" s="16">
        <v>45107.0</v>
      </c>
      <c r="C977" s="17">
        <v>45112.0</v>
      </c>
      <c r="D977" s="18">
        <v>6.0</v>
      </c>
      <c r="E977" s="19">
        <v>3.0</v>
      </c>
      <c r="F977" s="20">
        <v>16000.0</v>
      </c>
      <c r="G977" s="21" t="s">
        <v>2711</v>
      </c>
      <c r="H977" s="19">
        <v>5.0</v>
      </c>
      <c r="I977" s="21" t="s">
        <v>350</v>
      </c>
      <c r="J977" s="22" t="s">
        <v>2642</v>
      </c>
    </row>
    <row r="978">
      <c r="A978" s="15" t="s">
        <v>3688</v>
      </c>
      <c r="B978" s="16">
        <v>45107.0</v>
      </c>
      <c r="C978" s="17">
        <v>45111.0</v>
      </c>
      <c r="D978" s="18">
        <v>5.0</v>
      </c>
      <c r="E978" s="19">
        <v>3.0</v>
      </c>
      <c r="F978" s="20">
        <v>16000.0</v>
      </c>
      <c r="G978" s="21" t="s">
        <v>2711</v>
      </c>
      <c r="H978" s="19">
        <v>4.0</v>
      </c>
      <c r="I978" s="21" t="s">
        <v>62</v>
      </c>
      <c r="J978" s="22" t="s">
        <v>2567</v>
      </c>
    </row>
    <row r="979">
      <c r="A979" s="15" t="s">
        <v>3689</v>
      </c>
      <c r="B979" s="16">
        <v>45107.0</v>
      </c>
      <c r="C979" s="17">
        <v>45110.0</v>
      </c>
      <c r="D979" s="18">
        <v>10.0</v>
      </c>
      <c r="E979" s="19">
        <v>9.0</v>
      </c>
      <c r="F979" s="20">
        <v>28000.0</v>
      </c>
      <c r="G979" s="21" t="s">
        <v>2711</v>
      </c>
      <c r="H979" s="19">
        <v>5.0</v>
      </c>
      <c r="I979" s="21" t="s">
        <v>2334</v>
      </c>
      <c r="J979" s="22" t="s">
        <v>2697</v>
      </c>
    </row>
    <row r="980">
      <c r="A980" s="15" t="s">
        <v>3690</v>
      </c>
      <c r="B980" s="16">
        <v>45107.0</v>
      </c>
      <c r="C980" s="17">
        <v>45111.0</v>
      </c>
      <c r="D980" s="18">
        <v>20.0</v>
      </c>
      <c r="E980" s="19">
        <v>7.0</v>
      </c>
      <c r="F980" s="20">
        <v>30000.0</v>
      </c>
      <c r="G980" s="21" t="s">
        <v>2711</v>
      </c>
      <c r="H980" s="19">
        <v>5.0</v>
      </c>
      <c r="I980" s="21" t="s">
        <v>374</v>
      </c>
      <c r="J980" s="22" t="s">
        <v>2667</v>
      </c>
    </row>
    <row r="981">
      <c r="A981" s="15" t="s">
        <v>3691</v>
      </c>
      <c r="B981" s="16">
        <v>45107.0</v>
      </c>
      <c r="C981" s="17">
        <v>45110.0</v>
      </c>
      <c r="D981" s="18">
        <v>3.0</v>
      </c>
      <c r="E981" s="19">
        <v>2.0</v>
      </c>
      <c r="F981" s="20">
        <v>14000.0</v>
      </c>
      <c r="G981" s="21" t="s">
        <v>2711</v>
      </c>
      <c r="H981" s="19">
        <v>5.0</v>
      </c>
      <c r="I981" s="21" t="s">
        <v>2180</v>
      </c>
      <c r="J981" s="22" t="s">
        <v>2506</v>
      </c>
    </row>
    <row r="982">
      <c r="A982" s="15" t="s">
        <v>3692</v>
      </c>
      <c r="B982" s="16">
        <v>45107.0</v>
      </c>
      <c r="C982" s="17">
        <v>45109.0</v>
      </c>
      <c r="D982" s="18">
        <v>14.0</v>
      </c>
      <c r="E982" s="19">
        <v>6.0</v>
      </c>
      <c r="F982" s="20">
        <v>22000.0</v>
      </c>
      <c r="G982" s="21" t="s">
        <v>2711</v>
      </c>
      <c r="H982" s="19">
        <v>5.0</v>
      </c>
      <c r="I982" s="21" t="s">
        <v>274</v>
      </c>
      <c r="J982" s="22" t="s">
        <v>2484</v>
      </c>
    </row>
    <row r="983">
      <c r="A983" s="15" t="s">
        <v>3693</v>
      </c>
      <c r="B983" s="16">
        <v>45107.0</v>
      </c>
      <c r="C983" s="17">
        <v>45111.0</v>
      </c>
      <c r="D983" s="18">
        <v>5.0</v>
      </c>
      <c r="E983" s="19">
        <v>1.0</v>
      </c>
      <c r="F983" s="20">
        <v>12000.0</v>
      </c>
      <c r="G983" s="21" t="s">
        <v>2711</v>
      </c>
      <c r="H983" s="19">
        <v>5.0</v>
      </c>
      <c r="I983" s="21" t="s">
        <v>2377</v>
      </c>
      <c r="J983" s="22" t="s">
        <v>2677</v>
      </c>
    </row>
    <row r="984">
      <c r="A984" s="15" t="s">
        <v>3694</v>
      </c>
      <c r="B984" s="16">
        <v>45107.0</v>
      </c>
      <c r="C984" s="17">
        <v>45112.0</v>
      </c>
      <c r="D984" s="18">
        <v>5.0</v>
      </c>
      <c r="E984" s="19">
        <v>3.0</v>
      </c>
      <c r="F984" s="20">
        <v>16000.0</v>
      </c>
      <c r="G984" s="21" t="s">
        <v>2711</v>
      </c>
      <c r="H984" s="19">
        <v>5.0</v>
      </c>
      <c r="I984" s="21" t="s">
        <v>2096</v>
      </c>
      <c r="J984" s="22" t="s">
        <v>2490</v>
      </c>
    </row>
    <row r="985">
      <c r="A985" s="15" t="s">
        <v>3695</v>
      </c>
      <c r="B985" s="16">
        <v>45107.0</v>
      </c>
      <c r="C985" s="17">
        <v>45108.0</v>
      </c>
      <c r="D985" s="18">
        <v>6.0</v>
      </c>
      <c r="E985" s="19">
        <v>1.0</v>
      </c>
      <c r="F985" s="20">
        <v>12000.0</v>
      </c>
      <c r="G985" s="21" t="s">
        <v>2711</v>
      </c>
      <c r="H985" s="19">
        <v>4.0</v>
      </c>
      <c r="I985" s="21" t="s">
        <v>874</v>
      </c>
      <c r="J985" s="22" t="s">
        <v>2506</v>
      </c>
    </row>
    <row r="986">
      <c r="A986" s="15" t="s">
        <v>3696</v>
      </c>
      <c r="B986" s="16">
        <v>45107.0</v>
      </c>
      <c r="C986" s="17">
        <v>45109.0</v>
      </c>
      <c r="D986" s="18">
        <v>5.0</v>
      </c>
      <c r="E986" s="19">
        <v>2.0</v>
      </c>
      <c r="F986" s="20">
        <v>14000.0</v>
      </c>
      <c r="G986" s="21" t="s">
        <v>2711</v>
      </c>
      <c r="H986" s="19">
        <v>5.0</v>
      </c>
      <c r="I986" s="21" t="s">
        <v>2164</v>
      </c>
      <c r="J986" s="22" t="s">
        <v>2516</v>
      </c>
    </row>
    <row r="987">
      <c r="A987" s="15" t="s">
        <v>3697</v>
      </c>
      <c r="B987" s="16">
        <v>45107.0</v>
      </c>
      <c r="C987" s="17">
        <v>45110.0</v>
      </c>
      <c r="D987" s="18">
        <v>3.0</v>
      </c>
      <c r="E987" s="19">
        <v>1.0</v>
      </c>
      <c r="F987" s="20">
        <v>12000.0</v>
      </c>
      <c r="G987" s="21" t="s">
        <v>2711</v>
      </c>
      <c r="H987" s="19">
        <v>5.0</v>
      </c>
      <c r="I987" s="21" t="s">
        <v>70</v>
      </c>
      <c r="J987" s="22" t="s">
        <v>2582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5.63"/>
    <col customWidth="1" min="3" max="3" width="21.13"/>
  </cols>
  <sheetData>
    <row r="1">
      <c r="A1" s="41" t="s">
        <v>3703</v>
      </c>
      <c r="B1" s="35"/>
      <c r="C1" s="35"/>
      <c r="D1" s="35"/>
      <c r="E1" s="35"/>
      <c r="F1" s="35"/>
      <c r="G1" s="35"/>
      <c r="H1" s="35"/>
      <c r="I1" s="35"/>
      <c r="J1" s="35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D2" s="35"/>
      <c r="E2" s="35"/>
      <c r="F2" s="35"/>
      <c r="G2" s="35"/>
      <c r="H2" s="35"/>
      <c r="I2" s="35"/>
      <c r="J2" s="35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D3" s="35"/>
      <c r="E3" s="35"/>
      <c r="F3" s="35"/>
      <c r="G3" s="35"/>
      <c r="H3" s="35"/>
      <c r="I3" s="35"/>
      <c r="J3" s="35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D4" s="35"/>
      <c r="E4" s="35"/>
      <c r="F4" s="35"/>
      <c r="G4" s="35"/>
      <c r="H4" s="35"/>
      <c r="I4" s="35"/>
      <c r="J4" s="35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D5" s="35"/>
      <c r="E5" s="35"/>
      <c r="F5" s="35"/>
      <c r="G5" s="35"/>
      <c r="H5" s="35"/>
      <c r="I5" s="35"/>
      <c r="J5" s="35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1" t="s">
        <v>3707</v>
      </c>
      <c r="B7" s="35"/>
      <c r="C7" s="35"/>
      <c r="D7" s="35"/>
      <c r="E7" s="35"/>
      <c r="F7" s="35"/>
      <c r="G7" s="35"/>
      <c r="H7" s="35"/>
      <c r="I7" s="35"/>
      <c r="J7" s="35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6" t="str">
        <f>delivery_dataset!A1</f>
        <v>delivery_id</v>
      </c>
      <c r="B8" s="37" t="str">
        <f>delivery_dataset!B1</f>
        <v>delivery_start</v>
      </c>
      <c r="C8" s="37" t="str">
        <f>delivery_dataset!C1</f>
        <v>delivery_end</v>
      </c>
      <c r="D8" s="36" t="str">
        <f>delivery_dataset!D1</f>
        <v>delivery_distance(KM)</v>
      </c>
      <c r="E8" s="36" t="str">
        <f>delivery_dataset!E1</f>
        <v>delivery_weight</v>
      </c>
      <c r="F8" s="38" t="str">
        <f>delivery_dataset!F1</f>
        <v>delivery_cost</v>
      </c>
      <c r="G8" s="36" t="str">
        <f>delivery_dataset!G1</f>
        <v>delivery_status</v>
      </c>
      <c r="H8" s="36" t="str">
        <f>delivery_dataset!H1</f>
        <v>delivery_rating</v>
      </c>
      <c r="I8" s="36" t="str">
        <f>delivery_dataset!I1</f>
        <v>cust_id</v>
      </c>
      <c r="J8" s="36" t="str">
        <f>delivery_dataset!J1</f>
        <v>driver_id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0" t="str">
        <f>IFERROR(__xludf.DUMMYFUNCTION("FILTER(delivery_dataset!A:J, (delivery_dataset!G:G=""Failed""))"),"d8011y21")</f>
        <v>d8011y21</v>
      </c>
      <c r="B9" s="42">
        <f>IFERROR(__xludf.DUMMYFUNCTION("""COMPUTED_VALUE"""),45079.0)</f>
        <v>45079</v>
      </c>
      <c r="C9" s="42">
        <f>IFERROR(__xludf.DUMMYFUNCTION("""COMPUTED_VALUE"""),45080.0)</f>
        <v>45080</v>
      </c>
      <c r="D9" s="40">
        <f>IFERROR(__xludf.DUMMYFUNCTION("""COMPUTED_VALUE"""),14.0)</f>
        <v>14</v>
      </c>
      <c r="E9" s="40">
        <f>IFERROR(__xludf.DUMMYFUNCTION("""COMPUTED_VALUE"""),10.0)</f>
        <v>10</v>
      </c>
      <c r="F9" s="43">
        <f>IFERROR(__xludf.DUMMYFUNCTION("""COMPUTED_VALUE"""),30000.0)</f>
        <v>30000</v>
      </c>
      <c r="G9" s="40" t="str">
        <f>IFERROR(__xludf.DUMMYFUNCTION("""COMPUTED_VALUE"""),"Failed")</f>
        <v>Failed</v>
      </c>
      <c r="H9" s="40"/>
      <c r="I9" s="40" t="str">
        <f>IFERROR(__xludf.DUMMYFUNCTION("""COMPUTED_VALUE"""),"c374dp69")</f>
        <v>c374dp69</v>
      </c>
      <c r="J9" s="44" t="str">
        <f>IFERROR(__xludf.DUMMYFUNCTION("""COMPUTED_VALUE"""),"d293in45")</f>
        <v>d293in45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0" t="str">
        <f>IFERROR(__xludf.DUMMYFUNCTION("""COMPUTED_VALUE"""),"d668il17")</f>
        <v>d668il17</v>
      </c>
      <c r="B10" s="45">
        <f>IFERROR(__xludf.DUMMYFUNCTION("""COMPUTED_VALUE"""),45080.0)</f>
        <v>45080</v>
      </c>
      <c r="C10" s="42">
        <f>IFERROR(__xludf.DUMMYFUNCTION("""COMPUTED_VALUE"""),45085.0)</f>
        <v>45085</v>
      </c>
      <c r="D10" s="40">
        <f>IFERROR(__xludf.DUMMYFUNCTION("""COMPUTED_VALUE"""),22.0)</f>
        <v>22</v>
      </c>
      <c r="E10" s="40">
        <f>IFERROR(__xludf.DUMMYFUNCTION("""COMPUTED_VALUE"""),11.0)</f>
        <v>11</v>
      </c>
      <c r="F10" s="43">
        <f>IFERROR(__xludf.DUMMYFUNCTION("""COMPUTED_VALUE"""),38600.0)</f>
        <v>38600</v>
      </c>
      <c r="G10" s="40" t="str">
        <f>IFERROR(__xludf.DUMMYFUNCTION("""COMPUTED_VALUE"""),"Failed")</f>
        <v>Failed</v>
      </c>
      <c r="H10" s="40"/>
      <c r="I10" s="40" t="str">
        <f>IFERROR(__xludf.DUMMYFUNCTION("""COMPUTED_VALUE"""),"c894jx19")</f>
        <v>c894jx19</v>
      </c>
      <c r="J10" s="44" t="str">
        <f>IFERROR(__xludf.DUMMYFUNCTION("""COMPUTED_VALUE"""),"d669p400")</f>
        <v>d669p400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0" t="str">
        <f>IFERROR(__xludf.DUMMYFUNCTION("""COMPUTED_VALUE"""),"d076u065")</f>
        <v>d076u065</v>
      </c>
      <c r="B11" s="45">
        <f>IFERROR(__xludf.DUMMYFUNCTION("""COMPUTED_VALUE"""),45084.0)</f>
        <v>45084</v>
      </c>
      <c r="C11" s="42">
        <f>IFERROR(__xludf.DUMMYFUNCTION("""COMPUTED_VALUE"""),45087.0)</f>
        <v>45087</v>
      </c>
      <c r="D11" s="40">
        <f>IFERROR(__xludf.DUMMYFUNCTION("""COMPUTED_VALUE"""),14.0)</f>
        <v>14</v>
      </c>
      <c r="E11" s="40">
        <f>IFERROR(__xludf.DUMMYFUNCTION("""COMPUTED_VALUE"""),9.0)</f>
        <v>9</v>
      </c>
      <c r="F11" s="43">
        <f>IFERROR(__xludf.DUMMYFUNCTION("""COMPUTED_VALUE"""),28000.0)</f>
        <v>28000</v>
      </c>
      <c r="G11" s="40" t="str">
        <f>IFERROR(__xludf.DUMMYFUNCTION("""COMPUTED_VALUE"""),"Failed")</f>
        <v>Failed</v>
      </c>
      <c r="H11" s="40"/>
      <c r="I11" s="40" t="str">
        <f>IFERROR(__xludf.DUMMYFUNCTION("""COMPUTED_VALUE"""),"c664jl33")</f>
        <v>c664jl33</v>
      </c>
      <c r="J11" s="44" t="str">
        <f>IFERROR(__xludf.DUMMYFUNCTION("""COMPUTED_VALUE"""),"d682x946")</f>
        <v>d682x946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0" t="str">
        <f>IFERROR(__xludf.DUMMYFUNCTION("""COMPUTED_VALUE"""),"d261wc96")</f>
        <v>d261wc96</v>
      </c>
      <c r="B12" s="45">
        <f>IFERROR(__xludf.DUMMYFUNCTION("""COMPUTED_VALUE"""),45086.0)</f>
        <v>45086</v>
      </c>
      <c r="C12" s="42">
        <f>IFERROR(__xludf.DUMMYFUNCTION("""COMPUTED_VALUE"""),45090.0)</f>
        <v>45090</v>
      </c>
      <c r="D12" s="40">
        <f>IFERROR(__xludf.DUMMYFUNCTION("""COMPUTED_VALUE"""),3.0)</f>
        <v>3</v>
      </c>
      <c r="E12" s="40">
        <f>IFERROR(__xludf.DUMMYFUNCTION("""COMPUTED_VALUE"""),1.0)</f>
        <v>1</v>
      </c>
      <c r="F12" s="43">
        <f>IFERROR(__xludf.DUMMYFUNCTION("""COMPUTED_VALUE"""),12000.0)</f>
        <v>12000</v>
      </c>
      <c r="G12" s="40" t="str">
        <f>IFERROR(__xludf.DUMMYFUNCTION("""COMPUTED_VALUE"""),"Failed")</f>
        <v>Failed</v>
      </c>
      <c r="H12" s="40"/>
      <c r="I12" s="40" t="str">
        <f>IFERROR(__xludf.DUMMYFUNCTION("""COMPUTED_VALUE"""),"c9012x49")</f>
        <v>c9012x49</v>
      </c>
      <c r="J12" s="44" t="str">
        <f>IFERROR(__xludf.DUMMYFUNCTION("""COMPUTED_VALUE"""),"d506ki34")</f>
        <v>d506ki34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0" t="str">
        <f>IFERROR(__xludf.DUMMYFUNCTION("""COMPUTED_VALUE"""),"d3636137")</f>
        <v>d3636137</v>
      </c>
      <c r="B13" s="45">
        <f>IFERROR(__xludf.DUMMYFUNCTION("""COMPUTED_VALUE"""),45090.0)</f>
        <v>45090</v>
      </c>
      <c r="C13" s="42">
        <f>IFERROR(__xludf.DUMMYFUNCTION("""COMPUTED_VALUE"""),45095.0)</f>
        <v>45095</v>
      </c>
      <c r="D13" s="40">
        <f>IFERROR(__xludf.DUMMYFUNCTION("""COMPUTED_VALUE"""),5.0)</f>
        <v>5</v>
      </c>
      <c r="E13" s="40">
        <f>IFERROR(__xludf.DUMMYFUNCTION("""COMPUTED_VALUE"""),1.0)</f>
        <v>1</v>
      </c>
      <c r="F13" s="43">
        <f>IFERROR(__xludf.DUMMYFUNCTION("""COMPUTED_VALUE"""),12000.0)</f>
        <v>12000</v>
      </c>
      <c r="G13" s="40" t="str">
        <f>IFERROR(__xludf.DUMMYFUNCTION("""COMPUTED_VALUE"""),"Failed")</f>
        <v>Failed</v>
      </c>
      <c r="H13" s="40"/>
      <c r="I13" s="40" t="str">
        <f>IFERROR(__xludf.DUMMYFUNCTION("""COMPUTED_VALUE"""),"c441dk36")</f>
        <v>c441dk36</v>
      </c>
      <c r="J13" s="44" t="str">
        <f>IFERROR(__xludf.DUMMYFUNCTION("""COMPUTED_VALUE"""),"d000dc28")</f>
        <v>d000dc28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0" t="str">
        <f>IFERROR(__xludf.DUMMYFUNCTION("""COMPUTED_VALUE"""),"d822pa86")</f>
        <v>d822pa86</v>
      </c>
      <c r="B14" s="45">
        <f>IFERROR(__xludf.DUMMYFUNCTION("""COMPUTED_VALUE"""),45093.0)</f>
        <v>45093</v>
      </c>
      <c r="C14" s="42">
        <f>IFERROR(__xludf.DUMMYFUNCTION("""COMPUTED_VALUE"""),45098.0)</f>
        <v>45098</v>
      </c>
      <c r="D14" s="40">
        <f>IFERROR(__xludf.DUMMYFUNCTION("""COMPUTED_VALUE"""),4.0)</f>
        <v>4</v>
      </c>
      <c r="E14" s="40">
        <f>IFERROR(__xludf.DUMMYFUNCTION("""COMPUTED_VALUE"""),2.0)</f>
        <v>2</v>
      </c>
      <c r="F14" s="43">
        <f>IFERROR(__xludf.DUMMYFUNCTION("""COMPUTED_VALUE"""),14000.0)</f>
        <v>14000</v>
      </c>
      <c r="G14" s="40" t="str">
        <f>IFERROR(__xludf.DUMMYFUNCTION("""COMPUTED_VALUE"""),"Failed")</f>
        <v>Failed</v>
      </c>
      <c r="H14" s="40"/>
      <c r="I14" s="40" t="str">
        <f>IFERROR(__xludf.DUMMYFUNCTION("""COMPUTED_VALUE"""),"c2174g55")</f>
        <v>c2174g55</v>
      </c>
      <c r="J14" s="44" t="str">
        <f>IFERROR(__xludf.DUMMYFUNCTION("""COMPUTED_VALUE"""),"d173jf22")</f>
        <v>d173jf22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0" t="str">
        <f>IFERROR(__xludf.DUMMYFUNCTION("""COMPUTED_VALUE"""),"d321ce08")</f>
        <v>d321ce08</v>
      </c>
      <c r="B15" s="45">
        <f>IFERROR(__xludf.DUMMYFUNCTION("""COMPUTED_VALUE"""),45094.0)</f>
        <v>45094</v>
      </c>
      <c r="C15" s="42">
        <f>IFERROR(__xludf.DUMMYFUNCTION("""COMPUTED_VALUE"""),45099.0)</f>
        <v>45099</v>
      </c>
      <c r="D15" s="40">
        <f>IFERROR(__xludf.DUMMYFUNCTION("""COMPUTED_VALUE"""),5.0)</f>
        <v>5</v>
      </c>
      <c r="E15" s="40">
        <f>IFERROR(__xludf.DUMMYFUNCTION("""COMPUTED_VALUE"""),3.0)</f>
        <v>3</v>
      </c>
      <c r="F15" s="43">
        <f>IFERROR(__xludf.DUMMYFUNCTION("""COMPUTED_VALUE"""),16000.0)</f>
        <v>16000</v>
      </c>
      <c r="G15" s="40" t="str">
        <f>IFERROR(__xludf.DUMMYFUNCTION("""COMPUTED_VALUE"""),"Failed")</f>
        <v>Failed</v>
      </c>
      <c r="H15" s="40"/>
      <c r="I15" s="40" t="str">
        <f>IFERROR(__xludf.DUMMYFUNCTION("""COMPUTED_VALUE"""),"c572w366")</f>
        <v>c572w366</v>
      </c>
      <c r="J15" s="44" t="str">
        <f>IFERROR(__xludf.DUMMYFUNCTION("""COMPUTED_VALUE"""),"d9198x07")</f>
        <v>d9198x07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0" t="str">
        <f>IFERROR(__xludf.DUMMYFUNCTION("""COMPUTED_VALUE"""),"d1436z43")</f>
        <v>d1436z43</v>
      </c>
      <c r="B16" s="45">
        <f>IFERROR(__xludf.DUMMYFUNCTION("""COMPUTED_VALUE"""),45103.0)</f>
        <v>45103</v>
      </c>
      <c r="C16" s="42">
        <f>IFERROR(__xludf.DUMMYFUNCTION("""COMPUTED_VALUE"""),45104.0)</f>
        <v>45104</v>
      </c>
      <c r="D16" s="40">
        <f>IFERROR(__xludf.DUMMYFUNCTION("""COMPUTED_VALUE"""),2.0)</f>
        <v>2</v>
      </c>
      <c r="E16" s="40">
        <f>IFERROR(__xludf.DUMMYFUNCTION("""COMPUTED_VALUE"""),3.0)</f>
        <v>3</v>
      </c>
      <c r="F16" s="43">
        <f>IFERROR(__xludf.DUMMYFUNCTION("""COMPUTED_VALUE"""),16000.0)</f>
        <v>16000</v>
      </c>
      <c r="G16" s="40" t="str">
        <f>IFERROR(__xludf.DUMMYFUNCTION("""COMPUTED_VALUE"""),"Failed")</f>
        <v>Failed</v>
      </c>
      <c r="H16" s="40"/>
      <c r="I16" s="40" t="str">
        <f>IFERROR(__xludf.DUMMYFUNCTION("""COMPUTED_VALUE"""),"c194ct05")</f>
        <v>c194ct05</v>
      </c>
      <c r="J16" s="44" t="str">
        <f>IFERROR(__xludf.DUMMYFUNCTION("""COMPUTED_VALUE"""),"d000dc28")</f>
        <v>d000dc28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5"/>
      <c r="B17" s="35"/>
      <c r="C17" s="39" t="s">
        <v>3708</v>
      </c>
      <c r="D17" s="40">
        <f t="shared" ref="D17:F17" si="1">SUM(D9:D16)</f>
        <v>69</v>
      </c>
      <c r="E17" s="40">
        <f t="shared" si="1"/>
        <v>40</v>
      </c>
      <c r="F17" s="43">
        <f t="shared" si="1"/>
        <v>166600</v>
      </c>
      <c r="G17" s="35"/>
      <c r="H17" s="35"/>
      <c r="I17" s="35"/>
      <c r="J17" s="35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1"/>
      <c r="B18" s="35"/>
      <c r="D18" s="35"/>
      <c r="E18" s="35"/>
      <c r="F18" s="35"/>
      <c r="G18" s="35"/>
      <c r="H18" s="35"/>
      <c r="I18" s="35"/>
      <c r="J18" s="35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51" t="s">
        <v>3709</v>
      </c>
      <c r="B19" s="40"/>
      <c r="C19" s="35"/>
      <c r="D19" s="35"/>
      <c r="E19" s="35"/>
      <c r="F19" s="35"/>
      <c r="G19" s="35"/>
      <c r="H19" s="35"/>
      <c r="I19" s="35"/>
      <c r="J19" s="3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" t="s">
        <v>3710</v>
      </c>
      <c r="B20" s="52">
        <v>19941.513292433538</v>
      </c>
      <c r="C20" s="53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4"/>
      <c r="U20" s="54"/>
      <c r="V20" s="54"/>
      <c r="W20" s="54"/>
      <c r="X20" s="54"/>
      <c r="Y20" s="49"/>
      <c r="Z20" s="49"/>
    </row>
    <row r="21">
      <c r="A21" s="51" t="s">
        <v>3711</v>
      </c>
      <c r="B21" s="52">
        <v>16000.0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51" t="s">
        <v>3712</v>
      </c>
      <c r="B22" s="52">
        <v>12000.0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51" t="s">
        <v>3713</v>
      </c>
      <c r="B23" s="52">
        <v>82000.0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51" t="s">
        <v>3714</v>
      </c>
      <c r="B24" s="52">
        <v>1.95028E7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1" t="s">
        <v>3715</v>
      </c>
      <c r="B27" s="35"/>
      <c r="C27" s="35"/>
      <c r="D27" s="35"/>
      <c r="E27" s="35"/>
      <c r="F27" s="35"/>
      <c r="G27" s="49"/>
      <c r="H27" s="41" t="s">
        <v>3716</v>
      </c>
      <c r="I27" s="35"/>
      <c r="J27" s="35"/>
      <c r="K27" s="35"/>
      <c r="L27" s="35"/>
      <c r="M27" s="35"/>
      <c r="N27" s="49"/>
      <c r="O27" s="41"/>
      <c r="P27" s="35"/>
      <c r="Q27" s="35"/>
      <c r="R27" s="35"/>
      <c r="S27" s="35"/>
      <c r="T27" s="35"/>
      <c r="U27" s="49"/>
      <c r="V27" s="49"/>
      <c r="W27" s="49"/>
      <c r="X27" s="49"/>
      <c r="Y27" s="49"/>
      <c r="Z27" s="49"/>
    </row>
    <row r="28">
      <c r="A28" s="36" t="str">
        <f>delivery_dataset!A1</f>
        <v>delivery_id</v>
      </c>
      <c r="B28" s="37" t="str">
        <f>delivery_dataset!B1</f>
        <v>delivery_start</v>
      </c>
      <c r="C28" s="37" t="str">
        <f>delivery_dataset!C1</f>
        <v>delivery_end</v>
      </c>
      <c r="D28" s="36" t="str">
        <f>delivery_dataset!D1</f>
        <v>delivery_distance(KM)</v>
      </c>
      <c r="E28" s="36" t="str">
        <f>delivery_dataset!E1</f>
        <v>delivery_weight</v>
      </c>
      <c r="F28" s="38" t="str">
        <f>delivery_dataset!F1</f>
        <v>delivery_cost</v>
      </c>
      <c r="G28" s="49"/>
      <c r="H28" s="55" t="str">
        <f>delivery_dataset!A1</f>
        <v>delivery_id</v>
      </c>
      <c r="I28" s="56" t="str">
        <f>delivery_dataset!B1</f>
        <v>delivery_start</v>
      </c>
      <c r="J28" s="56" t="str">
        <f>delivery_dataset!C1</f>
        <v>delivery_end</v>
      </c>
      <c r="K28" s="55" t="str">
        <f>delivery_dataset!D1</f>
        <v>delivery_distance(KM)</v>
      </c>
      <c r="L28" s="55" t="str">
        <f>delivery_dataset!E1</f>
        <v>delivery_weight</v>
      </c>
      <c r="M28" s="57" t="str">
        <f>delivery_dataset!F1</f>
        <v>delivery_cost</v>
      </c>
      <c r="N28" s="49"/>
      <c r="U28" s="49"/>
      <c r="V28" s="49"/>
      <c r="W28" s="49"/>
      <c r="X28" s="49"/>
      <c r="Y28" s="49"/>
      <c r="Z28" s="49"/>
    </row>
    <row r="29">
      <c r="A29" s="51" t="str">
        <f>IFERROR(__xludf.DUMMYFUNCTION("FILTER(delivery_cleaned!$A$1:$F$987, delivery_cleaned!$D$1:$D$987=1, delivery_cleaned!$E$1:$E$987=1)"),"d440bj67")</f>
        <v>d440bj67</v>
      </c>
      <c r="B29" s="58">
        <f>IFERROR(__xludf.DUMMYFUNCTION("""COMPUTED_VALUE"""),45078.0)</f>
        <v>45078</v>
      </c>
      <c r="C29" s="59">
        <f>IFERROR(__xludf.DUMMYFUNCTION("""COMPUTED_VALUE"""),45081.0)</f>
        <v>45081</v>
      </c>
      <c r="D29" s="51">
        <f>IFERROR(__xludf.DUMMYFUNCTION("""COMPUTED_VALUE"""),1.0)</f>
        <v>1</v>
      </c>
      <c r="E29" s="51">
        <f>IFERROR(__xludf.DUMMYFUNCTION("""COMPUTED_VALUE"""),1.0)</f>
        <v>1</v>
      </c>
      <c r="F29" s="52">
        <f>IFERROR(__xludf.DUMMYFUNCTION("""COMPUTED_VALUE"""),12000.0)</f>
        <v>12000</v>
      </c>
      <c r="G29" s="49"/>
      <c r="H29" s="60" t="str">
        <f>IFERROR(__xludf.DUMMYFUNCTION("FILTER(delivery_cleaned!$A$1:$F$987, delivery_cleaned!D1:D987 &gt;= 1, delivery_cleaned!$E$1:$E$987=1)"),"d403wr57")</f>
        <v>d403wr57</v>
      </c>
      <c r="I29" s="45">
        <f>IFERROR(__xludf.DUMMYFUNCTION("""COMPUTED_VALUE"""),45078.0)</f>
        <v>45078</v>
      </c>
      <c r="J29" s="42">
        <f>IFERROR(__xludf.DUMMYFUNCTION("""COMPUTED_VALUE"""),45083.0)</f>
        <v>45083</v>
      </c>
      <c r="K29" s="40">
        <f>IFERROR(__xludf.DUMMYFUNCTION("""COMPUTED_VALUE"""),5.0)</f>
        <v>5</v>
      </c>
      <c r="L29" s="40">
        <f>IFERROR(__xludf.DUMMYFUNCTION("""COMPUTED_VALUE"""),1.0)</f>
        <v>1</v>
      </c>
      <c r="M29" s="43">
        <f>IFERROR(__xludf.DUMMYFUNCTION("""COMPUTED_VALUE"""),12000.0)</f>
        <v>12000</v>
      </c>
      <c r="N29" s="49"/>
      <c r="U29" s="49"/>
      <c r="V29" s="49"/>
      <c r="W29" s="49"/>
      <c r="X29" s="49"/>
      <c r="Y29" s="49"/>
      <c r="Z29" s="49"/>
    </row>
    <row r="30">
      <c r="A30" s="51" t="str">
        <f>IFERROR(__xludf.DUMMYFUNCTION("""COMPUTED_VALUE"""),"d259vr60")</f>
        <v>d259vr60</v>
      </c>
      <c r="B30" s="58">
        <f>IFERROR(__xludf.DUMMYFUNCTION("""COMPUTED_VALUE"""),45079.0)</f>
        <v>45079</v>
      </c>
      <c r="C30" s="59">
        <f>IFERROR(__xludf.DUMMYFUNCTION("""COMPUTED_VALUE"""),45082.0)</f>
        <v>45082</v>
      </c>
      <c r="D30" s="51">
        <f>IFERROR(__xludf.DUMMYFUNCTION("""COMPUTED_VALUE"""),1.0)</f>
        <v>1</v>
      </c>
      <c r="E30" s="51">
        <f>IFERROR(__xludf.DUMMYFUNCTION("""COMPUTED_VALUE"""),1.0)</f>
        <v>1</v>
      </c>
      <c r="F30" s="52">
        <f>IFERROR(__xludf.DUMMYFUNCTION("""COMPUTED_VALUE"""),12000.0)</f>
        <v>12000</v>
      </c>
      <c r="G30" s="49"/>
      <c r="H30" s="51" t="str">
        <f>IFERROR(__xludf.DUMMYFUNCTION("""COMPUTED_VALUE"""),"d440bj67")</f>
        <v>d440bj67</v>
      </c>
      <c r="I30" s="58">
        <f>IFERROR(__xludf.DUMMYFUNCTION("""COMPUTED_VALUE"""),45078.0)</f>
        <v>45078</v>
      </c>
      <c r="J30" s="59">
        <f>IFERROR(__xludf.DUMMYFUNCTION("""COMPUTED_VALUE"""),45081.0)</f>
        <v>45081</v>
      </c>
      <c r="K30" s="51">
        <f>IFERROR(__xludf.DUMMYFUNCTION("""COMPUTED_VALUE"""),1.0)</f>
        <v>1</v>
      </c>
      <c r="L30" s="51">
        <f>IFERROR(__xludf.DUMMYFUNCTION("""COMPUTED_VALUE"""),1.0)</f>
        <v>1</v>
      </c>
      <c r="M30" s="52">
        <f>IFERROR(__xludf.DUMMYFUNCTION("""COMPUTED_VALUE"""),12000.0)</f>
        <v>12000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51" t="str">
        <f>IFERROR(__xludf.DUMMYFUNCTION("""COMPUTED_VALUE"""),"d640or87")</f>
        <v>d640or87</v>
      </c>
      <c r="B31" s="58">
        <f>IFERROR(__xludf.DUMMYFUNCTION("""COMPUTED_VALUE"""),45079.0)</f>
        <v>45079</v>
      </c>
      <c r="C31" s="59">
        <f>IFERROR(__xludf.DUMMYFUNCTION("""COMPUTED_VALUE"""),45082.0)</f>
        <v>45082</v>
      </c>
      <c r="D31" s="51">
        <f>IFERROR(__xludf.DUMMYFUNCTION("""COMPUTED_VALUE"""),1.0)</f>
        <v>1</v>
      </c>
      <c r="E31" s="51">
        <f>IFERROR(__xludf.DUMMYFUNCTION("""COMPUTED_VALUE"""),1.0)</f>
        <v>1</v>
      </c>
      <c r="F31" s="52">
        <f>IFERROR(__xludf.DUMMYFUNCTION("""COMPUTED_VALUE"""),12000.0)</f>
        <v>12000</v>
      </c>
      <c r="G31" s="49"/>
      <c r="H31" s="51" t="str">
        <f>IFERROR(__xludf.DUMMYFUNCTION("""COMPUTED_VALUE"""),"d553me25")</f>
        <v>d553me25</v>
      </c>
      <c r="I31" s="58">
        <f>IFERROR(__xludf.DUMMYFUNCTION("""COMPUTED_VALUE"""),45078.0)</f>
        <v>45078</v>
      </c>
      <c r="J31" s="59">
        <f>IFERROR(__xludf.DUMMYFUNCTION("""COMPUTED_VALUE"""),45081.0)</f>
        <v>45081</v>
      </c>
      <c r="K31" s="51">
        <f>IFERROR(__xludf.DUMMYFUNCTION("""COMPUTED_VALUE"""),5.0)</f>
        <v>5</v>
      </c>
      <c r="L31" s="51">
        <f>IFERROR(__xludf.DUMMYFUNCTION("""COMPUTED_VALUE"""),1.0)</f>
        <v>1</v>
      </c>
      <c r="M31" s="52">
        <f>IFERROR(__xludf.DUMMYFUNCTION("""COMPUTED_VALUE"""),12000.0)</f>
        <v>12000</v>
      </c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51" t="str">
        <f>IFERROR(__xludf.DUMMYFUNCTION("""COMPUTED_VALUE"""),"d778r615")</f>
        <v>d778r615</v>
      </c>
      <c r="B32" s="58">
        <f>IFERROR(__xludf.DUMMYFUNCTION("""COMPUTED_VALUE"""),45080.0)</f>
        <v>45080</v>
      </c>
      <c r="C32" s="59">
        <f>IFERROR(__xludf.DUMMYFUNCTION("""COMPUTED_VALUE"""),45082.0)</f>
        <v>45082</v>
      </c>
      <c r="D32" s="51">
        <f>IFERROR(__xludf.DUMMYFUNCTION("""COMPUTED_VALUE"""),1.0)</f>
        <v>1</v>
      </c>
      <c r="E32" s="51">
        <f>IFERROR(__xludf.DUMMYFUNCTION("""COMPUTED_VALUE"""),1.0)</f>
        <v>1</v>
      </c>
      <c r="F32" s="52">
        <f>IFERROR(__xludf.DUMMYFUNCTION("""COMPUTED_VALUE"""),12000.0)</f>
        <v>12000</v>
      </c>
      <c r="G32" s="49"/>
      <c r="H32" s="51" t="str">
        <f>IFERROR(__xludf.DUMMYFUNCTION("""COMPUTED_VALUE"""),"d458ku87")</f>
        <v>d458ku87</v>
      </c>
      <c r="I32" s="58">
        <f>IFERROR(__xludf.DUMMYFUNCTION("""COMPUTED_VALUE"""),45078.0)</f>
        <v>45078</v>
      </c>
      <c r="J32" s="59">
        <f>IFERROR(__xludf.DUMMYFUNCTION("""COMPUTED_VALUE"""),45083.0)</f>
        <v>45083</v>
      </c>
      <c r="K32" s="51">
        <f>IFERROR(__xludf.DUMMYFUNCTION("""COMPUTED_VALUE"""),6.0)</f>
        <v>6</v>
      </c>
      <c r="L32" s="51">
        <f>IFERROR(__xludf.DUMMYFUNCTION("""COMPUTED_VALUE"""),1.0)</f>
        <v>1</v>
      </c>
      <c r="M32" s="52">
        <f>IFERROR(__xludf.DUMMYFUNCTION("""COMPUTED_VALUE"""),12000.0)</f>
        <v>12000</v>
      </c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51" t="str">
        <f>IFERROR(__xludf.DUMMYFUNCTION("""COMPUTED_VALUE"""),"d9767u72")</f>
        <v>d9767u72</v>
      </c>
      <c r="B33" s="58">
        <f>IFERROR(__xludf.DUMMYFUNCTION("""COMPUTED_VALUE"""),45081.0)</f>
        <v>45081</v>
      </c>
      <c r="C33" s="59">
        <f>IFERROR(__xludf.DUMMYFUNCTION("""COMPUTED_VALUE"""),45085.0)</f>
        <v>45085</v>
      </c>
      <c r="D33" s="51">
        <f>IFERROR(__xludf.DUMMYFUNCTION("""COMPUTED_VALUE"""),1.0)</f>
        <v>1</v>
      </c>
      <c r="E33" s="51">
        <f>IFERROR(__xludf.DUMMYFUNCTION("""COMPUTED_VALUE"""),1.0)</f>
        <v>1</v>
      </c>
      <c r="F33" s="52">
        <f>IFERROR(__xludf.DUMMYFUNCTION("""COMPUTED_VALUE"""),12000.0)</f>
        <v>12000</v>
      </c>
      <c r="G33" s="49"/>
      <c r="H33" s="51" t="str">
        <f>IFERROR(__xludf.DUMMYFUNCTION("""COMPUTED_VALUE"""),"d319qh12")</f>
        <v>d319qh12</v>
      </c>
      <c r="I33" s="58">
        <f>IFERROR(__xludf.DUMMYFUNCTION("""COMPUTED_VALUE"""),45079.0)</f>
        <v>45079</v>
      </c>
      <c r="J33" s="59">
        <f>IFERROR(__xludf.DUMMYFUNCTION("""COMPUTED_VALUE"""),45080.0)</f>
        <v>45080</v>
      </c>
      <c r="K33" s="51">
        <f>IFERROR(__xludf.DUMMYFUNCTION("""COMPUTED_VALUE"""),2.0)</f>
        <v>2</v>
      </c>
      <c r="L33" s="51">
        <f>IFERROR(__xludf.DUMMYFUNCTION("""COMPUTED_VALUE"""),1.0)</f>
        <v>1</v>
      </c>
      <c r="M33" s="52">
        <f>IFERROR(__xludf.DUMMYFUNCTION("""COMPUTED_VALUE"""),12000.0)</f>
        <v>12000</v>
      </c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51" t="str">
        <f>IFERROR(__xludf.DUMMYFUNCTION("""COMPUTED_VALUE"""),"d813js54")</f>
        <v>d813js54</v>
      </c>
      <c r="B34" s="58">
        <f>IFERROR(__xludf.DUMMYFUNCTION("""COMPUTED_VALUE"""),45081.0)</f>
        <v>45081</v>
      </c>
      <c r="C34" s="59">
        <f>IFERROR(__xludf.DUMMYFUNCTION("""COMPUTED_VALUE"""),45086.0)</f>
        <v>45086</v>
      </c>
      <c r="D34" s="51">
        <f>IFERROR(__xludf.DUMMYFUNCTION("""COMPUTED_VALUE"""),1.0)</f>
        <v>1</v>
      </c>
      <c r="E34" s="51">
        <f>IFERROR(__xludf.DUMMYFUNCTION("""COMPUTED_VALUE"""),1.0)</f>
        <v>1</v>
      </c>
      <c r="F34" s="52">
        <f>IFERROR(__xludf.DUMMYFUNCTION("""COMPUTED_VALUE"""),12000.0)</f>
        <v>12000</v>
      </c>
      <c r="G34" s="49"/>
      <c r="H34" s="51" t="str">
        <f>IFERROR(__xludf.DUMMYFUNCTION("""COMPUTED_VALUE"""),"d311xp76")</f>
        <v>d311xp76</v>
      </c>
      <c r="I34" s="58">
        <f>IFERROR(__xludf.DUMMYFUNCTION("""COMPUTED_VALUE"""),45079.0)</f>
        <v>45079</v>
      </c>
      <c r="J34" s="59">
        <f>IFERROR(__xludf.DUMMYFUNCTION("""COMPUTED_VALUE"""),45081.0)</f>
        <v>45081</v>
      </c>
      <c r="K34" s="51">
        <f>IFERROR(__xludf.DUMMYFUNCTION("""COMPUTED_VALUE"""),6.0)</f>
        <v>6</v>
      </c>
      <c r="L34" s="51">
        <f>IFERROR(__xludf.DUMMYFUNCTION("""COMPUTED_VALUE"""),1.0)</f>
        <v>1</v>
      </c>
      <c r="M34" s="52">
        <f>IFERROR(__xludf.DUMMYFUNCTION("""COMPUTED_VALUE"""),12000.0)</f>
        <v>12000</v>
      </c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51" t="str">
        <f>IFERROR(__xludf.DUMMYFUNCTION("""COMPUTED_VALUE"""),"d742us85")</f>
        <v>d742us85</v>
      </c>
      <c r="B35" s="58">
        <f>IFERROR(__xludf.DUMMYFUNCTION("""COMPUTED_VALUE"""),45084.0)</f>
        <v>45084</v>
      </c>
      <c r="C35" s="59">
        <f>IFERROR(__xludf.DUMMYFUNCTION("""COMPUTED_VALUE"""),45085.0)</f>
        <v>45085</v>
      </c>
      <c r="D35" s="51">
        <f>IFERROR(__xludf.DUMMYFUNCTION("""COMPUTED_VALUE"""),1.0)</f>
        <v>1</v>
      </c>
      <c r="E35" s="51">
        <f>IFERROR(__xludf.DUMMYFUNCTION("""COMPUTED_VALUE"""),1.0)</f>
        <v>1</v>
      </c>
      <c r="F35" s="52">
        <f>IFERROR(__xludf.DUMMYFUNCTION("""COMPUTED_VALUE"""),12000.0)</f>
        <v>12000</v>
      </c>
      <c r="G35" s="49"/>
      <c r="H35" s="51" t="str">
        <f>IFERROR(__xludf.DUMMYFUNCTION("""COMPUTED_VALUE"""),"d694tk29")</f>
        <v>d694tk29</v>
      </c>
      <c r="I35" s="58">
        <f>IFERROR(__xludf.DUMMYFUNCTION("""COMPUTED_VALUE"""),45079.0)</f>
        <v>45079</v>
      </c>
      <c r="J35" s="59">
        <f>IFERROR(__xludf.DUMMYFUNCTION("""COMPUTED_VALUE"""),45082.0)</f>
        <v>45082</v>
      </c>
      <c r="K35" s="51">
        <f>IFERROR(__xludf.DUMMYFUNCTION("""COMPUTED_VALUE"""),3.0)</f>
        <v>3</v>
      </c>
      <c r="L35" s="51">
        <f>IFERROR(__xludf.DUMMYFUNCTION("""COMPUTED_VALUE"""),1.0)</f>
        <v>1</v>
      </c>
      <c r="M35" s="52">
        <f>IFERROR(__xludf.DUMMYFUNCTION("""COMPUTED_VALUE"""),12000.0)</f>
        <v>12000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51" t="str">
        <f>IFERROR(__xludf.DUMMYFUNCTION("""COMPUTED_VALUE"""),"d659j927")</f>
        <v>d659j927</v>
      </c>
      <c r="B36" s="58">
        <f>IFERROR(__xludf.DUMMYFUNCTION("""COMPUTED_VALUE"""),45084.0)</f>
        <v>45084</v>
      </c>
      <c r="C36" s="59">
        <f>IFERROR(__xludf.DUMMYFUNCTION("""COMPUTED_VALUE"""),45086.0)</f>
        <v>45086</v>
      </c>
      <c r="D36" s="51">
        <f>IFERROR(__xludf.DUMMYFUNCTION("""COMPUTED_VALUE"""),1.0)</f>
        <v>1</v>
      </c>
      <c r="E36" s="51">
        <f>IFERROR(__xludf.DUMMYFUNCTION("""COMPUTED_VALUE"""),1.0)</f>
        <v>1</v>
      </c>
      <c r="F36" s="52">
        <f>IFERROR(__xludf.DUMMYFUNCTION("""COMPUTED_VALUE"""),12000.0)</f>
        <v>12000</v>
      </c>
      <c r="G36" s="49"/>
      <c r="H36" s="51" t="str">
        <f>IFERROR(__xludf.DUMMYFUNCTION("""COMPUTED_VALUE"""),"d259vr60")</f>
        <v>d259vr60</v>
      </c>
      <c r="I36" s="58">
        <f>IFERROR(__xludf.DUMMYFUNCTION("""COMPUTED_VALUE"""),45079.0)</f>
        <v>45079</v>
      </c>
      <c r="J36" s="59">
        <f>IFERROR(__xludf.DUMMYFUNCTION("""COMPUTED_VALUE"""),45082.0)</f>
        <v>45082</v>
      </c>
      <c r="K36" s="51">
        <f>IFERROR(__xludf.DUMMYFUNCTION("""COMPUTED_VALUE"""),1.0)</f>
        <v>1</v>
      </c>
      <c r="L36" s="51">
        <f>IFERROR(__xludf.DUMMYFUNCTION("""COMPUTED_VALUE"""),1.0)</f>
        <v>1</v>
      </c>
      <c r="M36" s="52">
        <f>IFERROR(__xludf.DUMMYFUNCTION("""COMPUTED_VALUE"""),12000.0)</f>
        <v>12000</v>
      </c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51" t="str">
        <f>IFERROR(__xludf.DUMMYFUNCTION("""COMPUTED_VALUE"""),"d3224a46")</f>
        <v>d3224a46</v>
      </c>
      <c r="B37" s="58">
        <f>IFERROR(__xludf.DUMMYFUNCTION("""COMPUTED_VALUE"""),45085.0)</f>
        <v>45085</v>
      </c>
      <c r="C37" s="59">
        <f>IFERROR(__xludf.DUMMYFUNCTION("""COMPUTED_VALUE"""),45088.0)</f>
        <v>45088</v>
      </c>
      <c r="D37" s="51">
        <f>IFERROR(__xludf.DUMMYFUNCTION("""COMPUTED_VALUE"""),1.0)</f>
        <v>1</v>
      </c>
      <c r="E37" s="51">
        <f>IFERROR(__xludf.DUMMYFUNCTION("""COMPUTED_VALUE"""),1.0)</f>
        <v>1</v>
      </c>
      <c r="F37" s="52">
        <f>IFERROR(__xludf.DUMMYFUNCTION("""COMPUTED_VALUE"""),12000.0)</f>
        <v>12000</v>
      </c>
      <c r="G37" s="49"/>
      <c r="H37" s="51" t="str">
        <f>IFERROR(__xludf.DUMMYFUNCTION("""COMPUTED_VALUE"""),"d751ws77")</f>
        <v>d751ws77</v>
      </c>
      <c r="I37" s="58">
        <f>IFERROR(__xludf.DUMMYFUNCTION("""COMPUTED_VALUE"""),45079.0)</f>
        <v>45079</v>
      </c>
      <c r="J37" s="59">
        <f>IFERROR(__xludf.DUMMYFUNCTION("""COMPUTED_VALUE"""),45083.0)</f>
        <v>45083</v>
      </c>
      <c r="K37" s="51">
        <f>IFERROR(__xludf.DUMMYFUNCTION("""COMPUTED_VALUE"""),4.0)</f>
        <v>4</v>
      </c>
      <c r="L37" s="51">
        <f>IFERROR(__xludf.DUMMYFUNCTION("""COMPUTED_VALUE"""),1.0)</f>
        <v>1</v>
      </c>
      <c r="M37" s="52">
        <f>IFERROR(__xludf.DUMMYFUNCTION("""COMPUTED_VALUE"""),12000.0)</f>
        <v>12000</v>
      </c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51" t="str">
        <f>IFERROR(__xludf.DUMMYFUNCTION("""COMPUTED_VALUE"""),"d151ak81")</f>
        <v>d151ak81</v>
      </c>
      <c r="B38" s="58">
        <f>IFERROR(__xludf.DUMMYFUNCTION("""COMPUTED_VALUE"""),45085.0)</f>
        <v>45085</v>
      </c>
      <c r="C38" s="59">
        <f>IFERROR(__xludf.DUMMYFUNCTION("""COMPUTED_VALUE"""),45087.0)</f>
        <v>45087</v>
      </c>
      <c r="D38" s="51">
        <f>IFERROR(__xludf.DUMMYFUNCTION("""COMPUTED_VALUE"""),1.0)</f>
        <v>1</v>
      </c>
      <c r="E38" s="51">
        <f>IFERROR(__xludf.DUMMYFUNCTION("""COMPUTED_VALUE"""),1.0)</f>
        <v>1</v>
      </c>
      <c r="F38" s="52">
        <f>IFERROR(__xludf.DUMMYFUNCTION("""COMPUTED_VALUE"""),12000.0)</f>
        <v>12000</v>
      </c>
      <c r="G38" s="49"/>
      <c r="H38" s="51" t="str">
        <f>IFERROR(__xludf.DUMMYFUNCTION("""COMPUTED_VALUE"""),"d640or87")</f>
        <v>d640or87</v>
      </c>
      <c r="I38" s="58">
        <f>IFERROR(__xludf.DUMMYFUNCTION("""COMPUTED_VALUE"""),45079.0)</f>
        <v>45079</v>
      </c>
      <c r="J38" s="59">
        <f>IFERROR(__xludf.DUMMYFUNCTION("""COMPUTED_VALUE"""),45082.0)</f>
        <v>45082</v>
      </c>
      <c r="K38" s="51">
        <f>IFERROR(__xludf.DUMMYFUNCTION("""COMPUTED_VALUE"""),1.0)</f>
        <v>1</v>
      </c>
      <c r="L38" s="51">
        <f>IFERROR(__xludf.DUMMYFUNCTION("""COMPUTED_VALUE"""),1.0)</f>
        <v>1</v>
      </c>
      <c r="M38" s="52">
        <f>IFERROR(__xludf.DUMMYFUNCTION("""COMPUTED_VALUE"""),12000.0)</f>
        <v>12000</v>
      </c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51" t="str">
        <f>IFERROR(__xludf.DUMMYFUNCTION("""COMPUTED_VALUE"""),"d392lh84")</f>
        <v>d392lh84</v>
      </c>
      <c r="B39" s="58">
        <f>IFERROR(__xludf.DUMMYFUNCTION("""COMPUTED_VALUE"""),45086.0)</f>
        <v>45086</v>
      </c>
      <c r="C39" s="59">
        <f>IFERROR(__xludf.DUMMYFUNCTION("""COMPUTED_VALUE"""),45089.0)</f>
        <v>45089</v>
      </c>
      <c r="D39" s="51">
        <f>IFERROR(__xludf.DUMMYFUNCTION("""COMPUTED_VALUE"""),1.0)</f>
        <v>1</v>
      </c>
      <c r="E39" s="51">
        <f>IFERROR(__xludf.DUMMYFUNCTION("""COMPUTED_VALUE"""),1.0)</f>
        <v>1</v>
      </c>
      <c r="F39" s="52">
        <f>IFERROR(__xludf.DUMMYFUNCTION("""COMPUTED_VALUE"""),12000.0)</f>
        <v>12000</v>
      </c>
      <c r="G39" s="49"/>
      <c r="H39" s="51" t="str">
        <f>IFERROR(__xludf.DUMMYFUNCTION("""COMPUTED_VALUE"""),"d706xh23")</f>
        <v>d706xh23</v>
      </c>
      <c r="I39" s="58">
        <f>IFERROR(__xludf.DUMMYFUNCTION("""COMPUTED_VALUE"""),45079.0)</f>
        <v>45079</v>
      </c>
      <c r="J39" s="59">
        <f>IFERROR(__xludf.DUMMYFUNCTION("""COMPUTED_VALUE"""),45082.0)</f>
        <v>45082</v>
      </c>
      <c r="K39" s="51">
        <f>IFERROR(__xludf.DUMMYFUNCTION("""COMPUTED_VALUE"""),5.0)</f>
        <v>5</v>
      </c>
      <c r="L39" s="51">
        <f>IFERROR(__xludf.DUMMYFUNCTION("""COMPUTED_VALUE"""),1.0)</f>
        <v>1</v>
      </c>
      <c r="M39" s="52">
        <f>IFERROR(__xludf.DUMMYFUNCTION("""COMPUTED_VALUE"""),12000.0)</f>
        <v>12000</v>
      </c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51" t="str">
        <f>IFERROR(__xludf.DUMMYFUNCTION("""COMPUTED_VALUE"""),"d889ue72")</f>
        <v>d889ue72</v>
      </c>
      <c r="B40" s="58">
        <f>IFERROR(__xludf.DUMMYFUNCTION("""COMPUTED_VALUE"""),45087.0)</f>
        <v>45087</v>
      </c>
      <c r="C40" s="59">
        <f>IFERROR(__xludf.DUMMYFUNCTION("""COMPUTED_VALUE"""),45090.0)</f>
        <v>45090</v>
      </c>
      <c r="D40" s="51">
        <f>IFERROR(__xludf.DUMMYFUNCTION("""COMPUTED_VALUE"""),1.0)</f>
        <v>1</v>
      </c>
      <c r="E40" s="51">
        <f>IFERROR(__xludf.DUMMYFUNCTION("""COMPUTED_VALUE"""),1.0)</f>
        <v>1</v>
      </c>
      <c r="F40" s="52">
        <f>IFERROR(__xludf.DUMMYFUNCTION("""COMPUTED_VALUE"""),12000.0)</f>
        <v>12000</v>
      </c>
      <c r="G40" s="49"/>
      <c r="H40" s="51" t="str">
        <f>IFERROR(__xludf.DUMMYFUNCTION("""COMPUTED_VALUE"""),"d4126y09")</f>
        <v>d4126y09</v>
      </c>
      <c r="I40" s="58">
        <f>IFERROR(__xludf.DUMMYFUNCTION("""COMPUTED_VALUE"""),45079.0)</f>
        <v>45079</v>
      </c>
      <c r="J40" s="59">
        <f>IFERROR(__xludf.DUMMYFUNCTION("""COMPUTED_VALUE"""),45081.0)</f>
        <v>45081</v>
      </c>
      <c r="K40" s="51">
        <f>IFERROR(__xludf.DUMMYFUNCTION("""COMPUTED_VALUE"""),2.0)</f>
        <v>2</v>
      </c>
      <c r="L40" s="51">
        <f>IFERROR(__xludf.DUMMYFUNCTION("""COMPUTED_VALUE"""),1.0)</f>
        <v>1</v>
      </c>
      <c r="M40" s="52">
        <f>IFERROR(__xludf.DUMMYFUNCTION("""COMPUTED_VALUE"""),12000.0)</f>
        <v>12000</v>
      </c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51" t="str">
        <f>IFERROR(__xludf.DUMMYFUNCTION("""COMPUTED_VALUE"""),"d8191i60")</f>
        <v>d8191i60</v>
      </c>
      <c r="B41" s="59">
        <f>IFERROR(__xludf.DUMMYFUNCTION("""COMPUTED_VALUE"""),45088.0)</f>
        <v>45088</v>
      </c>
      <c r="C41" s="59">
        <f>IFERROR(__xludf.DUMMYFUNCTION("""COMPUTED_VALUE"""),45092.0)</f>
        <v>45092</v>
      </c>
      <c r="D41" s="51">
        <f>IFERROR(__xludf.DUMMYFUNCTION("""COMPUTED_VALUE"""),1.0)</f>
        <v>1</v>
      </c>
      <c r="E41" s="51">
        <f>IFERROR(__xludf.DUMMYFUNCTION("""COMPUTED_VALUE"""),1.0)</f>
        <v>1</v>
      </c>
      <c r="F41" s="52">
        <f>IFERROR(__xludf.DUMMYFUNCTION("""COMPUTED_VALUE"""),12000.0)</f>
        <v>12000</v>
      </c>
      <c r="G41" s="49"/>
      <c r="H41" s="51" t="str">
        <f>IFERROR(__xludf.DUMMYFUNCTION("""COMPUTED_VALUE"""),"d111in55")</f>
        <v>d111in55</v>
      </c>
      <c r="I41" s="58">
        <f>IFERROR(__xludf.DUMMYFUNCTION("""COMPUTED_VALUE"""),45080.0)</f>
        <v>45080</v>
      </c>
      <c r="J41" s="59">
        <f>IFERROR(__xludf.DUMMYFUNCTION("""COMPUTED_VALUE"""),45081.0)</f>
        <v>45081</v>
      </c>
      <c r="K41" s="51">
        <f>IFERROR(__xludf.DUMMYFUNCTION("""COMPUTED_VALUE"""),5.0)</f>
        <v>5</v>
      </c>
      <c r="L41" s="51">
        <f>IFERROR(__xludf.DUMMYFUNCTION("""COMPUTED_VALUE"""),1.0)</f>
        <v>1</v>
      </c>
      <c r="M41" s="52">
        <f>IFERROR(__xludf.DUMMYFUNCTION("""COMPUTED_VALUE"""),12000.0)</f>
        <v>12000</v>
      </c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51" t="str">
        <f>IFERROR(__xludf.DUMMYFUNCTION("""COMPUTED_VALUE"""),"d337gd04")</f>
        <v>d337gd04</v>
      </c>
      <c r="B42" s="58">
        <f>IFERROR(__xludf.DUMMYFUNCTION("""COMPUTED_VALUE"""),45089.0)</f>
        <v>45089</v>
      </c>
      <c r="C42" s="59">
        <f>IFERROR(__xludf.DUMMYFUNCTION("""COMPUTED_VALUE"""),45090.0)</f>
        <v>45090</v>
      </c>
      <c r="D42" s="51">
        <f>IFERROR(__xludf.DUMMYFUNCTION("""COMPUTED_VALUE"""),1.0)</f>
        <v>1</v>
      </c>
      <c r="E42" s="51">
        <f>IFERROR(__xludf.DUMMYFUNCTION("""COMPUTED_VALUE"""),1.0)</f>
        <v>1</v>
      </c>
      <c r="F42" s="52">
        <f>IFERROR(__xludf.DUMMYFUNCTION("""COMPUTED_VALUE"""),12000.0)</f>
        <v>12000</v>
      </c>
      <c r="G42" s="49"/>
      <c r="H42" s="51" t="str">
        <f>IFERROR(__xludf.DUMMYFUNCTION("""COMPUTED_VALUE"""),"d666a168")</f>
        <v>d666a168</v>
      </c>
      <c r="I42" s="58">
        <f>IFERROR(__xludf.DUMMYFUNCTION("""COMPUTED_VALUE"""),45080.0)</f>
        <v>45080</v>
      </c>
      <c r="J42" s="59">
        <f>IFERROR(__xludf.DUMMYFUNCTION("""COMPUTED_VALUE"""),45084.0)</f>
        <v>45084</v>
      </c>
      <c r="K42" s="51">
        <f>IFERROR(__xludf.DUMMYFUNCTION("""COMPUTED_VALUE"""),6.0)</f>
        <v>6</v>
      </c>
      <c r="L42" s="51">
        <f>IFERROR(__xludf.DUMMYFUNCTION("""COMPUTED_VALUE"""),1.0)</f>
        <v>1</v>
      </c>
      <c r="M42" s="52">
        <f>IFERROR(__xludf.DUMMYFUNCTION("""COMPUTED_VALUE"""),12000.0)</f>
        <v>12000</v>
      </c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51" t="str">
        <f>IFERROR(__xludf.DUMMYFUNCTION("""COMPUTED_VALUE"""),"d986to03")</f>
        <v>d986to03</v>
      </c>
      <c r="B43" s="58">
        <f>IFERROR(__xludf.DUMMYFUNCTION("""COMPUTED_VALUE"""),45090.0)</f>
        <v>45090</v>
      </c>
      <c r="C43" s="59">
        <f>IFERROR(__xludf.DUMMYFUNCTION("""COMPUTED_VALUE"""),45094.0)</f>
        <v>45094</v>
      </c>
      <c r="D43" s="51">
        <f>IFERROR(__xludf.DUMMYFUNCTION("""COMPUTED_VALUE"""),1.0)</f>
        <v>1</v>
      </c>
      <c r="E43" s="51">
        <f>IFERROR(__xludf.DUMMYFUNCTION("""COMPUTED_VALUE"""),1.0)</f>
        <v>1</v>
      </c>
      <c r="F43" s="52">
        <f>IFERROR(__xludf.DUMMYFUNCTION("""COMPUTED_VALUE"""),12000.0)</f>
        <v>12000</v>
      </c>
      <c r="G43" s="49"/>
      <c r="H43" s="51" t="str">
        <f>IFERROR(__xludf.DUMMYFUNCTION("""COMPUTED_VALUE"""),"d7021k65")</f>
        <v>d7021k65</v>
      </c>
      <c r="I43" s="58">
        <f>IFERROR(__xludf.DUMMYFUNCTION("""COMPUTED_VALUE"""),45080.0)</f>
        <v>45080</v>
      </c>
      <c r="J43" s="59">
        <f>IFERROR(__xludf.DUMMYFUNCTION("""COMPUTED_VALUE"""),45082.0)</f>
        <v>45082</v>
      </c>
      <c r="K43" s="51">
        <f>IFERROR(__xludf.DUMMYFUNCTION("""COMPUTED_VALUE"""),3.0)</f>
        <v>3</v>
      </c>
      <c r="L43" s="51">
        <f>IFERROR(__xludf.DUMMYFUNCTION("""COMPUTED_VALUE"""),1.0)</f>
        <v>1</v>
      </c>
      <c r="M43" s="52">
        <f>IFERROR(__xludf.DUMMYFUNCTION("""COMPUTED_VALUE"""),12000.0)</f>
        <v>12000</v>
      </c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51" t="str">
        <f>IFERROR(__xludf.DUMMYFUNCTION("""COMPUTED_VALUE"""),"d537b376")</f>
        <v>d537b376</v>
      </c>
      <c r="B44" s="58">
        <f>IFERROR(__xludf.DUMMYFUNCTION("""COMPUTED_VALUE"""),45090.0)</f>
        <v>45090</v>
      </c>
      <c r="C44" s="59">
        <f>IFERROR(__xludf.DUMMYFUNCTION("""COMPUTED_VALUE"""),45091.0)</f>
        <v>45091</v>
      </c>
      <c r="D44" s="51">
        <f>IFERROR(__xludf.DUMMYFUNCTION("""COMPUTED_VALUE"""),1.0)</f>
        <v>1</v>
      </c>
      <c r="E44" s="51">
        <f>IFERROR(__xludf.DUMMYFUNCTION("""COMPUTED_VALUE"""),1.0)</f>
        <v>1</v>
      </c>
      <c r="F44" s="52">
        <f>IFERROR(__xludf.DUMMYFUNCTION("""COMPUTED_VALUE"""),12000.0)</f>
        <v>12000</v>
      </c>
      <c r="G44" s="49"/>
      <c r="H44" s="51" t="str">
        <f>IFERROR(__xludf.DUMMYFUNCTION("""COMPUTED_VALUE"""),"d294w222")</f>
        <v>d294w222</v>
      </c>
      <c r="I44" s="58">
        <f>IFERROR(__xludf.DUMMYFUNCTION("""COMPUTED_VALUE"""),45080.0)</f>
        <v>45080</v>
      </c>
      <c r="J44" s="59">
        <f>IFERROR(__xludf.DUMMYFUNCTION("""COMPUTED_VALUE"""),45084.0)</f>
        <v>45084</v>
      </c>
      <c r="K44" s="51">
        <f>IFERROR(__xludf.DUMMYFUNCTION("""COMPUTED_VALUE"""),2.0)</f>
        <v>2</v>
      </c>
      <c r="L44" s="51">
        <f>IFERROR(__xludf.DUMMYFUNCTION("""COMPUTED_VALUE"""),1.0)</f>
        <v>1</v>
      </c>
      <c r="M44" s="52">
        <f>IFERROR(__xludf.DUMMYFUNCTION("""COMPUTED_VALUE"""),12000.0)</f>
        <v>12000</v>
      </c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51" t="str">
        <f>IFERROR(__xludf.DUMMYFUNCTION("""COMPUTED_VALUE"""),"d0574h92")</f>
        <v>d0574h92</v>
      </c>
      <c r="B45" s="58">
        <f>IFERROR(__xludf.DUMMYFUNCTION("""COMPUTED_VALUE"""),45090.0)</f>
        <v>45090</v>
      </c>
      <c r="C45" s="59">
        <f>IFERROR(__xludf.DUMMYFUNCTION("""COMPUTED_VALUE"""),45091.0)</f>
        <v>45091</v>
      </c>
      <c r="D45" s="51">
        <f>IFERROR(__xludf.DUMMYFUNCTION("""COMPUTED_VALUE"""),1.0)</f>
        <v>1</v>
      </c>
      <c r="E45" s="51">
        <f>IFERROR(__xludf.DUMMYFUNCTION("""COMPUTED_VALUE"""),1.0)</f>
        <v>1</v>
      </c>
      <c r="F45" s="52">
        <f>IFERROR(__xludf.DUMMYFUNCTION("""COMPUTED_VALUE"""),12000.0)</f>
        <v>12000</v>
      </c>
      <c r="G45" s="49"/>
      <c r="H45" s="51" t="str">
        <f>IFERROR(__xludf.DUMMYFUNCTION("""COMPUTED_VALUE"""),"d778r615")</f>
        <v>d778r615</v>
      </c>
      <c r="I45" s="58">
        <f>IFERROR(__xludf.DUMMYFUNCTION("""COMPUTED_VALUE"""),45080.0)</f>
        <v>45080</v>
      </c>
      <c r="J45" s="59">
        <f>IFERROR(__xludf.DUMMYFUNCTION("""COMPUTED_VALUE"""),45082.0)</f>
        <v>45082</v>
      </c>
      <c r="K45" s="51">
        <f>IFERROR(__xludf.DUMMYFUNCTION("""COMPUTED_VALUE"""),1.0)</f>
        <v>1</v>
      </c>
      <c r="L45" s="51">
        <f>IFERROR(__xludf.DUMMYFUNCTION("""COMPUTED_VALUE"""),1.0)</f>
        <v>1</v>
      </c>
      <c r="M45" s="52">
        <f>IFERROR(__xludf.DUMMYFUNCTION("""COMPUTED_VALUE"""),12000.0)</f>
        <v>12000</v>
      </c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51" t="str">
        <f>IFERROR(__xludf.DUMMYFUNCTION("""COMPUTED_VALUE"""),"d8499w21")</f>
        <v>d8499w21</v>
      </c>
      <c r="B46" s="58">
        <f>IFERROR(__xludf.DUMMYFUNCTION("""COMPUTED_VALUE"""),45091.0)</f>
        <v>45091</v>
      </c>
      <c r="C46" s="59">
        <f>IFERROR(__xludf.DUMMYFUNCTION("""COMPUTED_VALUE"""),45094.0)</f>
        <v>45094</v>
      </c>
      <c r="D46" s="51">
        <f>IFERROR(__xludf.DUMMYFUNCTION("""COMPUTED_VALUE"""),1.0)</f>
        <v>1</v>
      </c>
      <c r="E46" s="51">
        <f>IFERROR(__xludf.DUMMYFUNCTION("""COMPUTED_VALUE"""),1.0)</f>
        <v>1</v>
      </c>
      <c r="F46" s="52">
        <f>IFERROR(__xludf.DUMMYFUNCTION("""COMPUTED_VALUE"""),12000.0)</f>
        <v>12000</v>
      </c>
      <c r="G46" s="49"/>
      <c r="H46" s="51" t="str">
        <f>IFERROR(__xludf.DUMMYFUNCTION("""COMPUTED_VALUE"""),"d515y192")</f>
        <v>d515y192</v>
      </c>
      <c r="I46" s="58">
        <f>IFERROR(__xludf.DUMMYFUNCTION("""COMPUTED_VALUE"""),45080.0)</f>
        <v>45080</v>
      </c>
      <c r="J46" s="59">
        <f>IFERROR(__xludf.DUMMYFUNCTION("""COMPUTED_VALUE"""),45082.0)</f>
        <v>45082</v>
      </c>
      <c r="K46" s="51">
        <f>IFERROR(__xludf.DUMMYFUNCTION("""COMPUTED_VALUE"""),5.0)</f>
        <v>5</v>
      </c>
      <c r="L46" s="51">
        <f>IFERROR(__xludf.DUMMYFUNCTION("""COMPUTED_VALUE"""),1.0)</f>
        <v>1</v>
      </c>
      <c r="M46" s="52">
        <f>IFERROR(__xludf.DUMMYFUNCTION("""COMPUTED_VALUE"""),12000.0)</f>
        <v>12000</v>
      </c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51" t="str">
        <f>IFERROR(__xludf.DUMMYFUNCTION("""COMPUTED_VALUE"""),"d341et51")</f>
        <v>d341et51</v>
      </c>
      <c r="B47" s="58">
        <f>IFERROR(__xludf.DUMMYFUNCTION("""COMPUTED_VALUE"""),45092.0)</f>
        <v>45092</v>
      </c>
      <c r="C47" s="59">
        <f>IFERROR(__xludf.DUMMYFUNCTION("""COMPUTED_VALUE"""),45095.0)</f>
        <v>45095</v>
      </c>
      <c r="D47" s="51">
        <f>IFERROR(__xludf.DUMMYFUNCTION("""COMPUTED_VALUE"""),1.0)</f>
        <v>1</v>
      </c>
      <c r="E47" s="51">
        <f>IFERROR(__xludf.DUMMYFUNCTION("""COMPUTED_VALUE"""),1.0)</f>
        <v>1</v>
      </c>
      <c r="F47" s="52">
        <f>IFERROR(__xludf.DUMMYFUNCTION("""COMPUTED_VALUE"""),12000.0)</f>
        <v>12000</v>
      </c>
      <c r="G47" s="49"/>
      <c r="H47" s="51" t="str">
        <f>IFERROR(__xludf.DUMMYFUNCTION("""COMPUTED_VALUE"""),"d584lz61")</f>
        <v>d584lz61</v>
      </c>
      <c r="I47" s="58">
        <f>IFERROR(__xludf.DUMMYFUNCTION("""COMPUTED_VALUE"""),45081.0)</f>
        <v>45081</v>
      </c>
      <c r="J47" s="59">
        <f>IFERROR(__xludf.DUMMYFUNCTION("""COMPUTED_VALUE"""),45086.0)</f>
        <v>45086</v>
      </c>
      <c r="K47" s="51">
        <f>IFERROR(__xludf.DUMMYFUNCTION("""COMPUTED_VALUE"""),3.0)</f>
        <v>3</v>
      </c>
      <c r="L47" s="51">
        <f>IFERROR(__xludf.DUMMYFUNCTION("""COMPUTED_VALUE"""),1.0)</f>
        <v>1</v>
      </c>
      <c r="M47" s="52">
        <f>IFERROR(__xludf.DUMMYFUNCTION("""COMPUTED_VALUE"""),12000.0)</f>
        <v>12000</v>
      </c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51" t="str">
        <f>IFERROR(__xludf.DUMMYFUNCTION("""COMPUTED_VALUE"""),"d815zl25")</f>
        <v>d815zl25</v>
      </c>
      <c r="B48" s="58">
        <f>IFERROR(__xludf.DUMMYFUNCTION("""COMPUTED_VALUE"""),45093.0)</f>
        <v>45093</v>
      </c>
      <c r="C48" s="59">
        <f>IFERROR(__xludf.DUMMYFUNCTION("""COMPUTED_VALUE"""),45095.0)</f>
        <v>45095</v>
      </c>
      <c r="D48" s="51">
        <f>IFERROR(__xludf.DUMMYFUNCTION("""COMPUTED_VALUE"""),1.0)</f>
        <v>1</v>
      </c>
      <c r="E48" s="51">
        <f>IFERROR(__xludf.DUMMYFUNCTION("""COMPUTED_VALUE"""),1.0)</f>
        <v>1</v>
      </c>
      <c r="F48" s="52">
        <f>IFERROR(__xludf.DUMMYFUNCTION("""COMPUTED_VALUE"""),12000.0)</f>
        <v>12000</v>
      </c>
      <c r="G48" s="49"/>
      <c r="H48" s="51" t="str">
        <f>IFERROR(__xludf.DUMMYFUNCTION("""COMPUTED_VALUE"""),"d072er26")</f>
        <v>d072er26</v>
      </c>
      <c r="I48" s="58">
        <f>IFERROR(__xludf.DUMMYFUNCTION("""COMPUTED_VALUE"""),45081.0)</f>
        <v>45081</v>
      </c>
      <c r="J48" s="59">
        <f>IFERROR(__xludf.DUMMYFUNCTION("""COMPUTED_VALUE"""),45084.0)</f>
        <v>45084</v>
      </c>
      <c r="K48" s="51">
        <f>IFERROR(__xludf.DUMMYFUNCTION("""COMPUTED_VALUE"""),2.0)</f>
        <v>2</v>
      </c>
      <c r="L48" s="51">
        <f>IFERROR(__xludf.DUMMYFUNCTION("""COMPUTED_VALUE"""),1.0)</f>
        <v>1</v>
      </c>
      <c r="M48" s="52">
        <f>IFERROR(__xludf.DUMMYFUNCTION("""COMPUTED_VALUE"""),12000.0)</f>
        <v>12000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51" t="str">
        <f>IFERROR(__xludf.DUMMYFUNCTION("""COMPUTED_VALUE"""),"d165se63")</f>
        <v>d165se63</v>
      </c>
      <c r="B49" s="58">
        <f>IFERROR(__xludf.DUMMYFUNCTION("""COMPUTED_VALUE"""),45093.0)</f>
        <v>45093</v>
      </c>
      <c r="C49" s="59">
        <f>IFERROR(__xludf.DUMMYFUNCTION("""COMPUTED_VALUE"""),45098.0)</f>
        <v>45098</v>
      </c>
      <c r="D49" s="51">
        <f>IFERROR(__xludf.DUMMYFUNCTION("""COMPUTED_VALUE"""),1.0)</f>
        <v>1</v>
      </c>
      <c r="E49" s="51">
        <f>IFERROR(__xludf.DUMMYFUNCTION("""COMPUTED_VALUE"""),1.0)</f>
        <v>1</v>
      </c>
      <c r="F49" s="52">
        <f>IFERROR(__xludf.DUMMYFUNCTION("""COMPUTED_VALUE"""),12000.0)</f>
        <v>12000</v>
      </c>
      <c r="G49" s="49"/>
      <c r="H49" s="51" t="str">
        <f>IFERROR(__xludf.DUMMYFUNCTION("""COMPUTED_VALUE"""),"d9767u72")</f>
        <v>d9767u72</v>
      </c>
      <c r="I49" s="58">
        <f>IFERROR(__xludf.DUMMYFUNCTION("""COMPUTED_VALUE"""),45081.0)</f>
        <v>45081</v>
      </c>
      <c r="J49" s="59">
        <f>IFERROR(__xludf.DUMMYFUNCTION("""COMPUTED_VALUE"""),45085.0)</f>
        <v>45085</v>
      </c>
      <c r="K49" s="51">
        <f>IFERROR(__xludf.DUMMYFUNCTION("""COMPUTED_VALUE"""),1.0)</f>
        <v>1</v>
      </c>
      <c r="L49" s="51">
        <f>IFERROR(__xludf.DUMMYFUNCTION("""COMPUTED_VALUE"""),1.0)</f>
        <v>1</v>
      </c>
      <c r="M49" s="52">
        <f>IFERROR(__xludf.DUMMYFUNCTION("""COMPUTED_VALUE"""),12000.0)</f>
        <v>12000</v>
      </c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51" t="str">
        <f>IFERROR(__xludf.DUMMYFUNCTION("""COMPUTED_VALUE"""),"d4123h93")</f>
        <v>d4123h93</v>
      </c>
      <c r="B50" s="58">
        <f>IFERROR(__xludf.DUMMYFUNCTION("""COMPUTED_VALUE"""),45095.0)</f>
        <v>45095</v>
      </c>
      <c r="C50" s="59">
        <f>IFERROR(__xludf.DUMMYFUNCTION("""COMPUTED_VALUE"""),45099.0)</f>
        <v>45099</v>
      </c>
      <c r="D50" s="51">
        <f>IFERROR(__xludf.DUMMYFUNCTION("""COMPUTED_VALUE"""),1.0)</f>
        <v>1</v>
      </c>
      <c r="E50" s="51">
        <f>IFERROR(__xludf.DUMMYFUNCTION("""COMPUTED_VALUE"""),1.0)</f>
        <v>1</v>
      </c>
      <c r="F50" s="52">
        <f>IFERROR(__xludf.DUMMYFUNCTION("""COMPUTED_VALUE"""),12000.0)</f>
        <v>12000</v>
      </c>
      <c r="G50" s="49"/>
      <c r="H50" s="51" t="str">
        <f>IFERROR(__xludf.DUMMYFUNCTION("""COMPUTED_VALUE"""),"d813js54")</f>
        <v>d813js54</v>
      </c>
      <c r="I50" s="58">
        <f>IFERROR(__xludf.DUMMYFUNCTION("""COMPUTED_VALUE"""),45081.0)</f>
        <v>45081</v>
      </c>
      <c r="J50" s="59">
        <f>IFERROR(__xludf.DUMMYFUNCTION("""COMPUTED_VALUE"""),45086.0)</f>
        <v>45086</v>
      </c>
      <c r="K50" s="51">
        <f>IFERROR(__xludf.DUMMYFUNCTION("""COMPUTED_VALUE"""),1.0)</f>
        <v>1</v>
      </c>
      <c r="L50" s="51">
        <f>IFERROR(__xludf.DUMMYFUNCTION("""COMPUTED_VALUE"""),1.0)</f>
        <v>1</v>
      </c>
      <c r="M50" s="52">
        <f>IFERROR(__xludf.DUMMYFUNCTION("""COMPUTED_VALUE"""),12000.0)</f>
        <v>12000</v>
      </c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51" t="str">
        <f>IFERROR(__xludf.DUMMYFUNCTION("""COMPUTED_VALUE"""),"d620vw69")</f>
        <v>d620vw69</v>
      </c>
      <c r="B51" s="58">
        <f>IFERROR(__xludf.DUMMYFUNCTION("""COMPUTED_VALUE"""),45096.0)</f>
        <v>45096</v>
      </c>
      <c r="C51" s="59">
        <f>IFERROR(__xludf.DUMMYFUNCTION("""COMPUTED_VALUE"""),45100.0)</f>
        <v>45100</v>
      </c>
      <c r="D51" s="51">
        <f>IFERROR(__xludf.DUMMYFUNCTION("""COMPUTED_VALUE"""),1.0)</f>
        <v>1</v>
      </c>
      <c r="E51" s="51">
        <f>IFERROR(__xludf.DUMMYFUNCTION("""COMPUTED_VALUE"""),1.0)</f>
        <v>1</v>
      </c>
      <c r="F51" s="52">
        <f>IFERROR(__xludf.DUMMYFUNCTION("""COMPUTED_VALUE"""),12000.0)</f>
        <v>12000</v>
      </c>
      <c r="G51" s="49"/>
      <c r="H51" s="51" t="str">
        <f>IFERROR(__xludf.DUMMYFUNCTION("""COMPUTED_VALUE"""),"d319so27")</f>
        <v>d319so27</v>
      </c>
      <c r="I51" s="58">
        <f>IFERROR(__xludf.DUMMYFUNCTION("""COMPUTED_VALUE"""),45081.0)</f>
        <v>45081</v>
      </c>
      <c r="J51" s="59">
        <f>IFERROR(__xludf.DUMMYFUNCTION("""COMPUTED_VALUE"""),45082.0)</f>
        <v>45082</v>
      </c>
      <c r="K51" s="51">
        <f>IFERROR(__xludf.DUMMYFUNCTION("""COMPUTED_VALUE"""),6.0)</f>
        <v>6</v>
      </c>
      <c r="L51" s="51">
        <f>IFERROR(__xludf.DUMMYFUNCTION("""COMPUTED_VALUE"""),1.0)</f>
        <v>1</v>
      </c>
      <c r="M51" s="52">
        <f>IFERROR(__xludf.DUMMYFUNCTION("""COMPUTED_VALUE"""),12000.0)</f>
        <v>12000</v>
      </c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51" t="str">
        <f>IFERROR(__xludf.DUMMYFUNCTION("""COMPUTED_VALUE"""),"d0180082")</f>
        <v>d0180082</v>
      </c>
      <c r="B52" s="58">
        <f>IFERROR(__xludf.DUMMYFUNCTION("""COMPUTED_VALUE"""),45097.0)</f>
        <v>45097</v>
      </c>
      <c r="C52" s="59">
        <f>IFERROR(__xludf.DUMMYFUNCTION("""COMPUTED_VALUE"""),45098.0)</f>
        <v>45098</v>
      </c>
      <c r="D52" s="51">
        <f>IFERROR(__xludf.DUMMYFUNCTION("""COMPUTED_VALUE"""),1.0)</f>
        <v>1</v>
      </c>
      <c r="E52" s="51">
        <f>IFERROR(__xludf.DUMMYFUNCTION("""COMPUTED_VALUE"""),1.0)</f>
        <v>1</v>
      </c>
      <c r="F52" s="52">
        <f>IFERROR(__xludf.DUMMYFUNCTION("""COMPUTED_VALUE"""),12000.0)</f>
        <v>12000</v>
      </c>
      <c r="G52" s="49"/>
      <c r="H52" s="51" t="str">
        <f>IFERROR(__xludf.DUMMYFUNCTION("""COMPUTED_VALUE"""),"d714to22")</f>
        <v>d714to22</v>
      </c>
      <c r="I52" s="58">
        <f>IFERROR(__xludf.DUMMYFUNCTION("""COMPUTED_VALUE"""),45081.0)</f>
        <v>45081</v>
      </c>
      <c r="J52" s="59">
        <f>IFERROR(__xludf.DUMMYFUNCTION("""COMPUTED_VALUE"""),45086.0)</f>
        <v>45086</v>
      </c>
      <c r="K52" s="51">
        <f>IFERROR(__xludf.DUMMYFUNCTION("""COMPUTED_VALUE"""),4.0)</f>
        <v>4</v>
      </c>
      <c r="L52" s="51">
        <f>IFERROR(__xludf.DUMMYFUNCTION("""COMPUTED_VALUE"""),1.0)</f>
        <v>1</v>
      </c>
      <c r="M52" s="52">
        <f>IFERROR(__xludf.DUMMYFUNCTION("""COMPUTED_VALUE"""),12000.0)</f>
        <v>12000</v>
      </c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51" t="str">
        <f>IFERROR(__xludf.DUMMYFUNCTION("""COMPUTED_VALUE"""),"d521zv60")</f>
        <v>d521zv60</v>
      </c>
      <c r="B53" s="58">
        <f>IFERROR(__xludf.DUMMYFUNCTION("""COMPUTED_VALUE"""),45097.0)</f>
        <v>45097</v>
      </c>
      <c r="C53" s="59">
        <f>IFERROR(__xludf.DUMMYFUNCTION("""COMPUTED_VALUE"""),45102.0)</f>
        <v>45102</v>
      </c>
      <c r="D53" s="51">
        <f>IFERROR(__xludf.DUMMYFUNCTION("""COMPUTED_VALUE"""),1.0)</f>
        <v>1</v>
      </c>
      <c r="E53" s="51">
        <f>IFERROR(__xludf.DUMMYFUNCTION("""COMPUTED_VALUE"""),1.0)</f>
        <v>1</v>
      </c>
      <c r="F53" s="52">
        <f>IFERROR(__xludf.DUMMYFUNCTION("""COMPUTED_VALUE"""),12000.0)</f>
        <v>12000</v>
      </c>
      <c r="G53" s="49"/>
      <c r="H53" s="51" t="str">
        <f>IFERROR(__xludf.DUMMYFUNCTION("""COMPUTED_VALUE"""),"d206qt55")</f>
        <v>d206qt55</v>
      </c>
      <c r="I53" s="58">
        <f>IFERROR(__xludf.DUMMYFUNCTION("""COMPUTED_VALUE"""),45081.0)</f>
        <v>45081</v>
      </c>
      <c r="J53" s="59">
        <f>IFERROR(__xludf.DUMMYFUNCTION("""COMPUTED_VALUE"""),45085.0)</f>
        <v>45085</v>
      </c>
      <c r="K53" s="51">
        <f>IFERROR(__xludf.DUMMYFUNCTION("""COMPUTED_VALUE"""),2.0)</f>
        <v>2</v>
      </c>
      <c r="L53" s="51">
        <f>IFERROR(__xludf.DUMMYFUNCTION("""COMPUTED_VALUE"""),1.0)</f>
        <v>1</v>
      </c>
      <c r="M53" s="52">
        <f>IFERROR(__xludf.DUMMYFUNCTION("""COMPUTED_VALUE"""),12000.0)</f>
        <v>12000</v>
      </c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51" t="str">
        <f>IFERROR(__xludf.DUMMYFUNCTION("""COMPUTED_VALUE"""),"d3582x49")</f>
        <v>d3582x49</v>
      </c>
      <c r="B54" s="58">
        <f>IFERROR(__xludf.DUMMYFUNCTION("""COMPUTED_VALUE"""),45097.0)</f>
        <v>45097</v>
      </c>
      <c r="C54" s="59">
        <f>IFERROR(__xludf.DUMMYFUNCTION("""COMPUTED_VALUE"""),45100.0)</f>
        <v>45100</v>
      </c>
      <c r="D54" s="51">
        <f>IFERROR(__xludf.DUMMYFUNCTION("""COMPUTED_VALUE"""),1.0)</f>
        <v>1</v>
      </c>
      <c r="E54" s="51">
        <f>IFERROR(__xludf.DUMMYFUNCTION("""COMPUTED_VALUE"""),1.0)</f>
        <v>1</v>
      </c>
      <c r="F54" s="52">
        <f>IFERROR(__xludf.DUMMYFUNCTION("""COMPUTED_VALUE"""),12000.0)</f>
        <v>12000</v>
      </c>
      <c r="G54" s="49"/>
      <c r="H54" s="51" t="str">
        <f>IFERROR(__xludf.DUMMYFUNCTION("""COMPUTED_VALUE"""),"d6769j32")</f>
        <v>d6769j32</v>
      </c>
      <c r="I54" s="58">
        <f>IFERROR(__xludf.DUMMYFUNCTION("""COMPUTED_VALUE"""),45082.0)</f>
        <v>45082</v>
      </c>
      <c r="J54" s="59">
        <f>IFERROR(__xludf.DUMMYFUNCTION("""COMPUTED_VALUE"""),45085.0)</f>
        <v>45085</v>
      </c>
      <c r="K54" s="51">
        <f>IFERROR(__xludf.DUMMYFUNCTION("""COMPUTED_VALUE"""),2.0)</f>
        <v>2</v>
      </c>
      <c r="L54" s="51">
        <f>IFERROR(__xludf.DUMMYFUNCTION("""COMPUTED_VALUE"""),1.0)</f>
        <v>1</v>
      </c>
      <c r="M54" s="52">
        <f>IFERROR(__xludf.DUMMYFUNCTION("""COMPUTED_VALUE"""),12000.0)</f>
        <v>12000</v>
      </c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51" t="str">
        <f>IFERROR(__xludf.DUMMYFUNCTION("""COMPUTED_VALUE"""),"d5173k22")</f>
        <v>d5173k22</v>
      </c>
      <c r="B55" s="58">
        <f>IFERROR(__xludf.DUMMYFUNCTION("""COMPUTED_VALUE"""),45098.0)</f>
        <v>45098</v>
      </c>
      <c r="C55" s="59">
        <f>IFERROR(__xludf.DUMMYFUNCTION("""COMPUTED_VALUE"""),45101.0)</f>
        <v>45101</v>
      </c>
      <c r="D55" s="51">
        <f>IFERROR(__xludf.DUMMYFUNCTION("""COMPUTED_VALUE"""),1.0)</f>
        <v>1</v>
      </c>
      <c r="E55" s="51">
        <f>IFERROR(__xludf.DUMMYFUNCTION("""COMPUTED_VALUE"""),1.0)</f>
        <v>1</v>
      </c>
      <c r="F55" s="52">
        <f>IFERROR(__xludf.DUMMYFUNCTION("""COMPUTED_VALUE"""),12000.0)</f>
        <v>12000</v>
      </c>
      <c r="G55" s="49"/>
      <c r="H55" s="51" t="str">
        <f>IFERROR(__xludf.DUMMYFUNCTION("""COMPUTED_VALUE"""),"d587ri96")</f>
        <v>d587ri96</v>
      </c>
      <c r="I55" s="58">
        <f>IFERROR(__xludf.DUMMYFUNCTION("""COMPUTED_VALUE"""),45082.0)</f>
        <v>45082</v>
      </c>
      <c r="J55" s="59">
        <f>IFERROR(__xludf.DUMMYFUNCTION("""COMPUTED_VALUE"""),45086.0)</f>
        <v>45086</v>
      </c>
      <c r="K55" s="51">
        <f>IFERROR(__xludf.DUMMYFUNCTION("""COMPUTED_VALUE"""),6.0)</f>
        <v>6</v>
      </c>
      <c r="L55" s="51">
        <f>IFERROR(__xludf.DUMMYFUNCTION("""COMPUTED_VALUE"""),1.0)</f>
        <v>1</v>
      </c>
      <c r="M55" s="52">
        <f>IFERROR(__xludf.DUMMYFUNCTION("""COMPUTED_VALUE"""),12000.0)</f>
        <v>12000</v>
      </c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51" t="str">
        <f>IFERROR(__xludf.DUMMYFUNCTION("""COMPUTED_VALUE"""),"d030o029")</f>
        <v>d030o029</v>
      </c>
      <c r="B56" s="58">
        <f>IFERROR(__xludf.DUMMYFUNCTION("""COMPUTED_VALUE"""),45100.0)</f>
        <v>45100</v>
      </c>
      <c r="C56" s="59">
        <f>IFERROR(__xludf.DUMMYFUNCTION("""COMPUTED_VALUE"""),45101.0)</f>
        <v>45101</v>
      </c>
      <c r="D56" s="51">
        <f>IFERROR(__xludf.DUMMYFUNCTION("""COMPUTED_VALUE"""),1.0)</f>
        <v>1</v>
      </c>
      <c r="E56" s="51">
        <f>IFERROR(__xludf.DUMMYFUNCTION("""COMPUTED_VALUE"""),1.0)</f>
        <v>1</v>
      </c>
      <c r="F56" s="52">
        <f>IFERROR(__xludf.DUMMYFUNCTION("""COMPUTED_VALUE"""),12000.0)</f>
        <v>12000</v>
      </c>
      <c r="G56" s="49"/>
      <c r="H56" s="51" t="str">
        <f>IFERROR(__xludf.DUMMYFUNCTION("""COMPUTED_VALUE"""),"d827z233")</f>
        <v>d827z233</v>
      </c>
      <c r="I56" s="58">
        <f>IFERROR(__xludf.DUMMYFUNCTION("""COMPUTED_VALUE"""),45082.0)</f>
        <v>45082</v>
      </c>
      <c r="J56" s="59">
        <f>IFERROR(__xludf.DUMMYFUNCTION("""COMPUTED_VALUE"""),45084.0)</f>
        <v>45084</v>
      </c>
      <c r="K56" s="51">
        <f>IFERROR(__xludf.DUMMYFUNCTION("""COMPUTED_VALUE"""),3.0)</f>
        <v>3</v>
      </c>
      <c r="L56" s="51">
        <f>IFERROR(__xludf.DUMMYFUNCTION("""COMPUTED_VALUE"""),1.0)</f>
        <v>1</v>
      </c>
      <c r="M56" s="52">
        <f>IFERROR(__xludf.DUMMYFUNCTION("""COMPUTED_VALUE"""),12000.0)</f>
        <v>12000</v>
      </c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51" t="str">
        <f>IFERROR(__xludf.DUMMYFUNCTION("""COMPUTED_VALUE"""),"d360lf55")</f>
        <v>d360lf55</v>
      </c>
      <c r="B57" s="58">
        <f>IFERROR(__xludf.DUMMYFUNCTION("""COMPUTED_VALUE"""),45100.0)</f>
        <v>45100</v>
      </c>
      <c r="C57" s="59">
        <f>IFERROR(__xludf.DUMMYFUNCTION("""COMPUTED_VALUE"""),45103.0)</f>
        <v>45103</v>
      </c>
      <c r="D57" s="51">
        <f>IFERROR(__xludf.DUMMYFUNCTION("""COMPUTED_VALUE"""),1.0)</f>
        <v>1</v>
      </c>
      <c r="E57" s="51">
        <f>IFERROR(__xludf.DUMMYFUNCTION("""COMPUTED_VALUE"""),1.0)</f>
        <v>1</v>
      </c>
      <c r="F57" s="52">
        <f>IFERROR(__xludf.DUMMYFUNCTION("""COMPUTED_VALUE"""),12000.0)</f>
        <v>12000</v>
      </c>
      <c r="G57" s="49"/>
      <c r="H57" s="51" t="str">
        <f>IFERROR(__xludf.DUMMYFUNCTION("""COMPUTED_VALUE"""),"d969j659")</f>
        <v>d969j659</v>
      </c>
      <c r="I57" s="58">
        <f>IFERROR(__xludf.DUMMYFUNCTION("""COMPUTED_VALUE"""),45082.0)</f>
        <v>45082</v>
      </c>
      <c r="J57" s="59">
        <f>IFERROR(__xludf.DUMMYFUNCTION("""COMPUTED_VALUE"""),45086.0)</f>
        <v>45086</v>
      </c>
      <c r="K57" s="51">
        <f>IFERROR(__xludf.DUMMYFUNCTION("""COMPUTED_VALUE"""),2.0)</f>
        <v>2</v>
      </c>
      <c r="L57" s="51">
        <f>IFERROR(__xludf.DUMMYFUNCTION("""COMPUTED_VALUE"""),1.0)</f>
        <v>1</v>
      </c>
      <c r="M57" s="52">
        <f>IFERROR(__xludf.DUMMYFUNCTION("""COMPUTED_VALUE"""),12000.0)</f>
        <v>12000</v>
      </c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51" t="str">
        <f>IFERROR(__xludf.DUMMYFUNCTION("""COMPUTED_VALUE"""),"d994cc10")</f>
        <v>d994cc10</v>
      </c>
      <c r="B58" s="58">
        <f>IFERROR(__xludf.DUMMYFUNCTION("""COMPUTED_VALUE"""),45101.0)</f>
        <v>45101</v>
      </c>
      <c r="C58" s="59">
        <f>IFERROR(__xludf.DUMMYFUNCTION("""COMPUTED_VALUE"""),45103.0)</f>
        <v>45103</v>
      </c>
      <c r="D58" s="51">
        <f>IFERROR(__xludf.DUMMYFUNCTION("""COMPUTED_VALUE"""),1.0)</f>
        <v>1</v>
      </c>
      <c r="E58" s="51">
        <f>IFERROR(__xludf.DUMMYFUNCTION("""COMPUTED_VALUE"""),1.0)</f>
        <v>1</v>
      </c>
      <c r="F58" s="52">
        <f>IFERROR(__xludf.DUMMYFUNCTION("""COMPUTED_VALUE"""),12000.0)</f>
        <v>12000</v>
      </c>
      <c r="G58" s="49"/>
      <c r="H58" s="51" t="str">
        <f>IFERROR(__xludf.DUMMYFUNCTION("""COMPUTED_VALUE"""),"d354li33")</f>
        <v>d354li33</v>
      </c>
      <c r="I58" s="59">
        <f>IFERROR(__xludf.DUMMYFUNCTION("""COMPUTED_VALUE"""),45083.0)</f>
        <v>45083</v>
      </c>
      <c r="J58" s="59">
        <f>IFERROR(__xludf.DUMMYFUNCTION("""COMPUTED_VALUE"""),45087.0)</f>
        <v>45087</v>
      </c>
      <c r="K58" s="51">
        <f>IFERROR(__xludf.DUMMYFUNCTION("""COMPUTED_VALUE"""),6.0)</f>
        <v>6</v>
      </c>
      <c r="L58" s="51">
        <f>IFERROR(__xludf.DUMMYFUNCTION("""COMPUTED_VALUE"""),1.0)</f>
        <v>1</v>
      </c>
      <c r="M58" s="52">
        <f>IFERROR(__xludf.DUMMYFUNCTION("""COMPUTED_VALUE"""),12000.0)</f>
        <v>12000</v>
      </c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51" t="str">
        <f>IFERROR(__xludf.DUMMYFUNCTION("""COMPUTED_VALUE"""),"d988l829")</f>
        <v>d988l829</v>
      </c>
      <c r="B59" s="58">
        <f>IFERROR(__xludf.DUMMYFUNCTION("""COMPUTED_VALUE"""),45103.0)</f>
        <v>45103</v>
      </c>
      <c r="C59" s="59">
        <f>IFERROR(__xludf.DUMMYFUNCTION("""COMPUTED_VALUE"""),45107.0)</f>
        <v>45107</v>
      </c>
      <c r="D59" s="51">
        <f>IFERROR(__xludf.DUMMYFUNCTION("""COMPUTED_VALUE"""),1.0)</f>
        <v>1</v>
      </c>
      <c r="E59" s="51">
        <f>IFERROR(__xludf.DUMMYFUNCTION("""COMPUTED_VALUE"""),1.0)</f>
        <v>1</v>
      </c>
      <c r="F59" s="52">
        <f>IFERROR(__xludf.DUMMYFUNCTION("""COMPUTED_VALUE"""),12000.0)</f>
        <v>12000</v>
      </c>
      <c r="G59" s="49"/>
      <c r="H59" s="51" t="str">
        <f>IFERROR(__xludf.DUMMYFUNCTION("""COMPUTED_VALUE"""),"d860sq91")</f>
        <v>d860sq91</v>
      </c>
      <c r="I59" s="58">
        <f>IFERROR(__xludf.DUMMYFUNCTION("""COMPUTED_VALUE"""),45083.0)</f>
        <v>45083</v>
      </c>
      <c r="J59" s="59">
        <f>IFERROR(__xludf.DUMMYFUNCTION("""COMPUTED_VALUE"""),45088.0)</f>
        <v>45088</v>
      </c>
      <c r="K59" s="51">
        <f>IFERROR(__xludf.DUMMYFUNCTION("""COMPUTED_VALUE"""),4.0)</f>
        <v>4</v>
      </c>
      <c r="L59" s="51">
        <f>IFERROR(__xludf.DUMMYFUNCTION("""COMPUTED_VALUE"""),1.0)</f>
        <v>1</v>
      </c>
      <c r="M59" s="52">
        <f>IFERROR(__xludf.DUMMYFUNCTION("""COMPUTED_VALUE"""),12000.0)</f>
        <v>12000</v>
      </c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51" t="str">
        <f>IFERROR(__xludf.DUMMYFUNCTION("""COMPUTED_VALUE"""),"d324q165")</f>
        <v>d324q165</v>
      </c>
      <c r="B60" s="58">
        <f>IFERROR(__xludf.DUMMYFUNCTION("""COMPUTED_VALUE"""),45105.0)</f>
        <v>45105</v>
      </c>
      <c r="C60" s="59">
        <f>IFERROR(__xludf.DUMMYFUNCTION("""COMPUTED_VALUE"""),45109.0)</f>
        <v>45109</v>
      </c>
      <c r="D60" s="51">
        <f>IFERROR(__xludf.DUMMYFUNCTION("""COMPUTED_VALUE"""),1.0)</f>
        <v>1</v>
      </c>
      <c r="E60" s="51">
        <f>IFERROR(__xludf.DUMMYFUNCTION("""COMPUTED_VALUE"""),1.0)</f>
        <v>1</v>
      </c>
      <c r="F60" s="52">
        <f>IFERROR(__xludf.DUMMYFUNCTION("""COMPUTED_VALUE"""),12000.0)</f>
        <v>12000</v>
      </c>
      <c r="G60" s="49"/>
      <c r="H60" s="51" t="str">
        <f>IFERROR(__xludf.DUMMYFUNCTION("""COMPUTED_VALUE"""),"d445f415")</f>
        <v>d445f415</v>
      </c>
      <c r="I60" s="58">
        <f>IFERROR(__xludf.DUMMYFUNCTION("""COMPUTED_VALUE"""),45083.0)</f>
        <v>45083</v>
      </c>
      <c r="J60" s="59">
        <f>IFERROR(__xludf.DUMMYFUNCTION("""COMPUTED_VALUE"""),45085.0)</f>
        <v>45085</v>
      </c>
      <c r="K60" s="51">
        <f>IFERROR(__xludf.DUMMYFUNCTION("""COMPUTED_VALUE"""),2.0)</f>
        <v>2</v>
      </c>
      <c r="L60" s="51">
        <f>IFERROR(__xludf.DUMMYFUNCTION("""COMPUTED_VALUE"""),1.0)</f>
        <v>1</v>
      </c>
      <c r="M60" s="52">
        <f>IFERROR(__xludf.DUMMYFUNCTION("""COMPUTED_VALUE"""),12000.0)</f>
        <v>12000</v>
      </c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51" t="str">
        <f>IFERROR(__xludf.DUMMYFUNCTION("""COMPUTED_VALUE"""),"d241li62")</f>
        <v>d241li62</v>
      </c>
      <c r="B61" s="58">
        <f>IFERROR(__xludf.DUMMYFUNCTION("""COMPUTED_VALUE"""),45105.0)</f>
        <v>45105</v>
      </c>
      <c r="C61" s="59">
        <f>IFERROR(__xludf.DUMMYFUNCTION("""COMPUTED_VALUE"""),45109.0)</f>
        <v>45109</v>
      </c>
      <c r="D61" s="51">
        <f>IFERROR(__xludf.DUMMYFUNCTION("""COMPUTED_VALUE"""),1.0)</f>
        <v>1</v>
      </c>
      <c r="E61" s="51">
        <f>IFERROR(__xludf.DUMMYFUNCTION("""COMPUTED_VALUE"""),1.0)</f>
        <v>1</v>
      </c>
      <c r="F61" s="52">
        <f>IFERROR(__xludf.DUMMYFUNCTION("""COMPUTED_VALUE"""),12000.0)</f>
        <v>12000</v>
      </c>
      <c r="G61" s="49"/>
      <c r="H61" s="51" t="str">
        <f>IFERROR(__xludf.DUMMYFUNCTION("""COMPUTED_VALUE"""),"d787mz18")</f>
        <v>d787mz18</v>
      </c>
      <c r="I61" s="58">
        <f>IFERROR(__xludf.DUMMYFUNCTION("""COMPUTED_VALUE"""),45083.0)</f>
        <v>45083</v>
      </c>
      <c r="J61" s="59">
        <f>IFERROR(__xludf.DUMMYFUNCTION("""COMPUTED_VALUE"""),45086.0)</f>
        <v>45086</v>
      </c>
      <c r="K61" s="51">
        <f>IFERROR(__xludf.DUMMYFUNCTION("""COMPUTED_VALUE"""),5.0)</f>
        <v>5</v>
      </c>
      <c r="L61" s="51">
        <f>IFERROR(__xludf.DUMMYFUNCTION("""COMPUTED_VALUE"""),1.0)</f>
        <v>1</v>
      </c>
      <c r="M61" s="52">
        <f>IFERROR(__xludf.DUMMYFUNCTION("""COMPUTED_VALUE"""),12000.0)</f>
        <v>12000</v>
      </c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51" t="str">
        <f>IFERROR(__xludf.DUMMYFUNCTION("""COMPUTED_VALUE"""),"d1993t40")</f>
        <v>d1993t40</v>
      </c>
      <c r="B62" s="58">
        <f>IFERROR(__xludf.DUMMYFUNCTION("""COMPUTED_VALUE"""),45107.0)</f>
        <v>45107</v>
      </c>
      <c r="C62" s="59">
        <f>IFERROR(__xludf.DUMMYFUNCTION("""COMPUTED_VALUE"""),45112.0)</f>
        <v>45112</v>
      </c>
      <c r="D62" s="51">
        <f>IFERROR(__xludf.DUMMYFUNCTION("""COMPUTED_VALUE"""),1.0)</f>
        <v>1</v>
      </c>
      <c r="E62" s="51">
        <f>IFERROR(__xludf.DUMMYFUNCTION("""COMPUTED_VALUE"""),1.0)</f>
        <v>1</v>
      </c>
      <c r="F62" s="52">
        <f>IFERROR(__xludf.DUMMYFUNCTION("""COMPUTED_VALUE"""),12000.0)</f>
        <v>12000</v>
      </c>
      <c r="G62" s="49"/>
      <c r="H62" s="51" t="str">
        <f>IFERROR(__xludf.DUMMYFUNCTION("""COMPUTED_VALUE"""),"d0275w24")</f>
        <v>d0275w24</v>
      </c>
      <c r="I62" s="58">
        <f>IFERROR(__xludf.DUMMYFUNCTION("""COMPUTED_VALUE"""),45084.0)</f>
        <v>45084</v>
      </c>
      <c r="J62" s="59">
        <f>IFERROR(__xludf.DUMMYFUNCTION("""COMPUTED_VALUE"""),45088.0)</f>
        <v>45088</v>
      </c>
      <c r="K62" s="51">
        <f>IFERROR(__xludf.DUMMYFUNCTION("""COMPUTED_VALUE"""),2.0)</f>
        <v>2</v>
      </c>
      <c r="L62" s="51">
        <f>IFERROR(__xludf.DUMMYFUNCTION("""COMPUTED_VALUE"""),1.0)</f>
        <v>1</v>
      </c>
      <c r="M62" s="52">
        <f>IFERROR(__xludf.DUMMYFUNCTION("""COMPUTED_VALUE"""),12000.0)</f>
        <v>12000</v>
      </c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51" t="str">
        <f>IFERROR(__xludf.DUMMYFUNCTION("""COMPUTED_VALUE"""),"d0751922")</f>
        <v>d0751922</v>
      </c>
      <c r="B63" s="58">
        <f>IFERROR(__xludf.DUMMYFUNCTION("""COMPUTED_VALUE"""),45107.0)</f>
        <v>45107</v>
      </c>
      <c r="C63" s="59">
        <f>IFERROR(__xludf.DUMMYFUNCTION("""COMPUTED_VALUE"""),45110.0)</f>
        <v>45110</v>
      </c>
      <c r="D63" s="51">
        <f>IFERROR(__xludf.DUMMYFUNCTION("""COMPUTED_VALUE"""),1.0)</f>
        <v>1</v>
      </c>
      <c r="E63" s="51">
        <f>IFERROR(__xludf.DUMMYFUNCTION("""COMPUTED_VALUE"""),1.0)</f>
        <v>1</v>
      </c>
      <c r="F63" s="52">
        <f>IFERROR(__xludf.DUMMYFUNCTION("""COMPUTED_VALUE"""),12000.0)</f>
        <v>12000</v>
      </c>
      <c r="G63" s="49"/>
      <c r="H63" s="51" t="str">
        <f>IFERROR(__xludf.DUMMYFUNCTION("""COMPUTED_VALUE"""),"d586ds39")</f>
        <v>d586ds39</v>
      </c>
      <c r="I63" s="58">
        <f>IFERROR(__xludf.DUMMYFUNCTION("""COMPUTED_VALUE"""),45084.0)</f>
        <v>45084</v>
      </c>
      <c r="J63" s="59">
        <f>IFERROR(__xludf.DUMMYFUNCTION("""COMPUTED_VALUE"""),45089.0)</f>
        <v>45089</v>
      </c>
      <c r="K63" s="51">
        <f>IFERROR(__xludf.DUMMYFUNCTION("""COMPUTED_VALUE"""),2.0)</f>
        <v>2</v>
      </c>
      <c r="L63" s="51">
        <f>IFERROR(__xludf.DUMMYFUNCTION("""COMPUTED_VALUE"""),1.0)</f>
        <v>1</v>
      </c>
      <c r="M63" s="52">
        <f>IFERROR(__xludf.DUMMYFUNCTION("""COMPUTED_VALUE"""),12000.0)</f>
        <v>12000</v>
      </c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51" t="str">
        <f>IFERROR(__xludf.DUMMYFUNCTION("""COMPUTED_VALUE"""),"d0356428")</f>
        <v>d0356428</v>
      </c>
      <c r="I64" s="58">
        <f>IFERROR(__xludf.DUMMYFUNCTION("""COMPUTED_VALUE"""),45084.0)</f>
        <v>45084</v>
      </c>
      <c r="J64" s="59">
        <f>IFERROR(__xludf.DUMMYFUNCTION("""COMPUTED_VALUE"""),45088.0)</f>
        <v>45088</v>
      </c>
      <c r="K64" s="51">
        <f>IFERROR(__xludf.DUMMYFUNCTION("""COMPUTED_VALUE"""),6.0)</f>
        <v>6</v>
      </c>
      <c r="L64" s="51">
        <f>IFERROR(__xludf.DUMMYFUNCTION("""COMPUTED_VALUE"""),1.0)</f>
        <v>1</v>
      </c>
      <c r="M64" s="52">
        <f>IFERROR(__xludf.DUMMYFUNCTION("""COMPUTED_VALUE"""),12000.0)</f>
        <v>12000</v>
      </c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61" t="s">
        <v>3717</v>
      </c>
      <c r="B65" s="49"/>
      <c r="C65" s="49"/>
      <c r="D65" s="49"/>
      <c r="E65" s="49"/>
      <c r="F65" s="49"/>
      <c r="G65" s="49"/>
      <c r="H65" s="51" t="str">
        <f>IFERROR(__xludf.DUMMYFUNCTION("""COMPUTED_VALUE"""),"d511ss07")</f>
        <v>d511ss07</v>
      </c>
      <c r="I65" s="58">
        <f>IFERROR(__xludf.DUMMYFUNCTION("""COMPUTED_VALUE"""),45084.0)</f>
        <v>45084</v>
      </c>
      <c r="J65" s="59">
        <f>IFERROR(__xludf.DUMMYFUNCTION("""COMPUTED_VALUE"""),45087.0)</f>
        <v>45087</v>
      </c>
      <c r="K65" s="51">
        <f>IFERROR(__xludf.DUMMYFUNCTION("""COMPUTED_VALUE"""),5.0)</f>
        <v>5</v>
      </c>
      <c r="L65" s="51">
        <f>IFERROR(__xludf.DUMMYFUNCTION("""COMPUTED_VALUE"""),1.0)</f>
        <v>1</v>
      </c>
      <c r="M65" s="52">
        <f>IFERROR(__xludf.DUMMYFUNCTION("""COMPUTED_VALUE"""),12000.0)</f>
        <v>12000</v>
      </c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51" t="str">
        <f>IFERROR(__xludf.DUMMYFUNCTION("""COMPUTED_VALUE"""),"d485yg71")</f>
        <v>d485yg71</v>
      </c>
      <c r="I66" s="58">
        <f>IFERROR(__xludf.DUMMYFUNCTION("""COMPUTED_VALUE"""),45084.0)</f>
        <v>45084</v>
      </c>
      <c r="J66" s="59">
        <f>IFERROR(__xludf.DUMMYFUNCTION("""COMPUTED_VALUE"""),45087.0)</f>
        <v>45087</v>
      </c>
      <c r="K66" s="51">
        <f>IFERROR(__xludf.DUMMYFUNCTION("""COMPUTED_VALUE"""),2.0)</f>
        <v>2</v>
      </c>
      <c r="L66" s="51">
        <f>IFERROR(__xludf.DUMMYFUNCTION("""COMPUTED_VALUE"""),1.0)</f>
        <v>1</v>
      </c>
      <c r="M66" s="52">
        <f>IFERROR(__xludf.DUMMYFUNCTION("""COMPUTED_VALUE"""),12000.0)</f>
        <v>12000</v>
      </c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51" t="str">
        <f>IFERROR(__xludf.DUMMYFUNCTION("""COMPUTED_VALUE"""),"d742us85")</f>
        <v>d742us85</v>
      </c>
      <c r="I67" s="58">
        <f>IFERROR(__xludf.DUMMYFUNCTION("""COMPUTED_VALUE"""),45084.0)</f>
        <v>45084</v>
      </c>
      <c r="J67" s="59">
        <f>IFERROR(__xludf.DUMMYFUNCTION("""COMPUTED_VALUE"""),45085.0)</f>
        <v>45085</v>
      </c>
      <c r="K67" s="51">
        <f>IFERROR(__xludf.DUMMYFUNCTION("""COMPUTED_VALUE"""),1.0)</f>
        <v>1</v>
      </c>
      <c r="L67" s="51">
        <f>IFERROR(__xludf.DUMMYFUNCTION("""COMPUTED_VALUE"""),1.0)</f>
        <v>1</v>
      </c>
      <c r="M67" s="52">
        <f>IFERROR(__xludf.DUMMYFUNCTION("""COMPUTED_VALUE"""),12000.0)</f>
        <v>12000</v>
      </c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51" t="str">
        <f>IFERROR(__xludf.DUMMYFUNCTION("""COMPUTED_VALUE"""),"d4328848")</f>
        <v>d4328848</v>
      </c>
      <c r="I68" s="58">
        <f>IFERROR(__xludf.DUMMYFUNCTION("""COMPUTED_VALUE"""),45084.0)</f>
        <v>45084</v>
      </c>
      <c r="J68" s="59">
        <f>IFERROR(__xludf.DUMMYFUNCTION("""COMPUTED_VALUE"""),45087.0)</f>
        <v>45087</v>
      </c>
      <c r="K68" s="51">
        <f>IFERROR(__xludf.DUMMYFUNCTION("""COMPUTED_VALUE"""),3.0)</f>
        <v>3</v>
      </c>
      <c r="L68" s="51">
        <f>IFERROR(__xludf.DUMMYFUNCTION("""COMPUTED_VALUE"""),1.0)</f>
        <v>1</v>
      </c>
      <c r="M68" s="52">
        <f>IFERROR(__xludf.DUMMYFUNCTION("""COMPUTED_VALUE"""),12000.0)</f>
        <v>12000</v>
      </c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51" t="str">
        <f>IFERROR(__xludf.DUMMYFUNCTION("""COMPUTED_VALUE"""),"d912c898")</f>
        <v>d912c898</v>
      </c>
      <c r="I69" s="58">
        <f>IFERROR(__xludf.DUMMYFUNCTION("""COMPUTED_VALUE"""),45084.0)</f>
        <v>45084</v>
      </c>
      <c r="J69" s="59">
        <f>IFERROR(__xludf.DUMMYFUNCTION("""COMPUTED_VALUE"""),45085.0)</f>
        <v>45085</v>
      </c>
      <c r="K69" s="51">
        <f>IFERROR(__xludf.DUMMYFUNCTION("""COMPUTED_VALUE"""),2.0)</f>
        <v>2</v>
      </c>
      <c r="L69" s="51">
        <f>IFERROR(__xludf.DUMMYFUNCTION("""COMPUTED_VALUE"""),1.0)</f>
        <v>1</v>
      </c>
      <c r="M69" s="52">
        <f>IFERROR(__xludf.DUMMYFUNCTION("""COMPUTED_VALUE"""),12000.0)</f>
        <v>12000</v>
      </c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51" t="str">
        <f>IFERROR(__xludf.DUMMYFUNCTION("""COMPUTED_VALUE"""),"d251dp64")</f>
        <v>d251dp64</v>
      </c>
      <c r="I70" s="58">
        <f>IFERROR(__xludf.DUMMYFUNCTION("""COMPUTED_VALUE"""),45084.0)</f>
        <v>45084</v>
      </c>
      <c r="J70" s="59">
        <f>IFERROR(__xludf.DUMMYFUNCTION("""COMPUTED_VALUE"""),45086.0)</f>
        <v>45086</v>
      </c>
      <c r="K70" s="51">
        <f>IFERROR(__xludf.DUMMYFUNCTION("""COMPUTED_VALUE"""),3.0)</f>
        <v>3</v>
      </c>
      <c r="L70" s="51">
        <f>IFERROR(__xludf.DUMMYFUNCTION("""COMPUTED_VALUE"""),1.0)</f>
        <v>1</v>
      </c>
      <c r="M70" s="52">
        <f>IFERROR(__xludf.DUMMYFUNCTION("""COMPUTED_VALUE"""),12000.0)</f>
        <v>12000</v>
      </c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51" t="str">
        <f>IFERROR(__xludf.DUMMYFUNCTION("""COMPUTED_VALUE"""),"d201m269")</f>
        <v>d201m269</v>
      </c>
      <c r="I71" s="58">
        <f>IFERROR(__xludf.DUMMYFUNCTION("""COMPUTED_VALUE"""),45084.0)</f>
        <v>45084</v>
      </c>
      <c r="J71" s="59">
        <f>IFERROR(__xludf.DUMMYFUNCTION("""COMPUTED_VALUE"""),45087.0)</f>
        <v>45087</v>
      </c>
      <c r="K71" s="51">
        <f>IFERROR(__xludf.DUMMYFUNCTION("""COMPUTED_VALUE"""),5.0)</f>
        <v>5</v>
      </c>
      <c r="L71" s="51">
        <f>IFERROR(__xludf.DUMMYFUNCTION("""COMPUTED_VALUE"""),1.0)</f>
        <v>1</v>
      </c>
      <c r="M71" s="52">
        <f>IFERROR(__xludf.DUMMYFUNCTION("""COMPUTED_VALUE"""),12000.0)</f>
        <v>12000</v>
      </c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51" t="str">
        <f>IFERROR(__xludf.DUMMYFUNCTION("""COMPUTED_VALUE"""),"d681g554")</f>
        <v>d681g554</v>
      </c>
      <c r="I72" s="58">
        <f>IFERROR(__xludf.DUMMYFUNCTION("""COMPUTED_VALUE"""),45084.0)</f>
        <v>45084</v>
      </c>
      <c r="J72" s="59">
        <f>IFERROR(__xludf.DUMMYFUNCTION("""COMPUTED_VALUE"""),45085.0)</f>
        <v>45085</v>
      </c>
      <c r="K72" s="51">
        <f>IFERROR(__xludf.DUMMYFUNCTION("""COMPUTED_VALUE"""),3.0)</f>
        <v>3</v>
      </c>
      <c r="L72" s="51">
        <f>IFERROR(__xludf.DUMMYFUNCTION("""COMPUTED_VALUE"""),1.0)</f>
        <v>1</v>
      </c>
      <c r="M72" s="52">
        <f>IFERROR(__xludf.DUMMYFUNCTION("""COMPUTED_VALUE"""),12000.0)</f>
        <v>12000</v>
      </c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51" t="str">
        <f>IFERROR(__xludf.DUMMYFUNCTION("""COMPUTED_VALUE"""),"d659j927")</f>
        <v>d659j927</v>
      </c>
      <c r="I73" s="58">
        <f>IFERROR(__xludf.DUMMYFUNCTION("""COMPUTED_VALUE"""),45084.0)</f>
        <v>45084</v>
      </c>
      <c r="J73" s="59">
        <f>IFERROR(__xludf.DUMMYFUNCTION("""COMPUTED_VALUE"""),45086.0)</f>
        <v>45086</v>
      </c>
      <c r="K73" s="51">
        <f>IFERROR(__xludf.DUMMYFUNCTION("""COMPUTED_VALUE"""),1.0)</f>
        <v>1</v>
      </c>
      <c r="L73" s="51">
        <f>IFERROR(__xludf.DUMMYFUNCTION("""COMPUTED_VALUE"""),1.0)</f>
        <v>1</v>
      </c>
      <c r="M73" s="52">
        <f>IFERROR(__xludf.DUMMYFUNCTION("""COMPUTED_VALUE"""),12000.0)</f>
        <v>12000</v>
      </c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51" t="str">
        <f>IFERROR(__xludf.DUMMYFUNCTION("""COMPUTED_VALUE"""),"d580yc07")</f>
        <v>d580yc07</v>
      </c>
      <c r="I74" s="59">
        <f>IFERROR(__xludf.DUMMYFUNCTION("""COMPUTED_VALUE"""),45085.0)</f>
        <v>45085</v>
      </c>
      <c r="J74" s="59">
        <f>IFERROR(__xludf.DUMMYFUNCTION("""COMPUTED_VALUE"""),45090.0)</f>
        <v>45090</v>
      </c>
      <c r="K74" s="51">
        <f>IFERROR(__xludf.DUMMYFUNCTION("""COMPUTED_VALUE"""),5.0)</f>
        <v>5</v>
      </c>
      <c r="L74" s="51">
        <f>IFERROR(__xludf.DUMMYFUNCTION("""COMPUTED_VALUE"""),1.0)</f>
        <v>1</v>
      </c>
      <c r="M74" s="52">
        <f>IFERROR(__xludf.DUMMYFUNCTION("""COMPUTED_VALUE"""),12000.0)</f>
        <v>12000</v>
      </c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51" t="str">
        <f>IFERROR(__xludf.DUMMYFUNCTION("""COMPUTED_VALUE"""),"d3224a46")</f>
        <v>d3224a46</v>
      </c>
      <c r="I75" s="58">
        <f>IFERROR(__xludf.DUMMYFUNCTION("""COMPUTED_VALUE"""),45085.0)</f>
        <v>45085</v>
      </c>
      <c r="J75" s="59">
        <f>IFERROR(__xludf.DUMMYFUNCTION("""COMPUTED_VALUE"""),45088.0)</f>
        <v>45088</v>
      </c>
      <c r="K75" s="51">
        <f>IFERROR(__xludf.DUMMYFUNCTION("""COMPUTED_VALUE"""),1.0)</f>
        <v>1</v>
      </c>
      <c r="L75" s="51">
        <f>IFERROR(__xludf.DUMMYFUNCTION("""COMPUTED_VALUE"""),1.0)</f>
        <v>1</v>
      </c>
      <c r="M75" s="52">
        <f>IFERROR(__xludf.DUMMYFUNCTION("""COMPUTED_VALUE"""),12000.0)</f>
        <v>12000</v>
      </c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36" t="str">
        <f>delivery_dataset!A1</f>
        <v>delivery_id</v>
      </c>
      <c r="B76" s="37" t="str">
        <f>delivery_dataset!B1</f>
        <v>delivery_start</v>
      </c>
      <c r="C76" s="37" t="str">
        <f>delivery_dataset!C1</f>
        <v>delivery_end</v>
      </c>
      <c r="D76" s="36" t="str">
        <f>delivery_dataset!D1</f>
        <v>delivery_distance(KM)</v>
      </c>
      <c r="E76" s="36" t="str">
        <f>delivery_dataset!E1</f>
        <v>delivery_weight</v>
      </c>
      <c r="F76" s="38" t="str">
        <f>delivery_dataset!F1</f>
        <v>delivery_cost</v>
      </c>
      <c r="G76" s="49"/>
      <c r="H76" s="51" t="str">
        <f>IFERROR(__xludf.DUMMYFUNCTION("""COMPUTED_VALUE"""),"d687br81")</f>
        <v>d687br81</v>
      </c>
      <c r="I76" s="58">
        <f>IFERROR(__xludf.DUMMYFUNCTION("""COMPUTED_VALUE"""),45085.0)</f>
        <v>45085</v>
      </c>
      <c r="J76" s="59">
        <f>IFERROR(__xludf.DUMMYFUNCTION("""COMPUTED_VALUE"""),45087.0)</f>
        <v>45087</v>
      </c>
      <c r="K76" s="51">
        <f>IFERROR(__xludf.DUMMYFUNCTION("""COMPUTED_VALUE"""),6.0)</f>
        <v>6</v>
      </c>
      <c r="L76" s="51">
        <f>IFERROR(__xludf.DUMMYFUNCTION("""COMPUTED_VALUE"""),1.0)</f>
        <v>1</v>
      </c>
      <c r="M76" s="52">
        <f>IFERROR(__xludf.DUMMYFUNCTION("""COMPUTED_VALUE"""),12000.0)</f>
        <v>12000</v>
      </c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51" t="str">
        <f>IFERROR(__xludf.DUMMYFUNCTION("SORT(FILTER(delivery_cleaned!$A$1:$F$987, delivery_cleaned!$D$1:$D$987=1, delivery_cleaned!$E$1:$E$987&gt;=1),5,TRUE)"),"d440bj67")</f>
        <v>d440bj67</v>
      </c>
      <c r="B77" s="58">
        <f>IFERROR(__xludf.DUMMYFUNCTION("""COMPUTED_VALUE"""),45078.0)</f>
        <v>45078</v>
      </c>
      <c r="C77" s="59">
        <f>IFERROR(__xludf.DUMMYFUNCTION("""COMPUTED_VALUE"""),45081.0)</f>
        <v>45081</v>
      </c>
      <c r="D77" s="51">
        <f>IFERROR(__xludf.DUMMYFUNCTION("""COMPUTED_VALUE"""),1.0)</f>
        <v>1</v>
      </c>
      <c r="E77" s="51">
        <f>IFERROR(__xludf.DUMMYFUNCTION("""COMPUTED_VALUE"""),1.0)</f>
        <v>1</v>
      </c>
      <c r="F77" s="52">
        <f>IFERROR(__xludf.DUMMYFUNCTION("""COMPUTED_VALUE"""),12000.0)</f>
        <v>12000</v>
      </c>
      <c r="G77" s="49"/>
      <c r="H77" s="51" t="str">
        <f>IFERROR(__xludf.DUMMYFUNCTION("""COMPUTED_VALUE"""),"d700gd18")</f>
        <v>d700gd18</v>
      </c>
      <c r="I77" s="58">
        <f>IFERROR(__xludf.DUMMYFUNCTION("""COMPUTED_VALUE"""),45085.0)</f>
        <v>45085</v>
      </c>
      <c r="J77" s="59">
        <f>IFERROR(__xludf.DUMMYFUNCTION("""COMPUTED_VALUE"""),45087.0)</f>
        <v>45087</v>
      </c>
      <c r="K77" s="51">
        <f>IFERROR(__xludf.DUMMYFUNCTION("""COMPUTED_VALUE"""),2.0)</f>
        <v>2</v>
      </c>
      <c r="L77" s="51">
        <f>IFERROR(__xludf.DUMMYFUNCTION("""COMPUTED_VALUE"""),1.0)</f>
        <v>1</v>
      </c>
      <c r="M77" s="52">
        <f>IFERROR(__xludf.DUMMYFUNCTION("""COMPUTED_VALUE"""),12000.0)</f>
        <v>12000</v>
      </c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51" t="str">
        <f>IFERROR(__xludf.DUMMYFUNCTION("""COMPUTED_VALUE"""),"d259vr60")</f>
        <v>d259vr60</v>
      </c>
      <c r="B78" s="58">
        <f>IFERROR(__xludf.DUMMYFUNCTION("""COMPUTED_VALUE"""),45079.0)</f>
        <v>45079</v>
      </c>
      <c r="C78" s="59">
        <f>IFERROR(__xludf.DUMMYFUNCTION("""COMPUTED_VALUE"""),45082.0)</f>
        <v>45082</v>
      </c>
      <c r="D78" s="51">
        <f>IFERROR(__xludf.DUMMYFUNCTION("""COMPUTED_VALUE"""),1.0)</f>
        <v>1</v>
      </c>
      <c r="E78" s="51">
        <f>IFERROR(__xludf.DUMMYFUNCTION("""COMPUTED_VALUE"""),1.0)</f>
        <v>1</v>
      </c>
      <c r="F78" s="52">
        <f>IFERROR(__xludf.DUMMYFUNCTION("""COMPUTED_VALUE"""),12000.0)</f>
        <v>12000</v>
      </c>
      <c r="G78" s="49"/>
      <c r="H78" s="51" t="str">
        <f>IFERROR(__xludf.DUMMYFUNCTION("""COMPUTED_VALUE"""),"d345ob53")</f>
        <v>d345ob53</v>
      </c>
      <c r="I78" s="58">
        <f>IFERROR(__xludf.DUMMYFUNCTION("""COMPUTED_VALUE"""),45085.0)</f>
        <v>45085</v>
      </c>
      <c r="J78" s="59">
        <f>IFERROR(__xludf.DUMMYFUNCTION("""COMPUTED_VALUE"""),45088.0)</f>
        <v>45088</v>
      </c>
      <c r="K78" s="51">
        <f>IFERROR(__xludf.DUMMYFUNCTION("""COMPUTED_VALUE"""),5.0)</f>
        <v>5</v>
      </c>
      <c r="L78" s="51">
        <f>IFERROR(__xludf.DUMMYFUNCTION("""COMPUTED_VALUE"""),1.0)</f>
        <v>1</v>
      </c>
      <c r="M78" s="52">
        <f>IFERROR(__xludf.DUMMYFUNCTION("""COMPUTED_VALUE"""),12000.0)</f>
        <v>12000</v>
      </c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51" t="str">
        <f>IFERROR(__xludf.DUMMYFUNCTION("""COMPUTED_VALUE"""),"d640or87")</f>
        <v>d640or87</v>
      </c>
      <c r="B79" s="58">
        <f>IFERROR(__xludf.DUMMYFUNCTION("""COMPUTED_VALUE"""),45079.0)</f>
        <v>45079</v>
      </c>
      <c r="C79" s="59">
        <f>IFERROR(__xludf.DUMMYFUNCTION("""COMPUTED_VALUE"""),45082.0)</f>
        <v>45082</v>
      </c>
      <c r="D79" s="51">
        <f>IFERROR(__xludf.DUMMYFUNCTION("""COMPUTED_VALUE"""),1.0)</f>
        <v>1</v>
      </c>
      <c r="E79" s="51">
        <f>IFERROR(__xludf.DUMMYFUNCTION("""COMPUTED_VALUE"""),1.0)</f>
        <v>1</v>
      </c>
      <c r="F79" s="52">
        <f>IFERROR(__xludf.DUMMYFUNCTION("""COMPUTED_VALUE"""),12000.0)</f>
        <v>12000</v>
      </c>
      <c r="G79" s="49"/>
      <c r="H79" s="51" t="str">
        <f>IFERROR(__xludf.DUMMYFUNCTION("""COMPUTED_VALUE"""),"d151ak81")</f>
        <v>d151ak81</v>
      </c>
      <c r="I79" s="58">
        <f>IFERROR(__xludf.DUMMYFUNCTION("""COMPUTED_VALUE"""),45085.0)</f>
        <v>45085</v>
      </c>
      <c r="J79" s="59">
        <f>IFERROR(__xludf.DUMMYFUNCTION("""COMPUTED_VALUE"""),45087.0)</f>
        <v>45087</v>
      </c>
      <c r="K79" s="51">
        <f>IFERROR(__xludf.DUMMYFUNCTION("""COMPUTED_VALUE"""),1.0)</f>
        <v>1</v>
      </c>
      <c r="L79" s="51">
        <f>IFERROR(__xludf.DUMMYFUNCTION("""COMPUTED_VALUE"""),1.0)</f>
        <v>1</v>
      </c>
      <c r="M79" s="52">
        <f>IFERROR(__xludf.DUMMYFUNCTION("""COMPUTED_VALUE"""),12000.0)</f>
        <v>12000</v>
      </c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51" t="str">
        <f>IFERROR(__xludf.DUMMYFUNCTION("""COMPUTED_VALUE"""),"d778r615")</f>
        <v>d778r615</v>
      </c>
      <c r="B80" s="58">
        <f>IFERROR(__xludf.DUMMYFUNCTION("""COMPUTED_VALUE"""),45080.0)</f>
        <v>45080</v>
      </c>
      <c r="C80" s="59">
        <f>IFERROR(__xludf.DUMMYFUNCTION("""COMPUTED_VALUE"""),45082.0)</f>
        <v>45082</v>
      </c>
      <c r="D80" s="51">
        <f>IFERROR(__xludf.DUMMYFUNCTION("""COMPUTED_VALUE"""),1.0)</f>
        <v>1</v>
      </c>
      <c r="E80" s="51">
        <f>IFERROR(__xludf.DUMMYFUNCTION("""COMPUTED_VALUE"""),1.0)</f>
        <v>1</v>
      </c>
      <c r="F80" s="52">
        <f>IFERROR(__xludf.DUMMYFUNCTION("""COMPUTED_VALUE"""),12000.0)</f>
        <v>12000</v>
      </c>
      <c r="G80" s="49"/>
      <c r="H80" s="51" t="str">
        <f>IFERROR(__xludf.DUMMYFUNCTION("""COMPUTED_VALUE"""),"d468pw59")</f>
        <v>d468pw59</v>
      </c>
      <c r="I80" s="58">
        <f>IFERROR(__xludf.DUMMYFUNCTION("""COMPUTED_VALUE"""),45085.0)</f>
        <v>45085</v>
      </c>
      <c r="J80" s="59">
        <f>IFERROR(__xludf.DUMMYFUNCTION("""COMPUTED_VALUE"""),45087.0)</f>
        <v>45087</v>
      </c>
      <c r="K80" s="51">
        <f>IFERROR(__xludf.DUMMYFUNCTION("""COMPUTED_VALUE"""),5.0)</f>
        <v>5</v>
      </c>
      <c r="L80" s="51">
        <f>IFERROR(__xludf.DUMMYFUNCTION("""COMPUTED_VALUE"""),1.0)</f>
        <v>1</v>
      </c>
      <c r="M80" s="52">
        <f>IFERROR(__xludf.DUMMYFUNCTION("""COMPUTED_VALUE"""),12000.0)</f>
        <v>12000</v>
      </c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51" t="str">
        <f>IFERROR(__xludf.DUMMYFUNCTION("""COMPUTED_VALUE"""),"d9767u72")</f>
        <v>d9767u72</v>
      </c>
      <c r="B81" s="58">
        <f>IFERROR(__xludf.DUMMYFUNCTION("""COMPUTED_VALUE"""),45081.0)</f>
        <v>45081</v>
      </c>
      <c r="C81" s="59">
        <f>IFERROR(__xludf.DUMMYFUNCTION("""COMPUTED_VALUE"""),45085.0)</f>
        <v>45085</v>
      </c>
      <c r="D81" s="51">
        <f>IFERROR(__xludf.DUMMYFUNCTION("""COMPUTED_VALUE"""),1.0)</f>
        <v>1</v>
      </c>
      <c r="E81" s="51">
        <f>IFERROR(__xludf.DUMMYFUNCTION("""COMPUTED_VALUE"""),1.0)</f>
        <v>1</v>
      </c>
      <c r="F81" s="52">
        <f>IFERROR(__xludf.DUMMYFUNCTION("""COMPUTED_VALUE"""),12000.0)</f>
        <v>12000</v>
      </c>
      <c r="G81" s="49"/>
      <c r="H81" s="51" t="str">
        <f>IFERROR(__xludf.DUMMYFUNCTION("""COMPUTED_VALUE"""),"d766fy46")</f>
        <v>d766fy46</v>
      </c>
      <c r="I81" s="58">
        <f>IFERROR(__xludf.DUMMYFUNCTION("""COMPUTED_VALUE"""),45086.0)</f>
        <v>45086</v>
      </c>
      <c r="J81" s="59">
        <f>IFERROR(__xludf.DUMMYFUNCTION("""COMPUTED_VALUE"""),45088.0)</f>
        <v>45088</v>
      </c>
      <c r="K81" s="51">
        <f>IFERROR(__xludf.DUMMYFUNCTION("""COMPUTED_VALUE"""),6.0)</f>
        <v>6</v>
      </c>
      <c r="L81" s="51">
        <f>IFERROR(__xludf.DUMMYFUNCTION("""COMPUTED_VALUE"""),1.0)</f>
        <v>1</v>
      </c>
      <c r="M81" s="52">
        <f>IFERROR(__xludf.DUMMYFUNCTION("""COMPUTED_VALUE"""),12000.0)</f>
        <v>12000</v>
      </c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51" t="str">
        <f>IFERROR(__xludf.DUMMYFUNCTION("""COMPUTED_VALUE"""),"d813js54")</f>
        <v>d813js54</v>
      </c>
      <c r="B82" s="58">
        <f>IFERROR(__xludf.DUMMYFUNCTION("""COMPUTED_VALUE"""),45081.0)</f>
        <v>45081</v>
      </c>
      <c r="C82" s="59">
        <f>IFERROR(__xludf.DUMMYFUNCTION("""COMPUTED_VALUE"""),45086.0)</f>
        <v>45086</v>
      </c>
      <c r="D82" s="51">
        <f>IFERROR(__xludf.DUMMYFUNCTION("""COMPUTED_VALUE"""),1.0)</f>
        <v>1</v>
      </c>
      <c r="E82" s="51">
        <f>IFERROR(__xludf.DUMMYFUNCTION("""COMPUTED_VALUE"""),1.0)</f>
        <v>1</v>
      </c>
      <c r="F82" s="52">
        <f>IFERROR(__xludf.DUMMYFUNCTION("""COMPUTED_VALUE"""),12000.0)</f>
        <v>12000</v>
      </c>
      <c r="G82" s="49"/>
      <c r="H82" s="51" t="str">
        <f>IFERROR(__xludf.DUMMYFUNCTION("""COMPUTED_VALUE"""),"d096lr77")</f>
        <v>d096lr77</v>
      </c>
      <c r="I82" s="58">
        <f>IFERROR(__xludf.DUMMYFUNCTION("""COMPUTED_VALUE"""),45086.0)</f>
        <v>45086</v>
      </c>
      <c r="J82" s="59">
        <f>IFERROR(__xludf.DUMMYFUNCTION("""COMPUTED_VALUE"""),45090.0)</f>
        <v>45090</v>
      </c>
      <c r="K82" s="51">
        <f>IFERROR(__xludf.DUMMYFUNCTION("""COMPUTED_VALUE"""),5.0)</f>
        <v>5</v>
      </c>
      <c r="L82" s="51">
        <f>IFERROR(__xludf.DUMMYFUNCTION("""COMPUTED_VALUE"""),1.0)</f>
        <v>1</v>
      </c>
      <c r="M82" s="52">
        <f>IFERROR(__xludf.DUMMYFUNCTION("""COMPUTED_VALUE"""),12000.0)</f>
        <v>12000</v>
      </c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51" t="str">
        <f>IFERROR(__xludf.DUMMYFUNCTION("""COMPUTED_VALUE"""),"d742us85")</f>
        <v>d742us85</v>
      </c>
      <c r="B83" s="58">
        <f>IFERROR(__xludf.DUMMYFUNCTION("""COMPUTED_VALUE"""),45084.0)</f>
        <v>45084</v>
      </c>
      <c r="C83" s="59">
        <f>IFERROR(__xludf.DUMMYFUNCTION("""COMPUTED_VALUE"""),45085.0)</f>
        <v>45085</v>
      </c>
      <c r="D83" s="51">
        <f>IFERROR(__xludf.DUMMYFUNCTION("""COMPUTED_VALUE"""),1.0)</f>
        <v>1</v>
      </c>
      <c r="E83" s="51">
        <f>IFERROR(__xludf.DUMMYFUNCTION("""COMPUTED_VALUE"""),1.0)</f>
        <v>1</v>
      </c>
      <c r="F83" s="52">
        <f>IFERROR(__xludf.DUMMYFUNCTION("""COMPUTED_VALUE"""),12000.0)</f>
        <v>12000</v>
      </c>
      <c r="G83" s="49"/>
      <c r="H83" s="51" t="str">
        <f>IFERROR(__xludf.DUMMYFUNCTION("""COMPUTED_VALUE"""),"d392lh84")</f>
        <v>d392lh84</v>
      </c>
      <c r="I83" s="58">
        <f>IFERROR(__xludf.DUMMYFUNCTION("""COMPUTED_VALUE"""),45086.0)</f>
        <v>45086</v>
      </c>
      <c r="J83" s="59">
        <f>IFERROR(__xludf.DUMMYFUNCTION("""COMPUTED_VALUE"""),45089.0)</f>
        <v>45089</v>
      </c>
      <c r="K83" s="51">
        <f>IFERROR(__xludf.DUMMYFUNCTION("""COMPUTED_VALUE"""),1.0)</f>
        <v>1</v>
      </c>
      <c r="L83" s="51">
        <f>IFERROR(__xludf.DUMMYFUNCTION("""COMPUTED_VALUE"""),1.0)</f>
        <v>1</v>
      </c>
      <c r="M83" s="52">
        <f>IFERROR(__xludf.DUMMYFUNCTION("""COMPUTED_VALUE"""),12000.0)</f>
        <v>12000</v>
      </c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51" t="str">
        <f>IFERROR(__xludf.DUMMYFUNCTION("""COMPUTED_VALUE"""),"d659j927")</f>
        <v>d659j927</v>
      </c>
      <c r="B84" s="58">
        <f>IFERROR(__xludf.DUMMYFUNCTION("""COMPUTED_VALUE"""),45084.0)</f>
        <v>45084</v>
      </c>
      <c r="C84" s="59">
        <f>IFERROR(__xludf.DUMMYFUNCTION("""COMPUTED_VALUE"""),45086.0)</f>
        <v>45086</v>
      </c>
      <c r="D84" s="51">
        <f>IFERROR(__xludf.DUMMYFUNCTION("""COMPUTED_VALUE"""),1.0)</f>
        <v>1</v>
      </c>
      <c r="E84" s="51">
        <f>IFERROR(__xludf.DUMMYFUNCTION("""COMPUTED_VALUE"""),1.0)</f>
        <v>1</v>
      </c>
      <c r="F84" s="52">
        <f>IFERROR(__xludf.DUMMYFUNCTION("""COMPUTED_VALUE"""),12000.0)</f>
        <v>12000</v>
      </c>
      <c r="G84" s="49"/>
      <c r="H84" s="51" t="str">
        <f>IFERROR(__xludf.DUMMYFUNCTION("""COMPUTED_VALUE"""),"d809r804")</f>
        <v>d809r804</v>
      </c>
      <c r="I84" s="58">
        <f>IFERROR(__xludf.DUMMYFUNCTION("""COMPUTED_VALUE"""),45086.0)</f>
        <v>45086</v>
      </c>
      <c r="J84" s="59">
        <f>IFERROR(__xludf.DUMMYFUNCTION("""COMPUTED_VALUE"""),45087.0)</f>
        <v>45087</v>
      </c>
      <c r="K84" s="51">
        <f>IFERROR(__xludf.DUMMYFUNCTION("""COMPUTED_VALUE"""),6.0)</f>
        <v>6</v>
      </c>
      <c r="L84" s="51">
        <f>IFERROR(__xludf.DUMMYFUNCTION("""COMPUTED_VALUE"""),1.0)</f>
        <v>1</v>
      </c>
      <c r="M84" s="52">
        <f>IFERROR(__xludf.DUMMYFUNCTION("""COMPUTED_VALUE"""),12000.0)</f>
        <v>12000</v>
      </c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51" t="str">
        <f>IFERROR(__xludf.DUMMYFUNCTION("""COMPUTED_VALUE"""),"d3224a46")</f>
        <v>d3224a46</v>
      </c>
      <c r="B85" s="58">
        <f>IFERROR(__xludf.DUMMYFUNCTION("""COMPUTED_VALUE"""),45085.0)</f>
        <v>45085</v>
      </c>
      <c r="C85" s="59">
        <f>IFERROR(__xludf.DUMMYFUNCTION("""COMPUTED_VALUE"""),45088.0)</f>
        <v>45088</v>
      </c>
      <c r="D85" s="51">
        <f>IFERROR(__xludf.DUMMYFUNCTION("""COMPUTED_VALUE"""),1.0)</f>
        <v>1</v>
      </c>
      <c r="E85" s="51">
        <f>IFERROR(__xludf.DUMMYFUNCTION("""COMPUTED_VALUE"""),1.0)</f>
        <v>1</v>
      </c>
      <c r="F85" s="52">
        <f>IFERROR(__xludf.DUMMYFUNCTION("""COMPUTED_VALUE"""),12000.0)</f>
        <v>12000</v>
      </c>
      <c r="G85" s="49"/>
      <c r="H85" s="51" t="str">
        <f>IFERROR(__xludf.DUMMYFUNCTION("""COMPUTED_VALUE"""),"d7680d03")</f>
        <v>d7680d03</v>
      </c>
      <c r="I85" s="58">
        <f>IFERROR(__xludf.DUMMYFUNCTION("""COMPUTED_VALUE"""),45086.0)</f>
        <v>45086</v>
      </c>
      <c r="J85" s="59">
        <f>IFERROR(__xludf.DUMMYFUNCTION("""COMPUTED_VALUE"""),45089.0)</f>
        <v>45089</v>
      </c>
      <c r="K85" s="51">
        <f>IFERROR(__xludf.DUMMYFUNCTION("""COMPUTED_VALUE"""),6.0)</f>
        <v>6</v>
      </c>
      <c r="L85" s="51">
        <f>IFERROR(__xludf.DUMMYFUNCTION("""COMPUTED_VALUE"""),1.0)</f>
        <v>1</v>
      </c>
      <c r="M85" s="52">
        <f>IFERROR(__xludf.DUMMYFUNCTION("""COMPUTED_VALUE"""),12000.0)</f>
        <v>12000</v>
      </c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51" t="str">
        <f>IFERROR(__xludf.DUMMYFUNCTION("""COMPUTED_VALUE"""),"d151ak81")</f>
        <v>d151ak81</v>
      </c>
      <c r="B86" s="58">
        <f>IFERROR(__xludf.DUMMYFUNCTION("""COMPUTED_VALUE"""),45085.0)</f>
        <v>45085</v>
      </c>
      <c r="C86" s="59">
        <f>IFERROR(__xludf.DUMMYFUNCTION("""COMPUTED_VALUE"""),45087.0)</f>
        <v>45087</v>
      </c>
      <c r="D86" s="51">
        <f>IFERROR(__xludf.DUMMYFUNCTION("""COMPUTED_VALUE"""),1.0)</f>
        <v>1</v>
      </c>
      <c r="E86" s="51">
        <f>IFERROR(__xludf.DUMMYFUNCTION("""COMPUTED_VALUE"""),1.0)</f>
        <v>1</v>
      </c>
      <c r="F86" s="52">
        <f>IFERROR(__xludf.DUMMYFUNCTION("""COMPUTED_VALUE"""),12000.0)</f>
        <v>12000</v>
      </c>
      <c r="G86" s="49"/>
      <c r="H86" s="51" t="str">
        <f>IFERROR(__xludf.DUMMYFUNCTION("""COMPUTED_VALUE"""),"d3047654")</f>
        <v>d3047654</v>
      </c>
      <c r="I86" s="58">
        <f>IFERROR(__xludf.DUMMYFUNCTION("""COMPUTED_VALUE"""),45086.0)</f>
        <v>45086</v>
      </c>
      <c r="J86" s="59">
        <f>IFERROR(__xludf.DUMMYFUNCTION("""COMPUTED_VALUE"""),45087.0)</f>
        <v>45087</v>
      </c>
      <c r="K86" s="51">
        <f>IFERROR(__xludf.DUMMYFUNCTION("""COMPUTED_VALUE"""),6.0)</f>
        <v>6</v>
      </c>
      <c r="L86" s="51">
        <f>IFERROR(__xludf.DUMMYFUNCTION("""COMPUTED_VALUE"""),1.0)</f>
        <v>1</v>
      </c>
      <c r="M86" s="52">
        <f>IFERROR(__xludf.DUMMYFUNCTION("""COMPUTED_VALUE"""),12000.0)</f>
        <v>12000</v>
      </c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51" t="str">
        <f>IFERROR(__xludf.DUMMYFUNCTION("""COMPUTED_VALUE"""),"d392lh84")</f>
        <v>d392lh84</v>
      </c>
      <c r="B87" s="58">
        <f>IFERROR(__xludf.DUMMYFUNCTION("""COMPUTED_VALUE"""),45086.0)</f>
        <v>45086</v>
      </c>
      <c r="C87" s="59">
        <f>IFERROR(__xludf.DUMMYFUNCTION("""COMPUTED_VALUE"""),45089.0)</f>
        <v>45089</v>
      </c>
      <c r="D87" s="51">
        <f>IFERROR(__xludf.DUMMYFUNCTION("""COMPUTED_VALUE"""),1.0)</f>
        <v>1</v>
      </c>
      <c r="E87" s="51">
        <f>IFERROR(__xludf.DUMMYFUNCTION("""COMPUTED_VALUE"""),1.0)</f>
        <v>1</v>
      </c>
      <c r="F87" s="52">
        <f>IFERROR(__xludf.DUMMYFUNCTION("""COMPUTED_VALUE"""),12000.0)</f>
        <v>12000</v>
      </c>
      <c r="G87" s="49"/>
      <c r="H87" s="51" t="str">
        <f>IFERROR(__xludf.DUMMYFUNCTION("""COMPUTED_VALUE"""),"d578aq66")</f>
        <v>d578aq66</v>
      </c>
      <c r="I87" s="58">
        <f>IFERROR(__xludf.DUMMYFUNCTION("""COMPUTED_VALUE"""),45086.0)</f>
        <v>45086</v>
      </c>
      <c r="J87" s="59">
        <f>IFERROR(__xludf.DUMMYFUNCTION("""COMPUTED_VALUE"""),45090.0)</f>
        <v>45090</v>
      </c>
      <c r="K87" s="51">
        <f>IFERROR(__xludf.DUMMYFUNCTION("""COMPUTED_VALUE"""),3.0)</f>
        <v>3</v>
      </c>
      <c r="L87" s="51">
        <f>IFERROR(__xludf.DUMMYFUNCTION("""COMPUTED_VALUE"""),1.0)</f>
        <v>1</v>
      </c>
      <c r="M87" s="52">
        <f>IFERROR(__xludf.DUMMYFUNCTION("""COMPUTED_VALUE"""),12000.0)</f>
        <v>12000</v>
      </c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51" t="str">
        <f>IFERROR(__xludf.DUMMYFUNCTION("""COMPUTED_VALUE"""),"d889ue72")</f>
        <v>d889ue72</v>
      </c>
      <c r="B88" s="58">
        <f>IFERROR(__xludf.DUMMYFUNCTION("""COMPUTED_VALUE"""),45087.0)</f>
        <v>45087</v>
      </c>
      <c r="C88" s="59">
        <f>IFERROR(__xludf.DUMMYFUNCTION("""COMPUTED_VALUE"""),45090.0)</f>
        <v>45090</v>
      </c>
      <c r="D88" s="51">
        <f>IFERROR(__xludf.DUMMYFUNCTION("""COMPUTED_VALUE"""),1.0)</f>
        <v>1</v>
      </c>
      <c r="E88" s="51">
        <f>IFERROR(__xludf.DUMMYFUNCTION("""COMPUTED_VALUE"""),1.0)</f>
        <v>1</v>
      </c>
      <c r="F88" s="52">
        <f>IFERROR(__xludf.DUMMYFUNCTION("""COMPUTED_VALUE"""),12000.0)</f>
        <v>12000</v>
      </c>
      <c r="G88" s="49"/>
      <c r="H88" s="51" t="str">
        <f>IFERROR(__xludf.DUMMYFUNCTION("""COMPUTED_VALUE"""),"d549ja76")</f>
        <v>d549ja76</v>
      </c>
      <c r="I88" s="58">
        <f>IFERROR(__xludf.DUMMYFUNCTION("""COMPUTED_VALUE"""),45086.0)</f>
        <v>45086</v>
      </c>
      <c r="J88" s="59">
        <f>IFERROR(__xludf.DUMMYFUNCTION("""COMPUTED_VALUE"""),45089.0)</f>
        <v>45089</v>
      </c>
      <c r="K88" s="51">
        <f>IFERROR(__xludf.DUMMYFUNCTION("""COMPUTED_VALUE"""),4.0)</f>
        <v>4</v>
      </c>
      <c r="L88" s="51">
        <f>IFERROR(__xludf.DUMMYFUNCTION("""COMPUTED_VALUE"""),1.0)</f>
        <v>1</v>
      </c>
      <c r="M88" s="52">
        <f>IFERROR(__xludf.DUMMYFUNCTION("""COMPUTED_VALUE"""),12000.0)</f>
        <v>12000</v>
      </c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51" t="str">
        <f>IFERROR(__xludf.DUMMYFUNCTION("""COMPUTED_VALUE"""),"d8191i60")</f>
        <v>d8191i60</v>
      </c>
      <c r="B89" s="59">
        <f>IFERROR(__xludf.DUMMYFUNCTION("""COMPUTED_VALUE"""),45088.0)</f>
        <v>45088</v>
      </c>
      <c r="C89" s="59">
        <f>IFERROR(__xludf.DUMMYFUNCTION("""COMPUTED_VALUE"""),45092.0)</f>
        <v>45092</v>
      </c>
      <c r="D89" s="51">
        <f>IFERROR(__xludf.DUMMYFUNCTION("""COMPUTED_VALUE"""),1.0)</f>
        <v>1</v>
      </c>
      <c r="E89" s="51">
        <f>IFERROR(__xludf.DUMMYFUNCTION("""COMPUTED_VALUE"""),1.0)</f>
        <v>1</v>
      </c>
      <c r="F89" s="52">
        <f>IFERROR(__xludf.DUMMYFUNCTION("""COMPUTED_VALUE"""),12000.0)</f>
        <v>12000</v>
      </c>
      <c r="G89" s="49"/>
      <c r="H89" s="51" t="str">
        <f>IFERROR(__xludf.DUMMYFUNCTION("""COMPUTED_VALUE"""),"d261wc96")</f>
        <v>d261wc96</v>
      </c>
      <c r="I89" s="58">
        <f>IFERROR(__xludf.DUMMYFUNCTION("""COMPUTED_VALUE"""),45086.0)</f>
        <v>45086</v>
      </c>
      <c r="J89" s="59">
        <f>IFERROR(__xludf.DUMMYFUNCTION("""COMPUTED_VALUE"""),45090.0)</f>
        <v>45090</v>
      </c>
      <c r="K89" s="51">
        <f>IFERROR(__xludf.DUMMYFUNCTION("""COMPUTED_VALUE"""),3.0)</f>
        <v>3</v>
      </c>
      <c r="L89" s="51">
        <f>IFERROR(__xludf.DUMMYFUNCTION("""COMPUTED_VALUE"""),1.0)</f>
        <v>1</v>
      </c>
      <c r="M89" s="52">
        <f>IFERROR(__xludf.DUMMYFUNCTION("""COMPUTED_VALUE"""),12000.0)</f>
        <v>12000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51" t="str">
        <f>IFERROR(__xludf.DUMMYFUNCTION("""COMPUTED_VALUE"""),"d337gd04")</f>
        <v>d337gd04</v>
      </c>
      <c r="B90" s="58">
        <f>IFERROR(__xludf.DUMMYFUNCTION("""COMPUTED_VALUE"""),45089.0)</f>
        <v>45089</v>
      </c>
      <c r="C90" s="59">
        <f>IFERROR(__xludf.DUMMYFUNCTION("""COMPUTED_VALUE"""),45090.0)</f>
        <v>45090</v>
      </c>
      <c r="D90" s="51">
        <f>IFERROR(__xludf.DUMMYFUNCTION("""COMPUTED_VALUE"""),1.0)</f>
        <v>1</v>
      </c>
      <c r="E90" s="51">
        <f>IFERROR(__xludf.DUMMYFUNCTION("""COMPUTED_VALUE"""),1.0)</f>
        <v>1</v>
      </c>
      <c r="F90" s="52">
        <f>IFERROR(__xludf.DUMMYFUNCTION("""COMPUTED_VALUE"""),12000.0)</f>
        <v>12000</v>
      </c>
      <c r="G90" s="49"/>
      <c r="H90" s="51" t="str">
        <f>IFERROR(__xludf.DUMMYFUNCTION("""COMPUTED_VALUE"""),"d824w027")</f>
        <v>d824w027</v>
      </c>
      <c r="I90" s="58">
        <f>IFERROR(__xludf.DUMMYFUNCTION("""COMPUTED_VALUE"""),45087.0)</f>
        <v>45087</v>
      </c>
      <c r="J90" s="59">
        <f>IFERROR(__xludf.DUMMYFUNCTION("""COMPUTED_VALUE"""),45088.0)</f>
        <v>45088</v>
      </c>
      <c r="K90" s="51">
        <f>IFERROR(__xludf.DUMMYFUNCTION("""COMPUTED_VALUE"""),6.0)</f>
        <v>6</v>
      </c>
      <c r="L90" s="51">
        <f>IFERROR(__xludf.DUMMYFUNCTION("""COMPUTED_VALUE"""),1.0)</f>
        <v>1</v>
      </c>
      <c r="M90" s="52">
        <f>IFERROR(__xludf.DUMMYFUNCTION("""COMPUTED_VALUE"""),12000.0)</f>
        <v>12000</v>
      </c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51" t="str">
        <f>IFERROR(__xludf.DUMMYFUNCTION("""COMPUTED_VALUE"""),"d986to03")</f>
        <v>d986to03</v>
      </c>
      <c r="B91" s="58">
        <f>IFERROR(__xludf.DUMMYFUNCTION("""COMPUTED_VALUE"""),45090.0)</f>
        <v>45090</v>
      </c>
      <c r="C91" s="59">
        <f>IFERROR(__xludf.DUMMYFUNCTION("""COMPUTED_VALUE"""),45094.0)</f>
        <v>45094</v>
      </c>
      <c r="D91" s="51">
        <f>IFERROR(__xludf.DUMMYFUNCTION("""COMPUTED_VALUE"""),1.0)</f>
        <v>1</v>
      </c>
      <c r="E91" s="51">
        <f>IFERROR(__xludf.DUMMYFUNCTION("""COMPUTED_VALUE"""),1.0)</f>
        <v>1</v>
      </c>
      <c r="F91" s="52">
        <f>IFERROR(__xludf.DUMMYFUNCTION("""COMPUTED_VALUE"""),12000.0)</f>
        <v>12000</v>
      </c>
      <c r="G91" s="49"/>
      <c r="H91" s="51" t="str">
        <f>IFERROR(__xludf.DUMMYFUNCTION("""COMPUTED_VALUE"""),"d109o390")</f>
        <v>d109o390</v>
      </c>
      <c r="I91" s="58">
        <f>IFERROR(__xludf.DUMMYFUNCTION("""COMPUTED_VALUE"""),45087.0)</f>
        <v>45087</v>
      </c>
      <c r="J91" s="59">
        <f>IFERROR(__xludf.DUMMYFUNCTION("""COMPUTED_VALUE"""),45090.0)</f>
        <v>45090</v>
      </c>
      <c r="K91" s="51">
        <f>IFERROR(__xludf.DUMMYFUNCTION("""COMPUTED_VALUE"""),3.0)</f>
        <v>3</v>
      </c>
      <c r="L91" s="51">
        <f>IFERROR(__xludf.DUMMYFUNCTION("""COMPUTED_VALUE"""),1.0)</f>
        <v>1</v>
      </c>
      <c r="M91" s="52">
        <f>IFERROR(__xludf.DUMMYFUNCTION("""COMPUTED_VALUE"""),12000.0)</f>
        <v>12000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51" t="str">
        <f>IFERROR(__xludf.DUMMYFUNCTION("""COMPUTED_VALUE"""),"d537b376")</f>
        <v>d537b376</v>
      </c>
      <c r="B92" s="58">
        <f>IFERROR(__xludf.DUMMYFUNCTION("""COMPUTED_VALUE"""),45090.0)</f>
        <v>45090</v>
      </c>
      <c r="C92" s="59">
        <f>IFERROR(__xludf.DUMMYFUNCTION("""COMPUTED_VALUE"""),45091.0)</f>
        <v>45091</v>
      </c>
      <c r="D92" s="51">
        <f>IFERROR(__xludf.DUMMYFUNCTION("""COMPUTED_VALUE"""),1.0)</f>
        <v>1</v>
      </c>
      <c r="E92" s="51">
        <f>IFERROR(__xludf.DUMMYFUNCTION("""COMPUTED_VALUE"""),1.0)</f>
        <v>1</v>
      </c>
      <c r="F92" s="52">
        <f>IFERROR(__xludf.DUMMYFUNCTION("""COMPUTED_VALUE"""),12000.0)</f>
        <v>12000</v>
      </c>
      <c r="G92" s="49"/>
      <c r="H92" s="51" t="str">
        <f>IFERROR(__xludf.DUMMYFUNCTION("""COMPUTED_VALUE"""),"d483tr92")</f>
        <v>d483tr92</v>
      </c>
      <c r="I92" s="58">
        <f>IFERROR(__xludf.DUMMYFUNCTION("""COMPUTED_VALUE"""),45087.0)</f>
        <v>45087</v>
      </c>
      <c r="J92" s="59">
        <f>IFERROR(__xludf.DUMMYFUNCTION("""COMPUTED_VALUE"""),45092.0)</f>
        <v>45092</v>
      </c>
      <c r="K92" s="51">
        <f>IFERROR(__xludf.DUMMYFUNCTION("""COMPUTED_VALUE"""),2.0)</f>
        <v>2</v>
      </c>
      <c r="L92" s="51">
        <f>IFERROR(__xludf.DUMMYFUNCTION("""COMPUTED_VALUE"""),1.0)</f>
        <v>1</v>
      </c>
      <c r="M92" s="52">
        <f>IFERROR(__xludf.DUMMYFUNCTION("""COMPUTED_VALUE"""),12000.0)</f>
        <v>12000</v>
      </c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51" t="str">
        <f>IFERROR(__xludf.DUMMYFUNCTION("""COMPUTED_VALUE"""),"d0574h92")</f>
        <v>d0574h92</v>
      </c>
      <c r="B93" s="58">
        <f>IFERROR(__xludf.DUMMYFUNCTION("""COMPUTED_VALUE"""),45090.0)</f>
        <v>45090</v>
      </c>
      <c r="C93" s="59">
        <f>IFERROR(__xludf.DUMMYFUNCTION("""COMPUTED_VALUE"""),45091.0)</f>
        <v>45091</v>
      </c>
      <c r="D93" s="51">
        <f>IFERROR(__xludf.DUMMYFUNCTION("""COMPUTED_VALUE"""),1.0)</f>
        <v>1</v>
      </c>
      <c r="E93" s="51">
        <f>IFERROR(__xludf.DUMMYFUNCTION("""COMPUTED_VALUE"""),1.0)</f>
        <v>1</v>
      </c>
      <c r="F93" s="52">
        <f>IFERROR(__xludf.DUMMYFUNCTION("""COMPUTED_VALUE"""),12000.0)</f>
        <v>12000</v>
      </c>
      <c r="G93" s="49"/>
      <c r="H93" s="51" t="str">
        <f>IFERROR(__xludf.DUMMYFUNCTION("""COMPUTED_VALUE"""),"d889ue72")</f>
        <v>d889ue72</v>
      </c>
      <c r="I93" s="58">
        <f>IFERROR(__xludf.DUMMYFUNCTION("""COMPUTED_VALUE"""),45087.0)</f>
        <v>45087</v>
      </c>
      <c r="J93" s="59">
        <f>IFERROR(__xludf.DUMMYFUNCTION("""COMPUTED_VALUE"""),45090.0)</f>
        <v>45090</v>
      </c>
      <c r="K93" s="51">
        <f>IFERROR(__xludf.DUMMYFUNCTION("""COMPUTED_VALUE"""),1.0)</f>
        <v>1</v>
      </c>
      <c r="L93" s="51">
        <f>IFERROR(__xludf.DUMMYFUNCTION("""COMPUTED_VALUE"""),1.0)</f>
        <v>1</v>
      </c>
      <c r="M93" s="52">
        <f>IFERROR(__xludf.DUMMYFUNCTION("""COMPUTED_VALUE"""),12000.0)</f>
        <v>12000</v>
      </c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51" t="str">
        <f>IFERROR(__xludf.DUMMYFUNCTION("""COMPUTED_VALUE"""),"d8499w21")</f>
        <v>d8499w21</v>
      </c>
      <c r="B94" s="58">
        <f>IFERROR(__xludf.DUMMYFUNCTION("""COMPUTED_VALUE"""),45091.0)</f>
        <v>45091</v>
      </c>
      <c r="C94" s="59">
        <f>IFERROR(__xludf.DUMMYFUNCTION("""COMPUTED_VALUE"""),45094.0)</f>
        <v>45094</v>
      </c>
      <c r="D94" s="51">
        <f>IFERROR(__xludf.DUMMYFUNCTION("""COMPUTED_VALUE"""),1.0)</f>
        <v>1</v>
      </c>
      <c r="E94" s="51">
        <f>IFERROR(__xludf.DUMMYFUNCTION("""COMPUTED_VALUE"""),1.0)</f>
        <v>1</v>
      </c>
      <c r="F94" s="52">
        <f>IFERROR(__xludf.DUMMYFUNCTION("""COMPUTED_VALUE"""),12000.0)</f>
        <v>12000</v>
      </c>
      <c r="G94" s="49"/>
      <c r="H94" s="51" t="str">
        <f>IFERROR(__xludf.DUMMYFUNCTION("""COMPUTED_VALUE"""),"d010u317")</f>
        <v>d010u317</v>
      </c>
      <c r="I94" s="58">
        <f>IFERROR(__xludf.DUMMYFUNCTION("""COMPUTED_VALUE"""),45087.0)</f>
        <v>45087</v>
      </c>
      <c r="J94" s="59">
        <f>IFERROR(__xludf.DUMMYFUNCTION("""COMPUTED_VALUE"""),45092.0)</f>
        <v>45092</v>
      </c>
      <c r="K94" s="51">
        <f>IFERROR(__xludf.DUMMYFUNCTION("""COMPUTED_VALUE"""),4.0)</f>
        <v>4</v>
      </c>
      <c r="L94" s="51">
        <f>IFERROR(__xludf.DUMMYFUNCTION("""COMPUTED_VALUE"""),1.0)</f>
        <v>1</v>
      </c>
      <c r="M94" s="52">
        <f>IFERROR(__xludf.DUMMYFUNCTION("""COMPUTED_VALUE"""),12000.0)</f>
        <v>12000</v>
      </c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51" t="str">
        <f>IFERROR(__xludf.DUMMYFUNCTION("""COMPUTED_VALUE"""),"d341et51")</f>
        <v>d341et51</v>
      </c>
      <c r="B95" s="58">
        <f>IFERROR(__xludf.DUMMYFUNCTION("""COMPUTED_VALUE"""),45092.0)</f>
        <v>45092</v>
      </c>
      <c r="C95" s="59">
        <f>IFERROR(__xludf.DUMMYFUNCTION("""COMPUTED_VALUE"""),45095.0)</f>
        <v>45095</v>
      </c>
      <c r="D95" s="51">
        <f>IFERROR(__xludf.DUMMYFUNCTION("""COMPUTED_VALUE"""),1.0)</f>
        <v>1</v>
      </c>
      <c r="E95" s="51">
        <f>IFERROR(__xludf.DUMMYFUNCTION("""COMPUTED_VALUE"""),1.0)</f>
        <v>1</v>
      </c>
      <c r="F95" s="52">
        <f>IFERROR(__xludf.DUMMYFUNCTION("""COMPUTED_VALUE"""),12000.0)</f>
        <v>12000</v>
      </c>
      <c r="G95" s="49"/>
      <c r="H95" s="51" t="str">
        <f>IFERROR(__xludf.DUMMYFUNCTION("""COMPUTED_VALUE"""),"d010y704")</f>
        <v>d010y704</v>
      </c>
      <c r="I95" s="58">
        <f>IFERROR(__xludf.DUMMYFUNCTION("""COMPUTED_VALUE"""),45087.0)</f>
        <v>45087</v>
      </c>
      <c r="J95" s="59">
        <f>IFERROR(__xludf.DUMMYFUNCTION("""COMPUTED_VALUE"""),45091.0)</f>
        <v>45091</v>
      </c>
      <c r="K95" s="51">
        <f>IFERROR(__xludf.DUMMYFUNCTION("""COMPUTED_VALUE"""),3.0)</f>
        <v>3</v>
      </c>
      <c r="L95" s="51">
        <f>IFERROR(__xludf.DUMMYFUNCTION("""COMPUTED_VALUE"""),1.0)</f>
        <v>1</v>
      </c>
      <c r="M95" s="52">
        <f>IFERROR(__xludf.DUMMYFUNCTION("""COMPUTED_VALUE"""),12000.0)</f>
        <v>12000</v>
      </c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51" t="str">
        <f>IFERROR(__xludf.DUMMYFUNCTION("""COMPUTED_VALUE"""),"d815zl25")</f>
        <v>d815zl25</v>
      </c>
      <c r="B96" s="58">
        <f>IFERROR(__xludf.DUMMYFUNCTION("""COMPUTED_VALUE"""),45093.0)</f>
        <v>45093</v>
      </c>
      <c r="C96" s="59">
        <f>IFERROR(__xludf.DUMMYFUNCTION("""COMPUTED_VALUE"""),45095.0)</f>
        <v>45095</v>
      </c>
      <c r="D96" s="51">
        <f>IFERROR(__xludf.DUMMYFUNCTION("""COMPUTED_VALUE"""),1.0)</f>
        <v>1</v>
      </c>
      <c r="E96" s="51">
        <f>IFERROR(__xludf.DUMMYFUNCTION("""COMPUTED_VALUE"""),1.0)</f>
        <v>1</v>
      </c>
      <c r="F96" s="52">
        <f>IFERROR(__xludf.DUMMYFUNCTION("""COMPUTED_VALUE"""),12000.0)</f>
        <v>12000</v>
      </c>
      <c r="G96" s="49"/>
      <c r="H96" s="51" t="str">
        <f>IFERROR(__xludf.DUMMYFUNCTION("""COMPUTED_VALUE"""),"d2969k58")</f>
        <v>d2969k58</v>
      </c>
      <c r="I96" s="58">
        <f>IFERROR(__xludf.DUMMYFUNCTION("""COMPUTED_VALUE"""),45087.0)</f>
        <v>45087</v>
      </c>
      <c r="J96" s="59">
        <f>IFERROR(__xludf.DUMMYFUNCTION("""COMPUTED_VALUE"""),45092.0)</f>
        <v>45092</v>
      </c>
      <c r="K96" s="51">
        <f>IFERROR(__xludf.DUMMYFUNCTION("""COMPUTED_VALUE"""),6.0)</f>
        <v>6</v>
      </c>
      <c r="L96" s="51">
        <f>IFERROR(__xludf.DUMMYFUNCTION("""COMPUTED_VALUE"""),1.0)</f>
        <v>1</v>
      </c>
      <c r="M96" s="52">
        <f>IFERROR(__xludf.DUMMYFUNCTION("""COMPUTED_VALUE"""),12000.0)</f>
        <v>12000</v>
      </c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51" t="str">
        <f>IFERROR(__xludf.DUMMYFUNCTION("""COMPUTED_VALUE"""),"d165se63")</f>
        <v>d165se63</v>
      </c>
      <c r="B97" s="58">
        <f>IFERROR(__xludf.DUMMYFUNCTION("""COMPUTED_VALUE"""),45093.0)</f>
        <v>45093</v>
      </c>
      <c r="C97" s="59">
        <f>IFERROR(__xludf.DUMMYFUNCTION("""COMPUTED_VALUE"""),45098.0)</f>
        <v>45098</v>
      </c>
      <c r="D97" s="51">
        <f>IFERROR(__xludf.DUMMYFUNCTION("""COMPUTED_VALUE"""),1.0)</f>
        <v>1</v>
      </c>
      <c r="E97" s="51">
        <f>IFERROR(__xludf.DUMMYFUNCTION("""COMPUTED_VALUE"""),1.0)</f>
        <v>1</v>
      </c>
      <c r="F97" s="52">
        <f>IFERROR(__xludf.DUMMYFUNCTION("""COMPUTED_VALUE"""),12000.0)</f>
        <v>12000</v>
      </c>
      <c r="G97" s="49"/>
      <c r="H97" s="51" t="str">
        <f>IFERROR(__xludf.DUMMYFUNCTION("""COMPUTED_VALUE"""),"d8191i60")</f>
        <v>d8191i60</v>
      </c>
      <c r="I97" s="59">
        <f>IFERROR(__xludf.DUMMYFUNCTION("""COMPUTED_VALUE"""),45088.0)</f>
        <v>45088</v>
      </c>
      <c r="J97" s="59">
        <f>IFERROR(__xludf.DUMMYFUNCTION("""COMPUTED_VALUE"""),45092.0)</f>
        <v>45092</v>
      </c>
      <c r="K97" s="51">
        <f>IFERROR(__xludf.DUMMYFUNCTION("""COMPUTED_VALUE"""),1.0)</f>
        <v>1</v>
      </c>
      <c r="L97" s="51">
        <f>IFERROR(__xludf.DUMMYFUNCTION("""COMPUTED_VALUE"""),1.0)</f>
        <v>1</v>
      </c>
      <c r="M97" s="52">
        <f>IFERROR(__xludf.DUMMYFUNCTION("""COMPUTED_VALUE"""),12000.0)</f>
        <v>12000</v>
      </c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51" t="str">
        <f>IFERROR(__xludf.DUMMYFUNCTION("""COMPUTED_VALUE"""),"d4123h93")</f>
        <v>d4123h93</v>
      </c>
      <c r="B98" s="58">
        <f>IFERROR(__xludf.DUMMYFUNCTION("""COMPUTED_VALUE"""),45095.0)</f>
        <v>45095</v>
      </c>
      <c r="C98" s="59">
        <f>IFERROR(__xludf.DUMMYFUNCTION("""COMPUTED_VALUE"""),45099.0)</f>
        <v>45099</v>
      </c>
      <c r="D98" s="51">
        <f>IFERROR(__xludf.DUMMYFUNCTION("""COMPUTED_VALUE"""),1.0)</f>
        <v>1</v>
      </c>
      <c r="E98" s="51">
        <f>IFERROR(__xludf.DUMMYFUNCTION("""COMPUTED_VALUE"""),1.0)</f>
        <v>1</v>
      </c>
      <c r="F98" s="52">
        <f>IFERROR(__xludf.DUMMYFUNCTION("""COMPUTED_VALUE"""),12000.0)</f>
        <v>12000</v>
      </c>
      <c r="G98" s="49"/>
      <c r="H98" s="51" t="str">
        <f>IFERROR(__xludf.DUMMYFUNCTION("""COMPUTED_VALUE"""),"d2445645")</f>
        <v>d2445645</v>
      </c>
      <c r="I98" s="58">
        <f>IFERROR(__xludf.DUMMYFUNCTION("""COMPUTED_VALUE"""),45088.0)</f>
        <v>45088</v>
      </c>
      <c r="J98" s="59">
        <f>IFERROR(__xludf.DUMMYFUNCTION("""COMPUTED_VALUE"""),45090.0)</f>
        <v>45090</v>
      </c>
      <c r="K98" s="51">
        <f>IFERROR(__xludf.DUMMYFUNCTION("""COMPUTED_VALUE"""),4.0)</f>
        <v>4</v>
      </c>
      <c r="L98" s="51">
        <f>IFERROR(__xludf.DUMMYFUNCTION("""COMPUTED_VALUE"""),1.0)</f>
        <v>1</v>
      </c>
      <c r="M98" s="52">
        <f>IFERROR(__xludf.DUMMYFUNCTION("""COMPUTED_VALUE"""),12000.0)</f>
        <v>12000</v>
      </c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51" t="str">
        <f>IFERROR(__xludf.DUMMYFUNCTION("""COMPUTED_VALUE"""),"d620vw69")</f>
        <v>d620vw69</v>
      </c>
      <c r="B99" s="58">
        <f>IFERROR(__xludf.DUMMYFUNCTION("""COMPUTED_VALUE"""),45096.0)</f>
        <v>45096</v>
      </c>
      <c r="C99" s="59">
        <f>IFERROR(__xludf.DUMMYFUNCTION("""COMPUTED_VALUE"""),45100.0)</f>
        <v>45100</v>
      </c>
      <c r="D99" s="51">
        <f>IFERROR(__xludf.DUMMYFUNCTION("""COMPUTED_VALUE"""),1.0)</f>
        <v>1</v>
      </c>
      <c r="E99" s="51">
        <f>IFERROR(__xludf.DUMMYFUNCTION("""COMPUTED_VALUE"""),1.0)</f>
        <v>1</v>
      </c>
      <c r="F99" s="52">
        <f>IFERROR(__xludf.DUMMYFUNCTION("""COMPUTED_VALUE"""),12000.0)</f>
        <v>12000</v>
      </c>
      <c r="G99" s="49"/>
      <c r="H99" s="51" t="str">
        <f>IFERROR(__xludf.DUMMYFUNCTION("""COMPUTED_VALUE"""),"d890xp32")</f>
        <v>d890xp32</v>
      </c>
      <c r="I99" s="58">
        <f>IFERROR(__xludf.DUMMYFUNCTION("""COMPUTED_VALUE"""),45088.0)</f>
        <v>45088</v>
      </c>
      <c r="J99" s="59">
        <f>IFERROR(__xludf.DUMMYFUNCTION("""COMPUTED_VALUE"""),45092.0)</f>
        <v>45092</v>
      </c>
      <c r="K99" s="51">
        <f>IFERROR(__xludf.DUMMYFUNCTION("""COMPUTED_VALUE"""),6.0)</f>
        <v>6</v>
      </c>
      <c r="L99" s="51">
        <f>IFERROR(__xludf.DUMMYFUNCTION("""COMPUTED_VALUE"""),1.0)</f>
        <v>1</v>
      </c>
      <c r="M99" s="52">
        <f>IFERROR(__xludf.DUMMYFUNCTION("""COMPUTED_VALUE"""),12000.0)</f>
        <v>12000</v>
      </c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51" t="str">
        <f>IFERROR(__xludf.DUMMYFUNCTION("""COMPUTED_VALUE"""),"d0180082")</f>
        <v>d0180082</v>
      </c>
      <c r="B100" s="58">
        <f>IFERROR(__xludf.DUMMYFUNCTION("""COMPUTED_VALUE"""),45097.0)</f>
        <v>45097</v>
      </c>
      <c r="C100" s="59">
        <f>IFERROR(__xludf.DUMMYFUNCTION("""COMPUTED_VALUE"""),45098.0)</f>
        <v>45098</v>
      </c>
      <c r="D100" s="51">
        <f>IFERROR(__xludf.DUMMYFUNCTION("""COMPUTED_VALUE"""),1.0)</f>
        <v>1</v>
      </c>
      <c r="E100" s="51">
        <f>IFERROR(__xludf.DUMMYFUNCTION("""COMPUTED_VALUE"""),1.0)</f>
        <v>1</v>
      </c>
      <c r="F100" s="52">
        <f>IFERROR(__xludf.DUMMYFUNCTION("""COMPUTED_VALUE"""),12000.0)</f>
        <v>12000</v>
      </c>
      <c r="G100" s="49"/>
      <c r="H100" s="51" t="str">
        <f>IFERROR(__xludf.DUMMYFUNCTION("""COMPUTED_VALUE"""),"d337gd04")</f>
        <v>d337gd04</v>
      </c>
      <c r="I100" s="58">
        <f>IFERROR(__xludf.DUMMYFUNCTION("""COMPUTED_VALUE"""),45089.0)</f>
        <v>45089</v>
      </c>
      <c r="J100" s="59">
        <f>IFERROR(__xludf.DUMMYFUNCTION("""COMPUTED_VALUE"""),45090.0)</f>
        <v>45090</v>
      </c>
      <c r="K100" s="51">
        <f>IFERROR(__xludf.DUMMYFUNCTION("""COMPUTED_VALUE"""),1.0)</f>
        <v>1</v>
      </c>
      <c r="L100" s="51">
        <f>IFERROR(__xludf.DUMMYFUNCTION("""COMPUTED_VALUE"""),1.0)</f>
        <v>1</v>
      </c>
      <c r="M100" s="52">
        <f>IFERROR(__xludf.DUMMYFUNCTION("""COMPUTED_VALUE"""),12000.0)</f>
        <v>12000</v>
      </c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51" t="str">
        <f>IFERROR(__xludf.DUMMYFUNCTION("""COMPUTED_VALUE"""),"d521zv60")</f>
        <v>d521zv60</v>
      </c>
      <c r="B101" s="58">
        <f>IFERROR(__xludf.DUMMYFUNCTION("""COMPUTED_VALUE"""),45097.0)</f>
        <v>45097</v>
      </c>
      <c r="C101" s="59">
        <f>IFERROR(__xludf.DUMMYFUNCTION("""COMPUTED_VALUE"""),45102.0)</f>
        <v>45102</v>
      </c>
      <c r="D101" s="51">
        <f>IFERROR(__xludf.DUMMYFUNCTION("""COMPUTED_VALUE"""),1.0)</f>
        <v>1</v>
      </c>
      <c r="E101" s="51">
        <f>IFERROR(__xludf.DUMMYFUNCTION("""COMPUTED_VALUE"""),1.0)</f>
        <v>1</v>
      </c>
      <c r="F101" s="52">
        <f>IFERROR(__xludf.DUMMYFUNCTION("""COMPUTED_VALUE"""),12000.0)</f>
        <v>12000</v>
      </c>
      <c r="G101" s="49"/>
      <c r="H101" s="51" t="str">
        <f>IFERROR(__xludf.DUMMYFUNCTION("""COMPUTED_VALUE"""),"d743el93")</f>
        <v>d743el93</v>
      </c>
      <c r="I101" s="58">
        <f>IFERROR(__xludf.DUMMYFUNCTION("""COMPUTED_VALUE"""),45089.0)</f>
        <v>45089</v>
      </c>
      <c r="J101" s="59">
        <f>IFERROR(__xludf.DUMMYFUNCTION("""COMPUTED_VALUE"""),45090.0)</f>
        <v>45090</v>
      </c>
      <c r="K101" s="51">
        <f>IFERROR(__xludf.DUMMYFUNCTION("""COMPUTED_VALUE"""),2.0)</f>
        <v>2</v>
      </c>
      <c r="L101" s="51">
        <f>IFERROR(__xludf.DUMMYFUNCTION("""COMPUTED_VALUE"""),1.0)</f>
        <v>1</v>
      </c>
      <c r="M101" s="52">
        <f>IFERROR(__xludf.DUMMYFUNCTION("""COMPUTED_VALUE"""),12000.0)</f>
        <v>12000</v>
      </c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51" t="str">
        <f>IFERROR(__xludf.DUMMYFUNCTION("""COMPUTED_VALUE"""),"d3582x49")</f>
        <v>d3582x49</v>
      </c>
      <c r="B102" s="58">
        <f>IFERROR(__xludf.DUMMYFUNCTION("""COMPUTED_VALUE"""),45097.0)</f>
        <v>45097</v>
      </c>
      <c r="C102" s="59">
        <f>IFERROR(__xludf.DUMMYFUNCTION("""COMPUTED_VALUE"""),45100.0)</f>
        <v>45100</v>
      </c>
      <c r="D102" s="51">
        <f>IFERROR(__xludf.DUMMYFUNCTION("""COMPUTED_VALUE"""),1.0)</f>
        <v>1</v>
      </c>
      <c r="E102" s="51">
        <f>IFERROR(__xludf.DUMMYFUNCTION("""COMPUTED_VALUE"""),1.0)</f>
        <v>1</v>
      </c>
      <c r="F102" s="52">
        <f>IFERROR(__xludf.DUMMYFUNCTION("""COMPUTED_VALUE"""),12000.0)</f>
        <v>12000</v>
      </c>
      <c r="G102" s="49"/>
      <c r="H102" s="51" t="str">
        <f>IFERROR(__xludf.DUMMYFUNCTION("""COMPUTED_VALUE"""),"d100ro41")</f>
        <v>d100ro41</v>
      </c>
      <c r="I102" s="58">
        <f>IFERROR(__xludf.DUMMYFUNCTION("""COMPUTED_VALUE"""),45089.0)</f>
        <v>45089</v>
      </c>
      <c r="J102" s="59">
        <f>IFERROR(__xludf.DUMMYFUNCTION("""COMPUTED_VALUE"""),45090.0)</f>
        <v>45090</v>
      </c>
      <c r="K102" s="51">
        <f>IFERROR(__xludf.DUMMYFUNCTION("""COMPUTED_VALUE"""),3.0)</f>
        <v>3</v>
      </c>
      <c r="L102" s="51">
        <f>IFERROR(__xludf.DUMMYFUNCTION("""COMPUTED_VALUE"""),1.0)</f>
        <v>1</v>
      </c>
      <c r="M102" s="52">
        <f>IFERROR(__xludf.DUMMYFUNCTION("""COMPUTED_VALUE"""),12000.0)</f>
        <v>12000</v>
      </c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51" t="str">
        <f>IFERROR(__xludf.DUMMYFUNCTION("""COMPUTED_VALUE"""),"d5173k22")</f>
        <v>d5173k22</v>
      </c>
      <c r="B103" s="58">
        <f>IFERROR(__xludf.DUMMYFUNCTION("""COMPUTED_VALUE"""),45098.0)</f>
        <v>45098</v>
      </c>
      <c r="C103" s="59">
        <f>IFERROR(__xludf.DUMMYFUNCTION("""COMPUTED_VALUE"""),45101.0)</f>
        <v>45101</v>
      </c>
      <c r="D103" s="51">
        <f>IFERROR(__xludf.DUMMYFUNCTION("""COMPUTED_VALUE"""),1.0)</f>
        <v>1</v>
      </c>
      <c r="E103" s="51">
        <f>IFERROR(__xludf.DUMMYFUNCTION("""COMPUTED_VALUE"""),1.0)</f>
        <v>1</v>
      </c>
      <c r="F103" s="52">
        <f>IFERROR(__xludf.DUMMYFUNCTION("""COMPUTED_VALUE"""),12000.0)</f>
        <v>12000</v>
      </c>
      <c r="G103" s="49"/>
      <c r="H103" s="51" t="str">
        <f>IFERROR(__xludf.DUMMYFUNCTION("""COMPUTED_VALUE"""),"d923kn26")</f>
        <v>d923kn26</v>
      </c>
      <c r="I103" s="58">
        <f>IFERROR(__xludf.DUMMYFUNCTION("""COMPUTED_VALUE"""),45089.0)</f>
        <v>45089</v>
      </c>
      <c r="J103" s="59">
        <f>IFERROR(__xludf.DUMMYFUNCTION("""COMPUTED_VALUE"""),45091.0)</f>
        <v>45091</v>
      </c>
      <c r="K103" s="51">
        <f>IFERROR(__xludf.DUMMYFUNCTION("""COMPUTED_VALUE"""),4.0)</f>
        <v>4</v>
      </c>
      <c r="L103" s="51">
        <f>IFERROR(__xludf.DUMMYFUNCTION("""COMPUTED_VALUE"""),1.0)</f>
        <v>1</v>
      </c>
      <c r="M103" s="52">
        <f>IFERROR(__xludf.DUMMYFUNCTION("""COMPUTED_VALUE"""),12000.0)</f>
        <v>12000</v>
      </c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51" t="str">
        <f>IFERROR(__xludf.DUMMYFUNCTION("""COMPUTED_VALUE"""),"d030o029")</f>
        <v>d030o029</v>
      </c>
      <c r="B104" s="58">
        <f>IFERROR(__xludf.DUMMYFUNCTION("""COMPUTED_VALUE"""),45100.0)</f>
        <v>45100</v>
      </c>
      <c r="C104" s="59">
        <f>IFERROR(__xludf.DUMMYFUNCTION("""COMPUTED_VALUE"""),45101.0)</f>
        <v>45101</v>
      </c>
      <c r="D104" s="51">
        <f>IFERROR(__xludf.DUMMYFUNCTION("""COMPUTED_VALUE"""),1.0)</f>
        <v>1</v>
      </c>
      <c r="E104" s="51">
        <f>IFERROR(__xludf.DUMMYFUNCTION("""COMPUTED_VALUE"""),1.0)</f>
        <v>1</v>
      </c>
      <c r="F104" s="52">
        <f>IFERROR(__xludf.DUMMYFUNCTION("""COMPUTED_VALUE"""),12000.0)</f>
        <v>12000</v>
      </c>
      <c r="G104" s="49"/>
      <c r="H104" s="51" t="str">
        <f>IFERROR(__xludf.DUMMYFUNCTION("""COMPUTED_VALUE"""),"d555pp52")</f>
        <v>d555pp52</v>
      </c>
      <c r="I104" s="58">
        <f>IFERROR(__xludf.DUMMYFUNCTION("""COMPUTED_VALUE"""),45089.0)</f>
        <v>45089</v>
      </c>
      <c r="J104" s="59">
        <f>IFERROR(__xludf.DUMMYFUNCTION("""COMPUTED_VALUE"""),45091.0)</f>
        <v>45091</v>
      </c>
      <c r="K104" s="51">
        <f>IFERROR(__xludf.DUMMYFUNCTION("""COMPUTED_VALUE"""),2.0)</f>
        <v>2</v>
      </c>
      <c r="L104" s="51">
        <f>IFERROR(__xludf.DUMMYFUNCTION("""COMPUTED_VALUE"""),1.0)</f>
        <v>1</v>
      </c>
      <c r="M104" s="52">
        <f>IFERROR(__xludf.DUMMYFUNCTION("""COMPUTED_VALUE"""),12000.0)</f>
        <v>12000</v>
      </c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51" t="str">
        <f>IFERROR(__xludf.DUMMYFUNCTION("""COMPUTED_VALUE"""),"d360lf55")</f>
        <v>d360lf55</v>
      </c>
      <c r="B105" s="58">
        <f>IFERROR(__xludf.DUMMYFUNCTION("""COMPUTED_VALUE"""),45100.0)</f>
        <v>45100</v>
      </c>
      <c r="C105" s="59">
        <f>IFERROR(__xludf.DUMMYFUNCTION("""COMPUTED_VALUE"""),45103.0)</f>
        <v>45103</v>
      </c>
      <c r="D105" s="51">
        <f>IFERROR(__xludf.DUMMYFUNCTION("""COMPUTED_VALUE"""),1.0)</f>
        <v>1</v>
      </c>
      <c r="E105" s="51">
        <f>IFERROR(__xludf.DUMMYFUNCTION("""COMPUTED_VALUE"""),1.0)</f>
        <v>1</v>
      </c>
      <c r="F105" s="52">
        <f>IFERROR(__xludf.DUMMYFUNCTION("""COMPUTED_VALUE"""),12000.0)</f>
        <v>12000</v>
      </c>
      <c r="G105" s="49"/>
      <c r="H105" s="51" t="str">
        <f>IFERROR(__xludf.DUMMYFUNCTION("""COMPUTED_VALUE"""),"d3636137")</f>
        <v>d3636137</v>
      </c>
      <c r="I105" s="58">
        <f>IFERROR(__xludf.DUMMYFUNCTION("""COMPUTED_VALUE"""),45090.0)</f>
        <v>45090</v>
      </c>
      <c r="J105" s="59">
        <f>IFERROR(__xludf.DUMMYFUNCTION("""COMPUTED_VALUE"""),45095.0)</f>
        <v>45095</v>
      </c>
      <c r="K105" s="51">
        <f>IFERROR(__xludf.DUMMYFUNCTION("""COMPUTED_VALUE"""),5.0)</f>
        <v>5</v>
      </c>
      <c r="L105" s="51">
        <f>IFERROR(__xludf.DUMMYFUNCTION("""COMPUTED_VALUE"""),1.0)</f>
        <v>1</v>
      </c>
      <c r="M105" s="52">
        <f>IFERROR(__xludf.DUMMYFUNCTION("""COMPUTED_VALUE"""),12000.0)</f>
        <v>12000</v>
      </c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51" t="str">
        <f>IFERROR(__xludf.DUMMYFUNCTION("""COMPUTED_VALUE"""),"d994cc10")</f>
        <v>d994cc10</v>
      </c>
      <c r="B106" s="58">
        <f>IFERROR(__xludf.DUMMYFUNCTION("""COMPUTED_VALUE"""),45101.0)</f>
        <v>45101</v>
      </c>
      <c r="C106" s="59">
        <f>IFERROR(__xludf.DUMMYFUNCTION("""COMPUTED_VALUE"""),45103.0)</f>
        <v>45103</v>
      </c>
      <c r="D106" s="51">
        <f>IFERROR(__xludf.DUMMYFUNCTION("""COMPUTED_VALUE"""),1.0)</f>
        <v>1</v>
      </c>
      <c r="E106" s="51">
        <f>IFERROR(__xludf.DUMMYFUNCTION("""COMPUTED_VALUE"""),1.0)</f>
        <v>1</v>
      </c>
      <c r="F106" s="52">
        <f>IFERROR(__xludf.DUMMYFUNCTION("""COMPUTED_VALUE"""),12000.0)</f>
        <v>12000</v>
      </c>
      <c r="G106" s="49"/>
      <c r="H106" s="51" t="str">
        <f>IFERROR(__xludf.DUMMYFUNCTION("""COMPUTED_VALUE"""),"d1911322")</f>
        <v>d1911322</v>
      </c>
      <c r="I106" s="58">
        <f>IFERROR(__xludf.DUMMYFUNCTION("""COMPUTED_VALUE"""),45090.0)</f>
        <v>45090</v>
      </c>
      <c r="J106" s="59">
        <f>IFERROR(__xludf.DUMMYFUNCTION("""COMPUTED_VALUE"""),45095.0)</f>
        <v>45095</v>
      </c>
      <c r="K106" s="51">
        <f>IFERROR(__xludf.DUMMYFUNCTION("""COMPUTED_VALUE"""),6.0)</f>
        <v>6</v>
      </c>
      <c r="L106" s="51">
        <f>IFERROR(__xludf.DUMMYFUNCTION("""COMPUTED_VALUE"""),1.0)</f>
        <v>1</v>
      </c>
      <c r="M106" s="52">
        <f>IFERROR(__xludf.DUMMYFUNCTION("""COMPUTED_VALUE"""),12000.0)</f>
        <v>12000</v>
      </c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51" t="str">
        <f>IFERROR(__xludf.DUMMYFUNCTION("""COMPUTED_VALUE"""),"d988l829")</f>
        <v>d988l829</v>
      </c>
      <c r="B107" s="58">
        <f>IFERROR(__xludf.DUMMYFUNCTION("""COMPUTED_VALUE"""),45103.0)</f>
        <v>45103</v>
      </c>
      <c r="C107" s="59">
        <f>IFERROR(__xludf.DUMMYFUNCTION("""COMPUTED_VALUE"""),45107.0)</f>
        <v>45107</v>
      </c>
      <c r="D107" s="51">
        <f>IFERROR(__xludf.DUMMYFUNCTION("""COMPUTED_VALUE"""),1.0)</f>
        <v>1</v>
      </c>
      <c r="E107" s="51">
        <f>IFERROR(__xludf.DUMMYFUNCTION("""COMPUTED_VALUE"""),1.0)</f>
        <v>1</v>
      </c>
      <c r="F107" s="52">
        <f>IFERROR(__xludf.DUMMYFUNCTION("""COMPUTED_VALUE"""),12000.0)</f>
        <v>12000</v>
      </c>
      <c r="G107" s="49"/>
      <c r="H107" s="51" t="str">
        <f>IFERROR(__xludf.DUMMYFUNCTION("""COMPUTED_VALUE"""),"d228d083")</f>
        <v>d228d083</v>
      </c>
      <c r="I107" s="58">
        <f>IFERROR(__xludf.DUMMYFUNCTION("""COMPUTED_VALUE"""),45090.0)</f>
        <v>45090</v>
      </c>
      <c r="J107" s="59">
        <f>IFERROR(__xludf.DUMMYFUNCTION("""COMPUTED_VALUE"""),45093.0)</f>
        <v>45093</v>
      </c>
      <c r="K107" s="51">
        <f>IFERROR(__xludf.DUMMYFUNCTION("""COMPUTED_VALUE"""),6.0)</f>
        <v>6</v>
      </c>
      <c r="L107" s="51">
        <f>IFERROR(__xludf.DUMMYFUNCTION("""COMPUTED_VALUE"""),1.0)</f>
        <v>1</v>
      </c>
      <c r="M107" s="52">
        <f>IFERROR(__xludf.DUMMYFUNCTION("""COMPUTED_VALUE"""),12000.0)</f>
        <v>12000</v>
      </c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51" t="str">
        <f>IFERROR(__xludf.DUMMYFUNCTION("""COMPUTED_VALUE"""),"d324q165")</f>
        <v>d324q165</v>
      </c>
      <c r="B108" s="58">
        <f>IFERROR(__xludf.DUMMYFUNCTION("""COMPUTED_VALUE"""),45105.0)</f>
        <v>45105</v>
      </c>
      <c r="C108" s="59">
        <f>IFERROR(__xludf.DUMMYFUNCTION("""COMPUTED_VALUE"""),45109.0)</f>
        <v>45109</v>
      </c>
      <c r="D108" s="51">
        <f>IFERROR(__xludf.DUMMYFUNCTION("""COMPUTED_VALUE"""),1.0)</f>
        <v>1</v>
      </c>
      <c r="E108" s="51">
        <f>IFERROR(__xludf.DUMMYFUNCTION("""COMPUTED_VALUE"""),1.0)</f>
        <v>1</v>
      </c>
      <c r="F108" s="52">
        <f>IFERROR(__xludf.DUMMYFUNCTION("""COMPUTED_VALUE"""),12000.0)</f>
        <v>12000</v>
      </c>
      <c r="G108" s="49"/>
      <c r="H108" s="51" t="str">
        <f>IFERROR(__xludf.DUMMYFUNCTION("""COMPUTED_VALUE"""),"d986to03")</f>
        <v>d986to03</v>
      </c>
      <c r="I108" s="58">
        <f>IFERROR(__xludf.DUMMYFUNCTION("""COMPUTED_VALUE"""),45090.0)</f>
        <v>45090</v>
      </c>
      <c r="J108" s="59">
        <f>IFERROR(__xludf.DUMMYFUNCTION("""COMPUTED_VALUE"""),45094.0)</f>
        <v>45094</v>
      </c>
      <c r="K108" s="51">
        <f>IFERROR(__xludf.DUMMYFUNCTION("""COMPUTED_VALUE"""),1.0)</f>
        <v>1</v>
      </c>
      <c r="L108" s="51">
        <f>IFERROR(__xludf.DUMMYFUNCTION("""COMPUTED_VALUE"""),1.0)</f>
        <v>1</v>
      </c>
      <c r="M108" s="52">
        <f>IFERROR(__xludf.DUMMYFUNCTION("""COMPUTED_VALUE"""),12000.0)</f>
        <v>12000</v>
      </c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51" t="str">
        <f>IFERROR(__xludf.DUMMYFUNCTION("""COMPUTED_VALUE"""),"d241li62")</f>
        <v>d241li62</v>
      </c>
      <c r="B109" s="58">
        <f>IFERROR(__xludf.DUMMYFUNCTION("""COMPUTED_VALUE"""),45105.0)</f>
        <v>45105</v>
      </c>
      <c r="C109" s="59">
        <f>IFERROR(__xludf.DUMMYFUNCTION("""COMPUTED_VALUE"""),45109.0)</f>
        <v>45109</v>
      </c>
      <c r="D109" s="51">
        <f>IFERROR(__xludf.DUMMYFUNCTION("""COMPUTED_VALUE"""),1.0)</f>
        <v>1</v>
      </c>
      <c r="E109" s="51">
        <f>IFERROR(__xludf.DUMMYFUNCTION("""COMPUTED_VALUE"""),1.0)</f>
        <v>1</v>
      </c>
      <c r="F109" s="52">
        <f>IFERROR(__xludf.DUMMYFUNCTION("""COMPUTED_VALUE"""),12000.0)</f>
        <v>12000</v>
      </c>
      <c r="G109" s="49"/>
      <c r="H109" s="51" t="str">
        <f>IFERROR(__xludf.DUMMYFUNCTION("""COMPUTED_VALUE"""),"d537b376")</f>
        <v>d537b376</v>
      </c>
      <c r="I109" s="58">
        <f>IFERROR(__xludf.DUMMYFUNCTION("""COMPUTED_VALUE"""),45090.0)</f>
        <v>45090</v>
      </c>
      <c r="J109" s="59">
        <f>IFERROR(__xludf.DUMMYFUNCTION("""COMPUTED_VALUE"""),45091.0)</f>
        <v>45091</v>
      </c>
      <c r="K109" s="51">
        <f>IFERROR(__xludf.DUMMYFUNCTION("""COMPUTED_VALUE"""),1.0)</f>
        <v>1</v>
      </c>
      <c r="L109" s="51">
        <f>IFERROR(__xludf.DUMMYFUNCTION("""COMPUTED_VALUE"""),1.0)</f>
        <v>1</v>
      </c>
      <c r="M109" s="52">
        <f>IFERROR(__xludf.DUMMYFUNCTION("""COMPUTED_VALUE"""),12000.0)</f>
        <v>12000</v>
      </c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51" t="str">
        <f>IFERROR(__xludf.DUMMYFUNCTION("""COMPUTED_VALUE"""),"d1993t40")</f>
        <v>d1993t40</v>
      </c>
      <c r="B110" s="58">
        <f>IFERROR(__xludf.DUMMYFUNCTION("""COMPUTED_VALUE"""),45107.0)</f>
        <v>45107</v>
      </c>
      <c r="C110" s="59">
        <f>IFERROR(__xludf.DUMMYFUNCTION("""COMPUTED_VALUE"""),45112.0)</f>
        <v>45112</v>
      </c>
      <c r="D110" s="51">
        <f>IFERROR(__xludf.DUMMYFUNCTION("""COMPUTED_VALUE"""),1.0)</f>
        <v>1</v>
      </c>
      <c r="E110" s="51">
        <f>IFERROR(__xludf.DUMMYFUNCTION("""COMPUTED_VALUE"""),1.0)</f>
        <v>1</v>
      </c>
      <c r="F110" s="52">
        <f>IFERROR(__xludf.DUMMYFUNCTION("""COMPUTED_VALUE"""),12000.0)</f>
        <v>12000</v>
      </c>
      <c r="G110" s="49"/>
      <c r="H110" s="51" t="str">
        <f>IFERROR(__xludf.DUMMYFUNCTION("""COMPUTED_VALUE"""),"d946wd29")</f>
        <v>d946wd29</v>
      </c>
      <c r="I110" s="58">
        <f>IFERROR(__xludf.DUMMYFUNCTION("""COMPUTED_VALUE"""),45090.0)</f>
        <v>45090</v>
      </c>
      <c r="J110" s="59">
        <f>IFERROR(__xludf.DUMMYFUNCTION("""COMPUTED_VALUE"""),45095.0)</f>
        <v>45095</v>
      </c>
      <c r="K110" s="51">
        <f>IFERROR(__xludf.DUMMYFUNCTION("""COMPUTED_VALUE"""),3.0)</f>
        <v>3</v>
      </c>
      <c r="L110" s="51">
        <f>IFERROR(__xludf.DUMMYFUNCTION("""COMPUTED_VALUE"""),1.0)</f>
        <v>1</v>
      </c>
      <c r="M110" s="52">
        <f>IFERROR(__xludf.DUMMYFUNCTION("""COMPUTED_VALUE"""),12000.0)</f>
        <v>12000</v>
      </c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51" t="str">
        <f>IFERROR(__xludf.DUMMYFUNCTION("""COMPUTED_VALUE"""),"d0751922")</f>
        <v>d0751922</v>
      </c>
      <c r="B111" s="58">
        <f>IFERROR(__xludf.DUMMYFUNCTION("""COMPUTED_VALUE"""),45107.0)</f>
        <v>45107</v>
      </c>
      <c r="C111" s="59">
        <f>IFERROR(__xludf.DUMMYFUNCTION("""COMPUTED_VALUE"""),45110.0)</f>
        <v>45110</v>
      </c>
      <c r="D111" s="51">
        <f>IFERROR(__xludf.DUMMYFUNCTION("""COMPUTED_VALUE"""),1.0)</f>
        <v>1</v>
      </c>
      <c r="E111" s="51">
        <f>IFERROR(__xludf.DUMMYFUNCTION("""COMPUTED_VALUE"""),1.0)</f>
        <v>1</v>
      </c>
      <c r="F111" s="52">
        <f>IFERROR(__xludf.DUMMYFUNCTION("""COMPUTED_VALUE"""),12000.0)</f>
        <v>12000</v>
      </c>
      <c r="G111" s="49"/>
      <c r="H111" s="51" t="str">
        <f>IFERROR(__xludf.DUMMYFUNCTION("""COMPUTED_VALUE"""),"d768t808")</f>
        <v>d768t808</v>
      </c>
      <c r="I111" s="58">
        <f>IFERROR(__xludf.DUMMYFUNCTION("""COMPUTED_VALUE"""),45090.0)</f>
        <v>45090</v>
      </c>
      <c r="J111" s="59">
        <f>IFERROR(__xludf.DUMMYFUNCTION("""COMPUTED_VALUE"""),45092.0)</f>
        <v>45092</v>
      </c>
      <c r="K111" s="51">
        <f>IFERROR(__xludf.DUMMYFUNCTION("""COMPUTED_VALUE"""),2.0)</f>
        <v>2</v>
      </c>
      <c r="L111" s="51">
        <f>IFERROR(__xludf.DUMMYFUNCTION("""COMPUTED_VALUE"""),1.0)</f>
        <v>1</v>
      </c>
      <c r="M111" s="52">
        <f>IFERROR(__xludf.DUMMYFUNCTION("""COMPUTED_VALUE"""),12000.0)</f>
        <v>12000</v>
      </c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51" t="str">
        <f>IFERROR(__xludf.DUMMYFUNCTION("""COMPUTED_VALUE"""),"d7581k20")</f>
        <v>d7581k20</v>
      </c>
      <c r="B112" s="59">
        <f>IFERROR(__xludf.DUMMYFUNCTION("""COMPUTED_VALUE"""),45078.0)</f>
        <v>45078</v>
      </c>
      <c r="C112" s="59">
        <f>IFERROR(__xludf.DUMMYFUNCTION("""COMPUTED_VALUE"""),45080.0)</f>
        <v>45080</v>
      </c>
      <c r="D112" s="51">
        <f>IFERROR(__xludf.DUMMYFUNCTION("""COMPUTED_VALUE"""),1.0)</f>
        <v>1</v>
      </c>
      <c r="E112" s="51">
        <f>IFERROR(__xludf.DUMMYFUNCTION("""COMPUTED_VALUE"""),2.0)</f>
        <v>2</v>
      </c>
      <c r="F112" s="52">
        <f>IFERROR(__xludf.DUMMYFUNCTION("""COMPUTED_VALUE"""),14000.0)</f>
        <v>14000</v>
      </c>
      <c r="G112" s="49"/>
      <c r="H112" s="51" t="str">
        <f>IFERROR(__xludf.DUMMYFUNCTION("""COMPUTED_VALUE"""),"d2507889")</f>
        <v>d2507889</v>
      </c>
      <c r="I112" s="58">
        <f>IFERROR(__xludf.DUMMYFUNCTION("""COMPUTED_VALUE"""),45090.0)</f>
        <v>45090</v>
      </c>
      <c r="J112" s="59">
        <f>IFERROR(__xludf.DUMMYFUNCTION("""COMPUTED_VALUE"""),45093.0)</f>
        <v>45093</v>
      </c>
      <c r="K112" s="51">
        <f>IFERROR(__xludf.DUMMYFUNCTION("""COMPUTED_VALUE"""),6.0)</f>
        <v>6</v>
      </c>
      <c r="L112" s="51">
        <f>IFERROR(__xludf.DUMMYFUNCTION("""COMPUTED_VALUE"""),1.0)</f>
        <v>1</v>
      </c>
      <c r="M112" s="52">
        <f>IFERROR(__xludf.DUMMYFUNCTION("""COMPUTED_VALUE"""),12000.0)</f>
        <v>12000</v>
      </c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51" t="str">
        <f>IFERROR(__xludf.DUMMYFUNCTION("""COMPUTED_VALUE"""),"d3299x21")</f>
        <v>d3299x21</v>
      </c>
      <c r="B113" s="58">
        <f>IFERROR(__xludf.DUMMYFUNCTION("""COMPUTED_VALUE"""),45079.0)</f>
        <v>45079</v>
      </c>
      <c r="C113" s="59">
        <f>IFERROR(__xludf.DUMMYFUNCTION("""COMPUTED_VALUE"""),45082.0)</f>
        <v>45082</v>
      </c>
      <c r="D113" s="51">
        <f>IFERROR(__xludf.DUMMYFUNCTION("""COMPUTED_VALUE"""),1.0)</f>
        <v>1</v>
      </c>
      <c r="E113" s="51">
        <f>IFERROR(__xludf.DUMMYFUNCTION("""COMPUTED_VALUE"""),2.0)</f>
        <v>2</v>
      </c>
      <c r="F113" s="52">
        <f>IFERROR(__xludf.DUMMYFUNCTION("""COMPUTED_VALUE"""),14000.0)</f>
        <v>14000</v>
      </c>
      <c r="G113" s="49"/>
      <c r="H113" s="51" t="str">
        <f>IFERROR(__xludf.DUMMYFUNCTION("""COMPUTED_VALUE"""),"d124qb71")</f>
        <v>d124qb71</v>
      </c>
      <c r="I113" s="58">
        <f>IFERROR(__xludf.DUMMYFUNCTION("""COMPUTED_VALUE"""),45090.0)</f>
        <v>45090</v>
      </c>
      <c r="J113" s="59">
        <f>IFERROR(__xludf.DUMMYFUNCTION("""COMPUTED_VALUE"""),45094.0)</f>
        <v>45094</v>
      </c>
      <c r="K113" s="51">
        <f>IFERROR(__xludf.DUMMYFUNCTION("""COMPUTED_VALUE"""),6.0)</f>
        <v>6</v>
      </c>
      <c r="L113" s="51">
        <f>IFERROR(__xludf.DUMMYFUNCTION("""COMPUTED_VALUE"""),1.0)</f>
        <v>1</v>
      </c>
      <c r="M113" s="52">
        <f>IFERROR(__xludf.DUMMYFUNCTION("""COMPUTED_VALUE"""),12000.0)</f>
        <v>12000</v>
      </c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51" t="str">
        <f>IFERROR(__xludf.DUMMYFUNCTION("""COMPUTED_VALUE"""),"d2595q99")</f>
        <v>d2595q99</v>
      </c>
      <c r="B114" s="58">
        <f>IFERROR(__xludf.DUMMYFUNCTION("""COMPUTED_VALUE"""),45079.0)</f>
        <v>45079</v>
      </c>
      <c r="C114" s="59">
        <f>IFERROR(__xludf.DUMMYFUNCTION("""COMPUTED_VALUE"""),45080.0)</f>
        <v>45080</v>
      </c>
      <c r="D114" s="51">
        <f>IFERROR(__xludf.DUMMYFUNCTION("""COMPUTED_VALUE"""),1.0)</f>
        <v>1</v>
      </c>
      <c r="E114" s="51">
        <f>IFERROR(__xludf.DUMMYFUNCTION("""COMPUTED_VALUE"""),2.0)</f>
        <v>2</v>
      </c>
      <c r="F114" s="52">
        <f>IFERROR(__xludf.DUMMYFUNCTION("""COMPUTED_VALUE"""),14000.0)</f>
        <v>14000</v>
      </c>
      <c r="G114" s="49"/>
      <c r="H114" s="51" t="str">
        <f>IFERROR(__xludf.DUMMYFUNCTION("""COMPUTED_VALUE"""),"d0574h92")</f>
        <v>d0574h92</v>
      </c>
      <c r="I114" s="58">
        <f>IFERROR(__xludf.DUMMYFUNCTION("""COMPUTED_VALUE"""),45090.0)</f>
        <v>45090</v>
      </c>
      <c r="J114" s="59">
        <f>IFERROR(__xludf.DUMMYFUNCTION("""COMPUTED_VALUE"""),45091.0)</f>
        <v>45091</v>
      </c>
      <c r="K114" s="51">
        <f>IFERROR(__xludf.DUMMYFUNCTION("""COMPUTED_VALUE"""),1.0)</f>
        <v>1</v>
      </c>
      <c r="L114" s="51">
        <f>IFERROR(__xludf.DUMMYFUNCTION("""COMPUTED_VALUE"""),1.0)</f>
        <v>1</v>
      </c>
      <c r="M114" s="52">
        <f>IFERROR(__xludf.DUMMYFUNCTION("""COMPUTED_VALUE"""),12000.0)</f>
        <v>12000</v>
      </c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51" t="str">
        <f>IFERROR(__xludf.DUMMYFUNCTION("""COMPUTED_VALUE"""),"d692ce16")</f>
        <v>d692ce16</v>
      </c>
      <c r="B115" s="58">
        <f>IFERROR(__xludf.DUMMYFUNCTION("""COMPUTED_VALUE"""),45081.0)</f>
        <v>45081</v>
      </c>
      <c r="C115" s="59">
        <f>IFERROR(__xludf.DUMMYFUNCTION("""COMPUTED_VALUE"""),45082.0)</f>
        <v>45082</v>
      </c>
      <c r="D115" s="51">
        <f>IFERROR(__xludf.DUMMYFUNCTION("""COMPUTED_VALUE"""),1.0)</f>
        <v>1</v>
      </c>
      <c r="E115" s="51">
        <f>IFERROR(__xludf.DUMMYFUNCTION("""COMPUTED_VALUE"""),2.0)</f>
        <v>2</v>
      </c>
      <c r="F115" s="52">
        <f>IFERROR(__xludf.DUMMYFUNCTION("""COMPUTED_VALUE"""),14000.0)</f>
        <v>14000</v>
      </c>
      <c r="G115" s="49"/>
      <c r="H115" s="51" t="str">
        <f>IFERROR(__xludf.DUMMYFUNCTION("""COMPUTED_VALUE"""),"d019vu70")</f>
        <v>d019vu70</v>
      </c>
      <c r="I115" s="59">
        <f>IFERROR(__xludf.DUMMYFUNCTION("""COMPUTED_VALUE"""),45091.0)</f>
        <v>45091</v>
      </c>
      <c r="J115" s="59">
        <f>IFERROR(__xludf.DUMMYFUNCTION("""COMPUTED_VALUE"""),45093.0)</f>
        <v>45093</v>
      </c>
      <c r="K115" s="51">
        <f>IFERROR(__xludf.DUMMYFUNCTION("""COMPUTED_VALUE"""),5.0)</f>
        <v>5</v>
      </c>
      <c r="L115" s="51">
        <f>IFERROR(__xludf.DUMMYFUNCTION("""COMPUTED_VALUE"""),1.0)</f>
        <v>1</v>
      </c>
      <c r="M115" s="52">
        <f>IFERROR(__xludf.DUMMYFUNCTION("""COMPUTED_VALUE"""),12000.0)</f>
        <v>12000</v>
      </c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51" t="str">
        <f>IFERROR(__xludf.DUMMYFUNCTION("""COMPUTED_VALUE"""),"d2236887")</f>
        <v>d2236887</v>
      </c>
      <c r="B116" s="58">
        <f>IFERROR(__xludf.DUMMYFUNCTION("""COMPUTED_VALUE"""),45082.0)</f>
        <v>45082</v>
      </c>
      <c r="C116" s="59">
        <f>IFERROR(__xludf.DUMMYFUNCTION("""COMPUTED_VALUE"""),45084.0)</f>
        <v>45084</v>
      </c>
      <c r="D116" s="51">
        <f>IFERROR(__xludf.DUMMYFUNCTION("""COMPUTED_VALUE"""),1.0)</f>
        <v>1</v>
      </c>
      <c r="E116" s="51">
        <f>IFERROR(__xludf.DUMMYFUNCTION("""COMPUTED_VALUE"""),2.0)</f>
        <v>2</v>
      </c>
      <c r="F116" s="52">
        <f>IFERROR(__xludf.DUMMYFUNCTION("""COMPUTED_VALUE"""),14000.0)</f>
        <v>14000</v>
      </c>
      <c r="G116" s="49"/>
      <c r="H116" s="51" t="str">
        <f>IFERROR(__xludf.DUMMYFUNCTION("""COMPUTED_VALUE"""),"d936fw34")</f>
        <v>d936fw34</v>
      </c>
      <c r="I116" s="58">
        <f>IFERROR(__xludf.DUMMYFUNCTION("""COMPUTED_VALUE"""),45091.0)</f>
        <v>45091</v>
      </c>
      <c r="J116" s="59">
        <f>IFERROR(__xludf.DUMMYFUNCTION("""COMPUTED_VALUE"""),45096.0)</f>
        <v>45096</v>
      </c>
      <c r="K116" s="51">
        <f>IFERROR(__xludf.DUMMYFUNCTION("""COMPUTED_VALUE"""),5.0)</f>
        <v>5</v>
      </c>
      <c r="L116" s="51">
        <f>IFERROR(__xludf.DUMMYFUNCTION("""COMPUTED_VALUE"""),1.0)</f>
        <v>1</v>
      </c>
      <c r="M116" s="52">
        <f>IFERROR(__xludf.DUMMYFUNCTION("""COMPUTED_VALUE"""),12000.0)</f>
        <v>12000</v>
      </c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51" t="str">
        <f>IFERROR(__xludf.DUMMYFUNCTION("""COMPUTED_VALUE"""),"d6702x45")</f>
        <v>d6702x45</v>
      </c>
      <c r="B117" s="58">
        <f>IFERROR(__xludf.DUMMYFUNCTION("""COMPUTED_VALUE"""),45083.0)</f>
        <v>45083</v>
      </c>
      <c r="C117" s="59">
        <f>IFERROR(__xludf.DUMMYFUNCTION("""COMPUTED_VALUE"""),45086.0)</f>
        <v>45086</v>
      </c>
      <c r="D117" s="51">
        <f>IFERROR(__xludf.DUMMYFUNCTION("""COMPUTED_VALUE"""),1.0)</f>
        <v>1</v>
      </c>
      <c r="E117" s="51">
        <f>IFERROR(__xludf.DUMMYFUNCTION("""COMPUTED_VALUE"""),2.0)</f>
        <v>2</v>
      </c>
      <c r="F117" s="52">
        <f>IFERROR(__xludf.DUMMYFUNCTION("""COMPUTED_VALUE"""),14000.0)</f>
        <v>14000</v>
      </c>
      <c r="G117" s="49"/>
      <c r="H117" s="51" t="str">
        <f>IFERROR(__xludf.DUMMYFUNCTION("""COMPUTED_VALUE"""),"d8499w21")</f>
        <v>d8499w21</v>
      </c>
      <c r="I117" s="58">
        <f>IFERROR(__xludf.DUMMYFUNCTION("""COMPUTED_VALUE"""),45091.0)</f>
        <v>45091</v>
      </c>
      <c r="J117" s="59">
        <f>IFERROR(__xludf.DUMMYFUNCTION("""COMPUTED_VALUE"""),45094.0)</f>
        <v>45094</v>
      </c>
      <c r="K117" s="51">
        <f>IFERROR(__xludf.DUMMYFUNCTION("""COMPUTED_VALUE"""),1.0)</f>
        <v>1</v>
      </c>
      <c r="L117" s="51">
        <f>IFERROR(__xludf.DUMMYFUNCTION("""COMPUTED_VALUE"""),1.0)</f>
        <v>1</v>
      </c>
      <c r="M117" s="52">
        <f>IFERROR(__xludf.DUMMYFUNCTION("""COMPUTED_VALUE"""),12000.0)</f>
        <v>12000</v>
      </c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51" t="str">
        <f>IFERROR(__xludf.DUMMYFUNCTION("""COMPUTED_VALUE"""),"d337lh25")</f>
        <v>d337lh25</v>
      </c>
      <c r="B118" s="58">
        <f>IFERROR(__xludf.DUMMYFUNCTION("""COMPUTED_VALUE"""),45084.0)</f>
        <v>45084</v>
      </c>
      <c r="C118" s="59">
        <f>IFERROR(__xludf.DUMMYFUNCTION("""COMPUTED_VALUE"""),45085.0)</f>
        <v>45085</v>
      </c>
      <c r="D118" s="51">
        <f>IFERROR(__xludf.DUMMYFUNCTION("""COMPUTED_VALUE"""),1.0)</f>
        <v>1</v>
      </c>
      <c r="E118" s="51">
        <f>IFERROR(__xludf.DUMMYFUNCTION("""COMPUTED_VALUE"""),2.0)</f>
        <v>2</v>
      </c>
      <c r="F118" s="52">
        <f>IFERROR(__xludf.DUMMYFUNCTION("""COMPUTED_VALUE"""),14000.0)</f>
        <v>14000</v>
      </c>
      <c r="G118" s="49"/>
      <c r="H118" s="51" t="str">
        <f>IFERROR(__xludf.DUMMYFUNCTION("""COMPUTED_VALUE"""),"d585my42")</f>
        <v>d585my42</v>
      </c>
      <c r="I118" s="58">
        <f>IFERROR(__xludf.DUMMYFUNCTION("""COMPUTED_VALUE"""),45091.0)</f>
        <v>45091</v>
      </c>
      <c r="J118" s="59">
        <f>IFERROR(__xludf.DUMMYFUNCTION("""COMPUTED_VALUE"""),45092.0)</f>
        <v>45092</v>
      </c>
      <c r="K118" s="51">
        <f>IFERROR(__xludf.DUMMYFUNCTION("""COMPUTED_VALUE"""),5.0)</f>
        <v>5</v>
      </c>
      <c r="L118" s="51">
        <f>IFERROR(__xludf.DUMMYFUNCTION("""COMPUTED_VALUE"""),1.0)</f>
        <v>1</v>
      </c>
      <c r="M118" s="52">
        <f>IFERROR(__xludf.DUMMYFUNCTION("""COMPUTED_VALUE"""),12000.0)</f>
        <v>12000</v>
      </c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51" t="str">
        <f>IFERROR(__xludf.DUMMYFUNCTION("""COMPUTED_VALUE"""),"d948m761")</f>
        <v>d948m761</v>
      </c>
      <c r="B119" s="58">
        <f>IFERROR(__xludf.DUMMYFUNCTION("""COMPUTED_VALUE"""),45085.0)</f>
        <v>45085</v>
      </c>
      <c r="C119" s="59">
        <f>IFERROR(__xludf.DUMMYFUNCTION("""COMPUTED_VALUE"""),45089.0)</f>
        <v>45089</v>
      </c>
      <c r="D119" s="51">
        <f>IFERROR(__xludf.DUMMYFUNCTION("""COMPUTED_VALUE"""),1.0)</f>
        <v>1</v>
      </c>
      <c r="E119" s="51">
        <f>IFERROR(__xludf.DUMMYFUNCTION("""COMPUTED_VALUE"""),2.0)</f>
        <v>2</v>
      </c>
      <c r="F119" s="52">
        <f>IFERROR(__xludf.DUMMYFUNCTION("""COMPUTED_VALUE"""),14000.0)</f>
        <v>14000</v>
      </c>
      <c r="G119" s="49"/>
      <c r="H119" s="51" t="str">
        <f>IFERROR(__xludf.DUMMYFUNCTION("""COMPUTED_VALUE"""),"d611up11")</f>
        <v>d611up11</v>
      </c>
      <c r="I119" s="59">
        <f>IFERROR(__xludf.DUMMYFUNCTION("""COMPUTED_VALUE"""),45092.0)</f>
        <v>45092</v>
      </c>
      <c r="J119" s="59">
        <f>IFERROR(__xludf.DUMMYFUNCTION("""COMPUTED_VALUE"""),45096.0)</f>
        <v>45096</v>
      </c>
      <c r="K119" s="51">
        <f>IFERROR(__xludf.DUMMYFUNCTION("""COMPUTED_VALUE"""),3.0)</f>
        <v>3</v>
      </c>
      <c r="L119" s="51">
        <f>IFERROR(__xludf.DUMMYFUNCTION("""COMPUTED_VALUE"""),1.0)</f>
        <v>1</v>
      </c>
      <c r="M119" s="52">
        <f>IFERROR(__xludf.DUMMYFUNCTION("""COMPUTED_VALUE"""),12000.0)</f>
        <v>12000</v>
      </c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51" t="str">
        <f>IFERROR(__xludf.DUMMYFUNCTION("""COMPUTED_VALUE"""),"d5505g16")</f>
        <v>d5505g16</v>
      </c>
      <c r="B120" s="59">
        <f>IFERROR(__xludf.DUMMYFUNCTION("""COMPUTED_VALUE"""),45086.0)</f>
        <v>45086</v>
      </c>
      <c r="C120" s="59">
        <f>IFERROR(__xludf.DUMMYFUNCTION("""COMPUTED_VALUE"""),45089.0)</f>
        <v>45089</v>
      </c>
      <c r="D120" s="51">
        <f>IFERROR(__xludf.DUMMYFUNCTION("""COMPUTED_VALUE"""),1.0)</f>
        <v>1</v>
      </c>
      <c r="E120" s="51">
        <f>IFERROR(__xludf.DUMMYFUNCTION("""COMPUTED_VALUE"""),2.0)</f>
        <v>2</v>
      </c>
      <c r="F120" s="52">
        <f>IFERROR(__xludf.DUMMYFUNCTION("""COMPUTED_VALUE"""),14000.0)</f>
        <v>14000</v>
      </c>
      <c r="G120" s="49"/>
      <c r="H120" s="51" t="str">
        <f>IFERROR(__xludf.DUMMYFUNCTION("""COMPUTED_VALUE"""),"d341et51")</f>
        <v>d341et51</v>
      </c>
      <c r="I120" s="58">
        <f>IFERROR(__xludf.DUMMYFUNCTION("""COMPUTED_VALUE"""),45092.0)</f>
        <v>45092</v>
      </c>
      <c r="J120" s="59">
        <f>IFERROR(__xludf.DUMMYFUNCTION("""COMPUTED_VALUE"""),45095.0)</f>
        <v>45095</v>
      </c>
      <c r="K120" s="51">
        <f>IFERROR(__xludf.DUMMYFUNCTION("""COMPUTED_VALUE"""),1.0)</f>
        <v>1</v>
      </c>
      <c r="L120" s="51">
        <f>IFERROR(__xludf.DUMMYFUNCTION("""COMPUTED_VALUE"""),1.0)</f>
        <v>1</v>
      </c>
      <c r="M120" s="52">
        <f>IFERROR(__xludf.DUMMYFUNCTION("""COMPUTED_VALUE"""),12000.0)</f>
        <v>12000</v>
      </c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51" t="str">
        <f>IFERROR(__xludf.DUMMYFUNCTION("""COMPUTED_VALUE"""),"d450tm18")</f>
        <v>d450tm18</v>
      </c>
      <c r="B121" s="58">
        <f>IFERROR(__xludf.DUMMYFUNCTION("""COMPUTED_VALUE"""),45086.0)</f>
        <v>45086</v>
      </c>
      <c r="C121" s="59">
        <f>IFERROR(__xludf.DUMMYFUNCTION("""COMPUTED_VALUE"""),45088.0)</f>
        <v>45088</v>
      </c>
      <c r="D121" s="51">
        <f>IFERROR(__xludf.DUMMYFUNCTION("""COMPUTED_VALUE"""),1.0)</f>
        <v>1</v>
      </c>
      <c r="E121" s="51">
        <f>IFERROR(__xludf.DUMMYFUNCTION("""COMPUTED_VALUE"""),2.0)</f>
        <v>2</v>
      </c>
      <c r="F121" s="52">
        <f>IFERROR(__xludf.DUMMYFUNCTION("""COMPUTED_VALUE"""),14000.0)</f>
        <v>14000</v>
      </c>
      <c r="G121" s="49"/>
      <c r="H121" s="51" t="str">
        <f>IFERROR(__xludf.DUMMYFUNCTION("""COMPUTED_VALUE"""),"d185xy81")</f>
        <v>d185xy81</v>
      </c>
      <c r="I121" s="58">
        <f>IFERROR(__xludf.DUMMYFUNCTION("""COMPUTED_VALUE"""),45092.0)</f>
        <v>45092</v>
      </c>
      <c r="J121" s="59">
        <f>IFERROR(__xludf.DUMMYFUNCTION("""COMPUTED_VALUE"""),45097.0)</f>
        <v>45097</v>
      </c>
      <c r="K121" s="51">
        <f>IFERROR(__xludf.DUMMYFUNCTION("""COMPUTED_VALUE"""),4.0)</f>
        <v>4</v>
      </c>
      <c r="L121" s="51">
        <f>IFERROR(__xludf.DUMMYFUNCTION("""COMPUTED_VALUE"""),1.0)</f>
        <v>1</v>
      </c>
      <c r="M121" s="52">
        <f>IFERROR(__xludf.DUMMYFUNCTION("""COMPUTED_VALUE"""),12000.0)</f>
        <v>12000</v>
      </c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51" t="str">
        <f>IFERROR(__xludf.DUMMYFUNCTION("""COMPUTED_VALUE"""),"d610h017")</f>
        <v>d610h017</v>
      </c>
      <c r="B122" s="58">
        <f>IFERROR(__xludf.DUMMYFUNCTION("""COMPUTED_VALUE"""),45087.0)</f>
        <v>45087</v>
      </c>
      <c r="C122" s="59">
        <f>IFERROR(__xludf.DUMMYFUNCTION("""COMPUTED_VALUE"""),45088.0)</f>
        <v>45088</v>
      </c>
      <c r="D122" s="51">
        <f>IFERROR(__xludf.DUMMYFUNCTION("""COMPUTED_VALUE"""),1.0)</f>
        <v>1</v>
      </c>
      <c r="E122" s="51">
        <f>IFERROR(__xludf.DUMMYFUNCTION("""COMPUTED_VALUE"""),2.0)</f>
        <v>2</v>
      </c>
      <c r="F122" s="52">
        <f>IFERROR(__xludf.DUMMYFUNCTION("""COMPUTED_VALUE"""),14000.0)</f>
        <v>14000</v>
      </c>
      <c r="G122" s="49"/>
      <c r="H122" s="51" t="str">
        <f>IFERROR(__xludf.DUMMYFUNCTION("""COMPUTED_VALUE"""),"d158rf59")</f>
        <v>d158rf59</v>
      </c>
      <c r="I122" s="58">
        <f>IFERROR(__xludf.DUMMYFUNCTION("""COMPUTED_VALUE"""),45092.0)</f>
        <v>45092</v>
      </c>
      <c r="J122" s="59">
        <f>IFERROR(__xludf.DUMMYFUNCTION("""COMPUTED_VALUE"""),45095.0)</f>
        <v>45095</v>
      </c>
      <c r="K122" s="51">
        <f>IFERROR(__xludf.DUMMYFUNCTION("""COMPUTED_VALUE"""),6.0)</f>
        <v>6</v>
      </c>
      <c r="L122" s="51">
        <f>IFERROR(__xludf.DUMMYFUNCTION("""COMPUTED_VALUE"""),1.0)</f>
        <v>1</v>
      </c>
      <c r="M122" s="52">
        <f>IFERROR(__xludf.DUMMYFUNCTION("""COMPUTED_VALUE"""),12000.0)</f>
        <v>12000</v>
      </c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51" t="str">
        <f>IFERROR(__xludf.DUMMYFUNCTION("""COMPUTED_VALUE"""),"d7994i83")</f>
        <v>d7994i83</v>
      </c>
      <c r="B123" s="58">
        <f>IFERROR(__xludf.DUMMYFUNCTION("""COMPUTED_VALUE"""),45087.0)</f>
        <v>45087</v>
      </c>
      <c r="C123" s="59">
        <f>IFERROR(__xludf.DUMMYFUNCTION("""COMPUTED_VALUE"""),45091.0)</f>
        <v>45091</v>
      </c>
      <c r="D123" s="51">
        <f>IFERROR(__xludf.DUMMYFUNCTION("""COMPUTED_VALUE"""),1.0)</f>
        <v>1</v>
      </c>
      <c r="E123" s="51">
        <f>IFERROR(__xludf.DUMMYFUNCTION("""COMPUTED_VALUE"""),2.0)</f>
        <v>2</v>
      </c>
      <c r="F123" s="52">
        <f>IFERROR(__xludf.DUMMYFUNCTION("""COMPUTED_VALUE"""),14000.0)</f>
        <v>14000</v>
      </c>
      <c r="G123" s="49"/>
      <c r="H123" s="51" t="str">
        <f>IFERROR(__xludf.DUMMYFUNCTION("""COMPUTED_VALUE"""),"d815zl25")</f>
        <v>d815zl25</v>
      </c>
      <c r="I123" s="58">
        <f>IFERROR(__xludf.DUMMYFUNCTION("""COMPUTED_VALUE"""),45093.0)</f>
        <v>45093</v>
      </c>
      <c r="J123" s="59">
        <f>IFERROR(__xludf.DUMMYFUNCTION("""COMPUTED_VALUE"""),45095.0)</f>
        <v>45095</v>
      </c>
      <c r="K123" s="51">
        <f>IFERROR(__xludf.DUMMYFUNCTION("""COMPUTED_VALUE"""),1.0)</f>
        <v>1</v>
      </c>
      <c r="L123" s="51">
        <f>IFERROR(__xludf.DUMMYFUNCTION("""COMPUTED_VALUE"""),1.0)</f>
        <v>1</v>
      </c>
      <c r="M123" s="52">
        <f>IFERROR(__xludf.DUMMYFUNCTION("""COMPUTED_VALUE"""),12000.0)</f>
        <v>12000</v>
      </c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51" t="str">
        <f>IFERROR(__xludf.DUMMYFUNCTION("""COMPUTED_VALUE"""),"d627o372")</f>
        <v>d627o372</v>
      </c>
      <c r="B124" s="58">
        <f>IFERROR(__xludf.DUMMYFUNCTION("""COMPUTED_VALUE"""),45087.0)</f>
        <v>45087</v>
      </c>
      <c r="C124" s="59">
        <f>IFERROR(__xludf.DUMMYFUNCTION("""COMPUTED_VALUE"""),45090.0)</f>
        <v>45090</v>
      </c>
      <c r="D124" s="51">
        <f>IFERROR(__xludf.DUMMYFUNCTION("""COMPUTED_VALUE"""),1.0)</f>
        <v>1</v>
      </c>
      <c r="E124" s="51">
        <f>IFERROR(__xludf.DUMMYFUNCTION("""COMPUTED_VALUE"""),2.0)</f>
        <v>2</v>
      </c>
      <c r="F124" s="52">
        <f>IFERROR(__xludf.DUMMYFUNCTION("""COMPUTED_VALUE"""),14000.0)</f>
        <v>14000</v>
      </c>
      <c r="G124" s="49"/>
      <c r="H124" s="51" t="str">
        <f>IFERROR(__xludf.DUMMYFUNCTION("""COMPUTED_VALUE"""),"d9518867")</f>
        <v>d9518867</v>
      </c>
      <c r="I124" s="58">
        <f>IFERROR(__xludf.DUMMYFUNCTION("""COMPUTED_VALUE"""),45093.0)</f>
        <v>45093</v>
      </c>
      <c r="J124" s="59">
        <f>IFERROR(__xludf.DUMMYFUNCTION("""COMPUTED_VALUE"""),45095.0)</f>
        <v>45095</v>
      </c>
      <c r="K124" s="51">
        <f>IFERROR(__xludf.DUMMYFUNCTION("""COMPUTED_VALUE"""),2.0)</f>
        <v>2</v>
      </c>
      <c r="L124" s="51">
        <f>IFERROR(__xludf.DUMMYFUNCTION("""COMPUTED_VALUE"""),1.0)</f>
        <v>1</v>
      </c>
      <c r="M124" s="52">
        <f>IFERROR(__xludf.DUMMYFUNCTION("""COMPUTED_VALUE"""),12000.0)</f>
        <v>12000</v>
      </c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51" t="str">
        <f>IFERROR(__xludf.DUMMYFUNCTION("""COMPUTED_VALUE"""),"d828tk13")</f>
        <v>d828tk13</v>
      </c>
      <c r="B125" s="58">
        <f>IFERROR(__xludf.DUMMYFUNCTION("""COMPUTED_VALUE"""),45089.0)</f>
        <v>45089</v>
      </c>
      <c r="C125" s="59">
        <f>IFERROR(__xludf.DUMMYFUNCTION("""COMPUTED_VALUE"""),45092.0)</f>
        <v>45092</v>
      </c>
      <c r="D125" s="51">
        <f>IFERROR(__xludf.DUMMYFUNCTION("""COMPUTED_VALUE"""),1.0)</f>
        <v>1</v>
      </c>
      <c r="E125" s="51">
        <f>IFERROR(__xludf.DUMMYFUNCTION("""COMPUTED_VALUE"""),2.0)</f>
        <v>2</v>
      </c>
      <c r="F125" s="52">
        <f>IFERROR(__xludf.DUMMYFUNCTION("""COMPUTED_VALUE"""),14000.0)</f>
        <v>14000</v>
      </c>
      <c r="G125" s="49"/>
      <c r="H125" s="51" t="str">
        <f>IFERROR(__xludf.DUMMYFUNCTION("""COMPUTED_VALUE"""),"d676v164")</f>
        <v>d676v164</v>
      </c>
      <c r="I125" s="58">
        <f>IFERROR(__xludf.DUMMYFUNCTION("""COMPUTED_VALUE"""),45093.0)</f>
        <v>45093</v>
      </c>
      <c r="J125" s="59">
        <f>IFERROR(__xludf.DUMMYFUNCTION("""COMPUTED_VALUE"""),45098.0)</f>
        <v>45098</v>
      </c>
      <c r="K125" s="51">
        <f>IFERROR(__xludf.DUMMYFUNCTION("""COMPUTED_VALUE"""),3.0)</f>
        <v>3</v>
      </c>
      <c r="L125" s="51">
        <f>IFERROR(__xludf.DUMMYFUNCTION("""COMPUTED_VALUE"""),1.0)</f>
        <v>1</v>
      </c>
      <c r="M125" s="52">
        <f>IFERROR(__xludf.DUMMYFUNCTION("""COMPUTED_VALUE"""),12000.0)</f>
        <v>12000</v>
      </c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51" t="str">
        <f>IFERROR(__xludf.DUMMYFUNCTION("""COMPUTED_VALUE"""),"d1708s54")</f>
        <v>d1708s54</v>
      </c>
      <c r="B126" s="58">
        <f>IFERROR(__xludf.DUMMYFUNCTION("""COMPUTED_VALUE"""),45089.0)</f>
        <v>45089</v>
      </c>
      <c r="C126" s="59">
        <f>IFERROR(__xludf.DUMMYFUNCTION("""COMPUTED_VALUE"""),45093.0)</f>
        <v>45093</v>
      </c>
      <c r="D126" s="51">
        <f>IFERROR(__xludf.DUMMYFUNCTION("""COMPUTED_VALUE"""),1.0)</f>
        <v>1</v>
      </c>
      <c r="E126" s="51">
        <f>IFERROR(__xludf.DUMMYFUNCTION("""COMPUTED_VALUE"""),2.0)</f>
        <v>2</v>
      </c>
      <c r="F126" s="52">
        <f>IFERROR(__xludf.DUMMYFUNCTION("""COMPUTED_VALUE"""),14000.0)</f>
        <v>14000</v>
      </c>
      <c r="G126" s="49"/>
      <c r="H126" s="51" t="str">
        <f>IFERROR(__xludf.DUMMYFUNCTION("""COMPUTED_VALUE"""),"d165se63")</f>
        <v>d165se63</v>
      </c>
      <c r="I126" s="58">
        <f>IFERROR(__xludf.DUMMYFUNCTION("""COMPUTED_VALUE"""),45093.0)</f>
        <v>45093</v>
      </c>
      <c r="J126" s="59">
        <f>IFERROR(__xludf.DUMMYFUNCTION("""COMPUTED_VALUE"""),45098.0)</f>
        <v>45098</v>
      </c>
      <c r="K126" s="51">
        <f>IFERROR(__xludf.DUMMYFUNCTION("""COMPUTED_VALUE"""),1.0)</f>
        <v>1</v>
      </c>
      <c r="L126" s="51">
        <f>IFERROR(__xludf.DUMMYFUNCTION("""COMPUTED_VALUE"""),1.0)</f>
        <v>1</v>
      </c>
      <c r="M126" s="52">
        <f>IFERROR(__xludf.DUMMYFUNCTION("""COMPUTED_VALUE"""),12000.0)</f>
        <v>12000</v>
      </c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51" t="str">
        <f>IFERROR(__xludf.DUMMYFUNCTION("""COMPUTED_VALUE"""),"d009c505")</f>
        <v>d009c505</v>
      </c>
      <c r="B127" s="58">
        <f>IFERROR(__xludf.DUMMYFUNCTION("""COMPUTED_VALUE"""),45089.0)</f>
        <v>45089</v>
      </c>
      <c r="C127" s="59">
        <f>IFERROR(__xludf.DUMMYFUNCTION("""COMPUTED_VALUE"""),45094.0)</f>
        <v>45094</v>
      </c>
      <c r="D127" s="51">
        <f>IFERROR(__xludf.DUMMYFUNCTION("""COMPUTED_VALUE"""),1.0)</f>
        <v>1</v>
      </c>
      <c r="E127" s="51">
        <f>IFERROR(__xludf.DUMMYFUNCTION("""COMPUTED_VALUE"""),2.0)</f>
        <v>2</v>
      </c>
      <c r="F127" s="52">
        <f>IFERROR(__xludf.DUMMYFUNCTION("""COMPUTED_VALUE"""),14000.0)</f>
        <v>14000</v>
      </c>
      <c r="G127" s="49"/>
      <c r="H127" s="51" t="str">
        <f>IFERROR(__xludf.DUMMYFUNCTION("""COMPUTED_VALUE"""),"d160ys70")</f>
        <v>d160ys70</v>
      </c>
      <c r="I127" s="58">
        <f>IFERROR(__xludf.DUMMYFUNCTION("""COMPUTED_VALUE"""),45093.0)</f>
        <v>45093</v>
      </c>
      <c r="J127" s="59">
        <f>IFERROR(__xludf.DUMMYFUNCTION("""COMPUTED_VALUE"""),45097.0)</f>
        <v>45097</v>
      </c>
      <c r="K127" s="51">
        <f>IFERROR(__xludf.DUMMYFUNCTION("""COMPUTED_VALUE"""),5.0)</f>
        <v>5</v>
      </c>
      <c r="L127" s="51">
        <f>IFERROR(__xludf.DUMMYFUNCTION("""COMPUTED_VALUE"""),1.0)</f>
        <v>1</v>
      </c>
      <c r="M127" s="52">
        <f>IFERROR(__xludf.DUMMYFUNCTION("""COMPUTED_VALUE"""),12000.0)</f>
        <v>12000</v>
      </c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51" t="str">
        <f>IFERROR(__xludf.DUMMYFUNCTION("""COMPUTED_VALUE"""),"d170xf80")</f>
        <v>d170xf80</v>
      </c>
      <c r="B128" s="58">
        <f>IFERROR(__xludf.DUMMYFUNCTION("""COMPUTED_VALUE"""),45089.0)</f>
        <v>45089</v>
      </c>
      <c r="C128" s="59">
        <f>IFERROR(__xludf.DUMMYFUNCTION("""COMPUTED_VALUE"""),45092.0)</f>
        <v>45092</v>
      </c>
      <c r="D128" s="51">
        <f>IFERROR(__xludf.DUMMYFUNCTION("""COMPUTED_VALUE"""),1.0)</f>
        <v>1</v>
      </c>
      <c r="E128" s="51">
        <f>IFERROR(__xludf.DUMMYFUNCTION("""COMPUTED_VALUE"""),2.0)</f>
        <v>2</v>
      </c>
      <c r="F128" s="52">
        <f>IFERROR(__xludf.DUMMYFUNCTION("""COMPUTED_VALUE"""),14000.0)</f>
        <v>14000</v>
      </c>
      <c r="G128" s="49"/>
      <c r="H128" s="51" t="str">
        <f>IFERROR(__xludf.DUMMYFUNCTION("""COMPUTED_VALUE"""),"d608s936")</f>
        <v>d608s936</v>
      </c>
      <c r="I128" s="58">
        <f>IFERROR(__xludf.DUMMYFUNCTION("""COMPUTED_VALUE"""),45094.0)</f>
        <v>45094</v>
      </c>
      <c r="J128" s="59">
        <f>IFERROR(__xludf.DUMMYFUNCTION("""COMPUTED_VALUE"""),45097.0)</f>
        <v>45097</v>
      </c>
      <c r="K128" s="51">
        <f>IFERROR(__xludf.DUMMYFUNCTION("""COMPUTED_VALUE"""),5.0)</f>
        <v>5</v>
      </c>
      <c r="L128" s="51">
        <f>IFERROR(__xludf.DUMMYFUNCTION("""COMPUTED_VALUE"""),1.0)</f>
        <v>1</v>
      </c>
      <c r="M128" s="52">
        <f>IFERROR(__xludf.DUMMYFUNCTION("""COMPUTED_VALUE"""),12000.0)</f>
        <v>12000</v>
      </c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51" t="str">
        <f>IFERROR(__xludf.DUMMYFUNCTION("""COMPUTED_VALUE"""),"d418xa17")</f>
        <v>d418xa17</v>
      </c>
      <c r="B129" s="58">
        <f>IFERROR(__xludf.DUMMYFUNCTION("""COMPUTED_VALUE"""),45091.0)</f>
        <v>45091</v>
      </c>
      <c r="C129" s="59">
        <f>IFERROR(__xludf.DUMMYFUNCTION("""COMPUTED_VALUE"""),45096.0)</f>
        <v>45096</v>
      </c>
      <c r="D129" s="51">
        <f>IFERROR(__xludf.DUMMYFUNCTION("""COMPUTED_VALUE"""),1.0)</f>
        <v>1</v>
      </c>
      <c r="E129" s="51">
        <f>IFERROR(__xludf.DUMMYFUNCTION("""COMPUTED_VALUE"""),2.0)</f>
        <v>2</v>
      </c>
      <c r="F129" s="52">
        <f>IFERROR(__xludf.DUMMYFUNCTION("""COMPUTED_VALUE"""),14000.0)</f>
        <v>14000</v>
      </c>
      <c r="G129" s="49"/>
      <c r="H129" s="51" t="str">
        <f>IFERROR(__xludf.DUMMYFUNCTION("""COMPUTED_VALUE"""),"d6107k39")</f>
        <v>d6107k39</v>
      </c>
      <c r="I129" s="58">
        <f>IFERROR(__xludf.DUMMYFUNCTION("""COMPUTED_VALUE"""),45094.0)</f>
        <v>45094</v>
      </c>
      <c r="J129" s="59">
        <f>IFERROR(__xludf.DUMMYFUNCTION("""COMPUTED_VALUE"""),45095.0)</f>
        <v>45095</v>
      </c>
      <c r="K129" s="51">
        <f>IFERROR(__xludf.DUMMYFUNCTION("""COMPUTED_VALUE"""),4.0)</f>
        <v>4</v>
      </c>
      <c r="L129" s="51">
        <f>IFERROR(__xludf.DUMMYFUNCTION("""COMPUTED_VALUE"""),1.0)</f>
        <v>1</v>
      </c>
      <c r="M129" s="52">
        <f>IFERROR(__xludf.DUMMYFUNCTION("""COMPUTED_VALUE"""),12000.0)</f>
        <v>12000</v>
      </c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51" t="str">
        <f>IFERROR(__xludf.DUMMYFUNCTION("""COMPUTED_VALUE"""),"d207iq58")</f>
        <v>d207iq58</v>
      </c>
      <c r="B130" s="58">
        <f>IFERROR(__xludf.DUMMYFUNCTION("""COMPUTED_VALUE"""),45092.0)</f>
        <v>45092</v>
      </c>
      <c r="C130" s="59">
        <f>IFERROR(__xludf.DUMMYFUNCTION("""COMPUTED_VALUE"""),45095.0)</f>
        <v>45095</v>
      </c>
      <c r="D130" s="51">
        <f>IFERROR(__xludf.DUMMYFUNCTION("""COMPUTED_VALUE"""),1.0)</f>
        <v>1</v>
      </c>
      <c r="E130" s="51">
        <f>IFERROR(__xludf.DUMMYFUNCTION("""COMPUTED_VALUE"""),2.0)</f>
        <v>2</v>
      </c>
      <c r="F130" s="52">
        <f>IFERROR(__xludf.DUMMYFUNCTION("""COMPUTED_VALUE"""),14000.0)</f>
        <v>14000</v>
      </c>
      <c r="G130" s="49"/>
      <c r="H130" s="51" t="str">
        <f>IFERROR(__xludf.DUMMYFUNCTION("""COMPUTED_VALUE"""),"d062i955")</f>
        <v>d062i955</v>
      </c>
      <c r="I130" s="58">
        <f>IFERROR(__xludf.DUMMYFUNCTION("""COMPUTED_VALUE"""),45094.0)</f>
        <v>45094</v>
      </c>
      <c r="J130" s="59">
        <f>IFERROR(__xludf.DUMMYFUNCTION("""COMPUTED_VALUE"""),45099.0)</f>
        <v>45099</v>
      </c>
      <c r="K130" s="51">
        <f>IFERROR(__xludf.DUMMYFUNCTION("""COMPUTED_VALUE"""),6.0)</f>
        <v>6</v>
      </c>
      <c r="L130" s="51">
        <f>IFERROR(__xludf.DUMMYFUNCTION("""COMPUTED_VALUE"""),1.0)</f>
        <v>1</v>
      </c>
      <c r="M130" s="52">
        <f>IFERROR(__xludf.DUMMYFUNCTION("""COMPUTED_VALUE"""),12000.0)</f>
        <v>12000</v>
      </c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51" t="str">
        <f>IFERROR(__xludf.DUMMYFUNCTION("""COMPUTED_VALUE"""),"d321n044")</f>
        <v>d321n044</v>
      </c>
      <c r="B131" s="58">
        <f>IFERROR(__xludf.DUMMYFUNCTION("""COMPUTED_VALUE"""),45093.0)</f>
        <v>45093</v>
      </c>
      <c r="C131" s="59">
        <f>IFERROR(__xludf.DUMMYFUNCTION("""COMPUTED_VALUE"""),45095.0)</f>
        <v>45095</v>
      </c>
      <c r="D131" s="51">
        <f>IFERROR(__xludf.DUMMYFUNCTION("""COMPUTED_VALUE"""),1.0)</f>
        <v>1</v>
      </c>
      <c r="E131" s="51">
        <f>IFERROR(__xludf.DUMMYFUNCTION("""COMPUTED_VALUE"""),2.0)</f>
        <v>2</v>
      </c>
      <c r="F131" s="52">
        <f>IFERROR(__xludf.DUMMYFUNCTION("""COMPUTED_VALUE"""),14000.0)</f>
        <v>14000</v>
      </c>
      <c r="G131" s="49"/>
      <c r="H131" s="51" t="str">
        <f>IFERROR(__xludf.DUMMYFUNCTION("""COMPUTED_VALUE"""),"d266dk57")</f>
        <v>d266dk57</v>
      </c>
      <c r="I131" s="58">
        <f>IFERROR(__xludf.DUMMYFUNCTION("""COMPUTED_VALUE"""),45094.0)</f>
        <v>45094</v>
      </c>
      <c r="J131" s="59">
        <f>IFERROR(__xludf.DUMMYFUNCTION("""COMPUTED_VALUE"""),45096.0)</f>
        <v>45096</v>
      </c>
      <c r="K131" s="51">
        <f>IFERROR(__xludf.DUMMYFUNCTION("""COMPUTED_VALUE"""),2.0)</f>
        <v>2</v>
      </c>
      <c r="L131" s="51">
        <f>IFERROR(__xludf.DUMMYFUNCTION("""COMPUTED_VALUE"""),1.0)</f>
        <v>1</v>
      </c>
      <c r="M131" s="52">
        <f>IFERROR(__xludf.DUMMYFUNCTION("""COMPUTED_VALUE"""),12000.0)</f>
        <v>12000</v>
      </c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51" t="str">
        <f>IFERROR(__xludf.DUMMYFUNCTION("""COMPUTED_VALUE"""),"d013bo31")</f>
        <v>d013bo31</v>
      </c>
      <c r="B132" s="58">
        <f>IFERROR(__xludf.DUMMYFUNCTION("""COMPUTED_VALUE"""),45093.0)</f>
        <v>45093</v>
      </c>
      <c r="C132" s="59">
        <f>IFERROR(__xludf.DUMMYFUNCTION("""COMPUTED_VALUE"""),45096.0)</f>
        <v>45096</v>
      </c>
      <c r="D132" s="51">
        <f>IFERROR(__xludf.DUMMYFUNCTION("""COMPUTED_VALUE"""),1.0)</f>
        <v>1</v>
      </c>
      <c r="E132" s="51">
        <f>IFERROR(__xludf.DUMMYFUNCTION("""COMPUTED_VALUE"""),2.0)</f>
        <v>2</v>
      </c>
      <c r="F132" s="52">
        <f>IFERROR(__xludf.DUMMYFUNCTION("""COMPUTED_VALUE"""),14000.0)</f>
        <v>14000</v>
      </c>
      <c r="G132" s="49"/>
      <c r="H132" s="51" t="str">
        <f>IFERROR(__xludf.DUMMYFUNCTION("""COMPUTED_VALUE"""),"d289f809")</f>
        <v>d289f809</v>
      </c>
      <c r="I132" s="58">
        <f>IFERROR(__xludf.DUMMYFUNCTION("""COMPUTED_VALUE"""),45094.0)</f>
        <v>45094</v>
      </c>
      <c r="J132" s="59">
        <f>IFERROR(__xludf.DUMMYFUNCTION("""COMPUTED_VALUE"""),45095.0)</f>
        <v>45095</v>
      </c>
      <c r="K132" s="51">
        <f>IFERROR(__xludf.DUMMYFUNCTION("""COMPUTED_VALUE"""),5.0)</f>
        <v>5</v>
      </c>
      <c r="L132" s="51">
        <f>IFERROR(__xludf.DUMMYFUNCTION("""COMPUTED_VALUE"""),1.0)</f>
        <v>1</v>
      </c>
      <c r="M132" s="52">
        <f>IFERROR(__xludf.DUMMYFUNCTION("""COMPUTED_VALUE"""),12000.0)</f>
        <v>12000</v>
      </c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51" t="str">
        <f>IFERROR(__xludf.DUMMYFUNCTION("""COMPUTED_VALUE"""),"d870em53")</f>
        <v>d870em53</v>
      </c>
      <c r="B133" s="58">
        <f>IFERROR(__xludf.DUMMYFUNCTION("""COMPUTED_VALUE"""),45096.0)</f>
        <v>45096</v>
      </c>
      <c r="C133" s="59">
        <f>IFERROR(__xludf.DUMMYFUNCTION("""COMPUTED_VALUE"""),45097.0)</f>
        <v>45097</v>
      </c>
      <c r="D133" s="51">
        <f>IFERROR(__xludf.DUMMYFUNCTION("""COMPUTED_VALUE"""),1.0)</f>
        <v>1</v>
      </c>
      <c r="E133" s="51">
        <f>IFERROR(__xludf.DUMMYFUNCTION("""COMPUTED_VALUE"""),2.0)</f>
        <v>2</v>
      </c>
      <c r="F133" s="52">
        <f>IFERROR(__xludf.DUMMYFUNCTION("""COMPUTED_VALUE"""),14000.0)</f>
        <v>14000</v>
      </c>
      <c r="G133" s="49"/>
      <c r="H133" s="51" t="str">
        <f>IFERROR(__xludf.DUMMYFUNCTION("""COMPUTED_VALUE"""),"d953of18")</f>
        <v>d953of18</v>
      </c>
      <c r="I133" s="58">
        <f>IFERROR(__xludf.DUMMYFUNCTION("""COMPUTED_VALUE"""),45094.0)</f>
        <v>45094</v>
      </c>
      <c r="J133" s="59">
        <f>IFERROR(__xludf.DUMMYFUNCTION("""COMPUTED_VALUE"""),45099.0)</f>
        <v>45099</v>
      </c>
      <c r="K133" s="51">
        <f>IFERROR(__xludf.DUMMYFUNCTION("""COMPUTED_VALUE"""),5.0)</f>
        <v>5</v>
      </c>
      <c r="L133" s="51">
        <f>IFERROR(__xludf.DUMMYFUNCTION("""COMPUTED_VALUE"""),1.0)</f>
        <v>1</v>
      </c>
      <c r="M133" s="52">
        <f>IFERROR(__xludf.DUMMYFUNCTION("""COMPUTED_VALUE"""),12000.0)</f>
        <v>12000</v>
      </c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51" t="str">
        <f>IFERROR(__xludf.DUMMYFUNCTION("""COMPUTED_VALUE"""),"d284iq25")</f>
        <v>d284iq25</v>
      </c>
      <c r="B134" s="58">
        <f>IFERROR(__xludf.DUMMYFUNCTION("""COMPUTED_VALUE"""),45097.0)</f>
        <v>45097</v>
      </c>
      <c r="C134" s="59">
        <f>IFERROR(__xludf.DUMMYFUNCTION("""COMPUTED_VALUE"""),45098.0)</f>
        <v>45098</v>
      </c>
      <c r="D134" s="51">
        <f>IFERROR(__xludf.DUMMYFUNCTION("""COMPUTED_VALUE"""),1.0)</f>
        <v>1</v>
      </c>
      <c r="E134" s="51">
        <f>IFERROR(__xludf.DUMMYFUNCTION("""COMPUTED_VALUE"""),2.0)</f>
        <v>2</v>
      </c>
      <c r="F134" s="52">
        <f>IFERROR(__xludf.DUMMYFUNCTION("""COMPUTED_VALUE"""),14000.0)</f>
        <v>14000</v>
      </c>
      <c r="G134" s="49"/>
      <c r="H134" s="51" t="str">
        <f>IFERROR(__xludf.DUMMYFUNCTION("""COMPUTED_VALUE"""),"d425k873")</f>
        <v>d425k873</v>
      </c>
      <c r="I134" s="58">
        <f>IFERROR(__xludf.DUMMYFUNCTION("""COMPUTED_VALUE"""),45094.0)</f>
        <v>45094</v>
      </c>
      <c r="J134" s="59">
        <f>IFERROR(__xludf.DUMMYFUNCTION("""COMPUTED_VALUE"""),45096.0)</f>
        <v>45096</v>
      </c>
      <c r="K134" s="51">
        <f>IFERROR(__xludf.DUMMYFUNCTION("""COMPUTED_VALUE"""),4.0)</f>
        <v>4</v>
      </c>
      <c r="L134" s="51">
        <f>IFERROR(__xludf.DUMMYFUNCTION("""COMPUTED_VALUE"""),1.0)</f>
        <v>1</v>
      </c>
      <c r="M134" s="52">
        <f>IFERROR(__xludf.DUMMYFUNCTION("""COMPUTED_VALUE"""),12000.0)</f>
        <v>12000</v>
      </c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51" t="str">
        <f>IFERROR(__xludf.DUMMYFUNCTION("""COMPUTED_VALUE"""),"d094cm40")</f>
        <v>d094cm40</v>
      </c>
      <c r="B135" s="58">
        <f>IFERROR(__xludf.DUMMYFUNCTION("""COMPUTED_VALUE"""),45097.0)</f>
        <v>45097</v>
      </c>
      <c r="C135" s="59">
        <f>IFERROR(__xludf.DUMMYFUNCTION("""COMPUTED_VALUE"""),45100.0)</f>
        <v>45100</v>
      </c>
      <c r="D135" s="51">
        <f>IFERROR(__xludf.DUMMYFUNCTION("""COMPUTED_VALUE"""),1.0)</f>
        <v>1</v>
      </c>
      <c r="E135" s="51">
        <f>IFERROR(__xludf.DUMMYFUNCTION("""COMPUTED_VALUE"""),2.0)</f>
        <v>2</v>
      </c>
      <c r="F135" s="52">
        <f>IFERROR(__xludf.DUMMYFUNCTION("""COMPUTED_VALUE"""),14000.0)</f>
        <v>14000</v>
      </c>
      <c r="G135" s="49"/>
      <c r="H135" s="51" t="str">
        <f>IFERROR(__xludf.DUMMYFUNCTION("""COMPUTED_VALUE"""),"d5028043")</f>
        <v>d5028043</v>
      </c>
      <c r="I135" s="58">
        <f>IFERROR(__xludf.DUMMYFUNCTION("""COMPUTED_VALUE"""),45094.0)</f>
        <v>45094</v>
      </c>
      <c r="J135" s="59">
        <f>IFERROR(__xludf.DUMMYFUNCTION("""COMPUTED_VALUE"""),45099.0)</f>
        <v>45099</v>
      </c>
      <c r="K135" s="51">
        <f>IFERROR(__xludf.DUMMYFUNCTION("""COMPUTED_VALUE"""),3.0)</f>
        <v>3</v>
      </c>
      <c r="L135" s="51">
        <f>IFERROR(__xludf.DUMMYFUNCTION("""COMPUTED_VALUE"""),1.0)</f>
        <v>1</v>
      </c>
      <c r="M135" s="52">
        <f>IFERROR(__xludf.DUMMYFUNCTION("""COMPUTED_VALUE"""),12000.0)</f>
        <v>12000</v>
      </c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51" t="str">
        <f>IFERROR(__xludf.DUMMYFUNCTION("""COMPUTED_VALUE"""),"d0043l41")</f>
        <v>d0043l41</v>
      </c>
      <c r="B136" s="58">
        <f>IFERROR(__xludf.DUMMYFUNCTION("""COMPUTED_VALUE"""),45097.0)</f>
        <v>45097</v>
      </c>
      <c r="C136" s="59">
        <f>IFERROR(__xludf.DUMMYFUNCTION("""COMPUTED_VALUE"""),45100.0)</f>
        <v>45100</v>
      </c>
      <c r="D136" s="51">
        <f>IFERROR(__xludf.DUMMYFUNCTION("""COMPUTED_VALUE"""),1.0)</f>
        <v>1</v>
      </c>
      <c r="E136" s="51">
        <f>IFERROR(__xludf.DUMMYFUNCTION("""COMPUTED_VALUE"""),2.0)</f>
        <v>2</v>
      </c>
      <c r="F136" s="52">
        <f>IFERROR(__xludf.DUMMYFUNCTION("""COMPUTED_VALUE"""),14000.0)</f>
        <v>14000</v>
      </c>
      <c r="G136" s="49"/>
      <c r="H136" s="51" t="str">
        <f>IFERROR(__xludf.DUMMYFUNCTION("""COMPUTED_VALUE"""),"d6091p98")</f>
        <v>d6091p98</v>
      </c>
      <c r="I136" s="58">
        <f>IFERROR(__xludf.DUMMYFUNCTION("""COMPUTED_VALUE"""),45094.0)</f>
        <v>45094</v>
      </c>
      <c r="J136" s="59">
        <f>IFERROR(__xludf.DUMMYFUNCTION("""COMPUTED_VALUE"""),45095.0)</f>
        <v>45095</v>
      </c>
      <c r="K136" s="51">
        <f>IFERROR(__xludf.DUMMYFUNCTION("""COMPUTED_VALUE"""),2.0)</f>
        <v>2</v>
      </c>
      <c r="L136" s="51">
        <f>IFERROR(__xludf.DUMMYFUNCTION("""COMPUTED_VALUE"""),1.0)</f>
        <v>1</v>
      </c>
      <c r="M136" s="52">
        <f>IFERROR(__xludf.DUMMYFUNCTION("""COMPUTED_VALUE"""),12000.0)</f>
        <v>12000</v>
      </c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51" t="str">
        <f>IFERROR(__xludf.DUMMYFUNCTION("""COMPUTED_VALUE"""),"d157ad24")</f>
        <v>d157ad24</v>
      </c>
      <c r="B137" s="58">
        <f>IFERROR(__xludf.DUMMYFUNCTION("""COMPUTED_VALUE"""),45099.0)</f>
        <v>45099</v>
      </c>
      <c r="C137" s="59">
        <f>IFERROR(__xludf.DUMMYFUNCTION("""COMPUTED_VALUE"""),45104.0)</f>
        <v>45104</v>
      </c>
      <c r="D137" s="51">
        <f>IFERROR(__xludf.DUMMYFUNCTION("""COMPUTED_VALUE"""),1.0)</f>
        <v>1</v>
      </c>
      <c r="E137" s="51">
        <f>IFERROR(__xludf.DUMMYFUNCTION("""COMPUTED_VALUE"""),2.0)</f>
        <v>2</v>
      </c>
      <c r="F137" s="52">
        <f>IFERROR(__xludf.DUMMYFUNCTION("""COMPUTED_VALUE"""),14000.0)</f>
        <v>14000</v>
      </c>
      <c r="G137" s="49"/>
      <c r="H137" s="51" t="str">
        <f>IFERROR(__xludf.DUMMYFUNCTION("""COMPUTED_VALUE"""),"d116ws31")</f>
        <v>d116ws31</v>
      </c>
      <c r="I137" s="58">
        <f>IFERROR(__xludf.DUMMYFUNCTION("""COMPUTED_VALUE"""),45094.0)</f>
        <v>45094</v>
      </c>
      <c r="J137" s="59">
        <f>IFERROR(__xludf.DUMMYFUNCTION("""COMPUTED_VALUE"""),45096.0)</f>
        <v>45096</v>
      </c>
      <c r="K137" s="51">
        <f>IFERROR(__xludf.DUMMYFUNCTION("""COMPUTED_VALUE"""),3.0)</f>
        <v>3</v>
      </c>
      <c r="L137" s="51">
        <f>IFERROR(__xludf.DUMMYFUNCTION("""COMPUTED_VALUE"""),1.0)</f>
        <v>1</v>
      </c>
      <c r="M137" s="52">
        <f>IFERROR(__xludf.DUMMYFUNCTION("""COMPUTED_VALUE"""),12000.0)</f>
        <v>12000</v>
      </c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51" t="str">
        <f>IFERROR(__xludf.DUMMYFUNCTION("""COMPUTED_VALUE"""),"d660yz52")</f>
        <v>d660yz52</v>
      </c>
      <c r="B138" s="58">
        <f>IFERROR(__xludf.DUMMYFUNCTION("""COMPUTED_VALUE"""),45101.0)</f>
        <v>45101</v>
      </c>
      <c r="C138" s="59">
        <f>IFERROR(__xludf.DUMMYFUNCTION("""COMPUTED_VALUE"""),45103.0)</f>
        <v>45103</v>
      </c>
      <c r="D138" s="51">
        <f>IFERROR(__xludf.DUMMYFUNCTION("""COMPUTED_VALUE"""),1.0)</f>
        <v>1</v>
      </c>
      <c r="E138" s="51">
        <f>IFERROR(__xludf.DUMMYFUNCTION("""COMPUTED_VALUE"""),2.0)</f>
        <v>2</v>
      </c>
      <c r="F138" s="52">
        <f>IFERROR(__xludf.DUMMYFUNCTION("""COMPUTED_VALUE"""),14000.0)</f>
        <v>14000</v>
      </c>
      <c r="G138" s="49"/>
      <c r="H138" s="51" t="str">
        <f>IFERROR(__xludf.DUMMYFUNCTION("""COMPUTED_VALUE"""),"d278x895")</f>
        <v>d278x895</v>
      </c>
      <c r="I138" s="58">
        <f>IFERROR(__xludf.DUMMYFUNCTION("""COMPUTED_VALUE"""),45095.0)</f>
        <v>45095</v>
      </c>
      <c r="J138" s="59">
        <f>IFERROR(__xludf.DUMMYFUNCTION("""COMPUTED_VALUE"""),45099.0)</f>
        <v>45099</v>
      </c>
      <c r="K138" s="51">
        <f>IFERROR(__xludf.DUMMYFUNCTION("""COMPUTED_VALUE"""),4.0)</f>
        <v>4</v>
      </c>
      <c r="L138" s="51">
        <f>IFERROR(__xludf.DUMMYFUNCTION("""COMPUTED_VALUE"""),1.0)</f>
        <v>1</v>
      </c>
      <c r="M138" s="52">
        <f>IFERROR(__xludf.DUMMYFUNCTION("""COMPUTED_VALUE"""),12000.0)</f>
        <v>12000</v>
      </c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51" t="str">
        <f>IFERROR(__xludf.DUMMYFUNCTION("""COMPUTED_VALUE"""),"d629nq42")</f>
        <v>d629nq42</v>
      </c>
      <c r="B139" s="58">
        <f>IFERROR(__xludf.DUMMYFUNCTION("""COMPUTED_VALUE"""),45101.0)</f>
        <v>45101</v>
      </c>
      <c r="C139" s="59">
        <f>IFERROR(__xludf.DUMMYFUNCTION("""COMPUTED_VALUE"""),45102.0)</f>
        <v>45102</v>
      </c>
      <c r="D139" s="51">
        <f>IFERROR(__xludf.DUMMYFUNCTION("""COMPUTED_VALUE"""),1.0)</f>
        <v>1</v>
      </c>
      <c r="E139" s="51">
        <f>IFERROR(__xludf.DUMMYFUNCTION("""COMPUTED_VALUE"""),2.0)</f>
        <v>2</v>
      </c>
      <c r="F139" s="52">
        <f>IFERROR(__xludf.DUMMYFUNCTION("""COMPUTED_VALUE"""),14000.0)</f>
        <v>14000</v>
      </c>
      <c r="G139" s="49"/>
      <c r="H139" s="51" t="str">
        <f>IFERROR(__xludf.DUMMYFUNCTION("""COMPUTED_VALUE"""),"d4123h93")</f>
        <v>d4123h93</v>
      </c>
      <c r="I139" s="58">
        <f>IFERROR(__xludf.DUMMYFUNCTION("""COMPUTED_VALUE"""),45095.0)</f>
        <v>45095</v>
      </c>
      <c r="J139" s="59">
        <f>IFERROR(__xludf.DUMMYFUNCTION("""COMPUTED_VALUE"""),45099.0)</f>
        <v>45099</v>
      </c>
      <c r="K139" s="51">
        <f>IFERROR(__xludf.DUMMYFUNCTION("""COMPUTED_VALUE"""),1.0)</f>
        <v>1</v>
      </c>
      <c r="L139" s="51">
        <f>IFERROR(__xludf.DUMMYFUNCTION("""COMPUTED_VALUE"""),1.0)</f>
        <v>1</v>
      </c>
      <c r="M139" s="52">
        <f>IFERROR(__xludf.DUMMYFUNCTION("""COMPUTED_VALUE"""),12000.0)</f>
        <v>12000</v>
      </c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51" t="str">
        <f>IFERROR(__xludf.DUMMYFUNCTION("""COMPUTED_VALUE"""),"d922cx24")</f>
        <v>d922cx24</v>
      </c>
      <c r="B140" s="58">
        <f>IFERROR(__xludf.DUMMYFUNCTION("""COMPUTED_VALUE"""),45101.0)</f>
        <v>45101</v>
      </c>
      <c r="C140" s="59">
        <f>IFERROR(__xludf.DUMMYFUNCTION("""COMPUTED_VALUE"""),45105.0)</f>
        <v>45105</v>
      </c>
      <c r="D140" s="51">
        <f>IFERROR(__xludf.DUMMYFUNCTION("""COMPUTED_VALUE"""),1.0)</f>
        <v>1</v>
      </c>
      <c r="E140" s="51">
        <f>IFERROR(__xludf.DUMMYFUNCTION("""COMPUTED_VALUE"""),2.0)</f>
        <v>2</v>
      </c>
      <c r="F140" s="52">
        <f>IFERROR(__xludf.DUMMYFUNCTION("""COMPUTED_VALUE"""),14000.0)</f>
        <v>14000</v>
      </c>
      <c r="G140" s="49"/>
      <c r="H140" s="51" t="str">
        <f>IFERROR(__xludf.DUMMYFUNCTION("""COMPUTED_VALUE"""),"d221ul90")</f>
        <v>d221ul90</v>
      </c>
      <c r="I140" s="58">
        <f>IFERROR(__xludf.DUMMYFUNCTION("""COMPUTED_VALUE"""),45095.0)</f>
        <v>45095</v>
      </c>
      <c r="J140" s="59">
        <f>IFERROR(__xludf.DUMMYFUNCTION("""COMPUTED_VALUE"""),45099.0)</f>
        <v>45099</v>
      </c>
      <c r="K140" s="51">
        <f>IFERROR(__xludf.DUMMYFUNCTION("""COMPUTED_VALUE"""),2.0)</f>
        <v>2</v>
      </c>
      <c r="L140" s="51">
        <f>IFERROR(__xludf.DUMMYFUNCTION("""COMPUTED_VALUE"""),1.0)</f>
        <v>1</v>
      </c>
      <c r="M140" s="52">
        <f>IFERROR(__xludf.DUMMYFUNCTION("""COMPUTED_VALUE"""),12000.0)</f>
        <v>12000</v>
      </c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51" t="str">
        <f>IFERROR(__xludf.DUMMYFUNCTION("""COMPUTED_VALUE"""),"d150r325")</f>
        <v>d150r325</v>
      </c>
      <c r="B141" s="58">
        <f>IFERROR(__xludf.DUMMYFUNCTION("""COMPUTED_VALUE"""),45102.0)</f>
        <v>45102</v>
      </c>
      <c r="C141" s="59">
        <f>IFERROR(__xludf.DUMMYFUNCTION("""COMPUTED_VALUE"""),45104.0)</f>
        <v>45104</v>
      </c>
      <c r="D141" s="51">
        <f>IFERROR(__xludf.DUMMYFUNCTION("""COMPUTED_VALUE"""),1.0)</f>
        <v>1</v>
      </c>
      <c r="E141" s="51">
        <f>IFERROR(__xludf.DUMMYFUNCTION("""COMPUTED_VALUE"""),2.0)</f>
        <v>2</v>
      </c>
      <c r="F141" s="52">
        <f>IFERROR(__xludf.DUMMYFUNCTION("""COMPUTED_VALUE"""),14000.0)</f>
        <v>14000</v>
      </c>
      <c r="G141" s="49"/>
      <c r="H141" s="51" t="str">
        <f>IFERROR(__xludf.DUMMYFUNCTION("""COMPUTED_VALUE"""),"d882ce51")</f>
        <v>d882ce51</v>
      </c>
      <c r="I141" s="58">
        <f>IFERROR(__xludf.DUMMYFUNCTION("""COMPUTED_VALUE"""),45096.0)</f>
        <v>45096</v>
      </c>
      <c r="J141" s="59">
        <f>IFERROR(__xludf.DUMMYFUNCTION("""COMPUTED_VALUE"""),45100.0)</f>
        <v>45100</v>
      </c>
      <c r="K141" s="51">
        <f>IFERROR(__xludf.DUMMYFUNCTION("""COMPUTED_VALUE"""),5.0)</f>
        <v>5</v>
      </c>
      <c r="L141" s="51">
        <f>IFERROR(__xludf.DUMMYFUNCTION("""COMPUTED_VALUE"""),1.0)</f>
        <v>1</v>
      </c>
      <c r="M141" s="52">
        <f>IFERROR(__xludf.DUMMYFUNCTION("""COMPUTED_VALUE"""),12000.0)</f>
        <v>12000</v>
      </c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51" t="str">
        <f>IFERROR(__xludf.DUMMYFUNCTION("""COMPUTED_VALUE"""),"d371c512")</f>
        <v>d371c512</v>
      </c>
      <c r="B142" s="58">
        <f>IFERROR(__xludf.DUMMYFUNCTION("""COMPUTED_VALUE"""),45103.0)</f>
        <v>45103</v>
      </c>
      <c r="C142" s="59">
        <f>IFERROR(__xludf.DUMMYFUNCTION("""COMPUTED_VALUE"""),45104.0)</f>
        <v>45104</v>
      </c>
      <c r="D142" s="51">
        <f>IFERROR(__xludf.DUMMYFUNCTION("""COMPUTED_VALUE"""),1.0)</f>
        <v>1</v>
      </c>
      <c r="E142" s="51">
        <f>IFERROR(__xludf.DUMMYFUNCTION("""COMPUTED_VALUE"""),2.0)</f>
        <v>2</v>
      </c>
      <c r="F142" s="52">
        <f>IFERROR(__xludf.DUMMYFUNCTION("""COMPUTED_VALUE"""),14000.0)</f>
        <v>14000</v>
      </c>
      <c r="G142" s="49"/>
      <c r="H142" s="51" t="str">
        <f>IFERROR(__xludf.DUMMYFUNCTION("""COMPUTED_VALUE"""),"d957cq65")</f>
        <v>d957cq65</v>
      </c>
      <c r="I142" s="58">
        <f>IFERROR(__xludf.DUMMYFUNCTION("""COMPUTED_VALUE"""),45096.0)</f>
        <v>45096</v>
      </c>
      <c r="J142" s="59">
        <f>IFERROR(__xludf.DUMMYFUNCTION("""COMPUTED_VALUE"""),45100.0)</f>
        <v>45100</v>
      </c>
      <c r="K142" s="51">
        <f>IFERROR(__xludf.DUMMYFUNCTION("""COMPUTED_VALUE"""),3.0)</f>
        <v>3</v>
      </c>
      <c r="L142" s="51">
        <f>IFERROR(__xludf.DUMMYFUNCTION("""COMPUTED_VALUE"""),1.0)</f>
        <v>1</v>
      </c>
      <c r="M142" s="52">
        <f>IFERROR(__xludf.DUMMYFUNCTION("""COMPUTED_VALUE"""),12000.0)</f>
        <v>12000</v>
      </c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51" t="str">
        <f>IFERROR(__xludf.DUMMYFUNCTION("""COMPUTED_VALUE"""),"d021k493")</f>
        <v>d021k493</v>
      </c>
      <c r="B143" s="58">
        <f>IFERROR(__xludf.DUMMYFUNCTION("""COMPUTED_VALUE"""),45103.0)</f>
        <v>45103</v>
      </c>
      <c r="C143" s="59">
        <f>IFERROR(__xludf.DUMMYFUNCTION("""COMPUTED_VALUE"""),45104.0)</f>
        <v>45104</v>
      </c>
      <c r="D143" s="51">
        <f>IFERROR(__xludf.DUMMYFUNCTION("""COMPUTED_VALUE"""),1.0)</f>
        <v>1</v>
      </c>
      <c r="E143" s="51">
        <f>IFERROR(__xludf.DUMMYFUNCTION("""COMPUTED_VALUE"""),2.0)</f>
        <v>2</v>
      </c>
      <c r="F143" s="52">
        <f>IFERROR(__xludf.DUMMYFUNCTION("""COMPUTED_VALUE"""),14000.0)</f>
        <v>14000</v>
      </c>
      <c r="G143" s="49"/>
      <c r="H143" s="51" t="str">
        <f>IFERROR(__xludf.DUMMYFUNCTION("""COMPUTED_VALUE"""),"d498e431")</f>
        <v>d498e431</v>
      </c>
      <c r="I143" s="58">
        <f>IFERROR(__xludf.DUMMYFUNCTION("""COMPUTED_VALUE"""),45096.0)</f>
        <v>45096</v>
      </c>
      <c r="J143" s="59">
        <f>IFERROR(__xludf.DUMMYFUNCTION("""COMPUTED_VALUE"""),45099.0)</f>
        <v>45099</v>
      </c>
      <c r="K143" s="51">
        <f>IFERROR(__xludf.DUMMYFUNCTION("""COMPUTED_VALUE"""),5.0)</f>
        <v>5</v>
      </c>
      <c r="L143" s="51">
        <f>IFERROR(__xludf.DUMMYFUNCTION("""COMPUTED_VALUE"""),1.0)</f>
        <v>1</v>
      </c>
      <c r="M143" s="52">
        <f>IFERROR(__xludf.DUMMYFUNCTION("""COMPUTED_VALUE"""),12000.0)</f>
        <v>12000</v>
      </c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51" t="str">
        <f>IFERROR(__xludf.DUMMYFUNCTION("""COMPUTED_VALUE"""),"d0475j39")</f>
        <v>d0475j39</v>
      </c>
      <c r="B144" s="59">
        <f>IFERROR(__xludf.DUMMYFUNCTION("""COMPUTED_VALUE"""),45106.0)</f>
        <v>45106</v>
      </c>
      <c r="C144" s="59">
        <f>IFERROR(__xludf.DUMMYFUNCTION("""COMPUTED_VALUE"""),45108.0)</f>
        <v>45108</v>
      </c>
      <c r="D144" s="51">
        <f>IFERROR(__xludf.DUMMYFUNCTION("""COMPUTED_VALUE"""),1.0)</f>
        <v>1</v>
      </c>
      <c r="E144" s="51">
        <f>IFERROR(__xludf.DUMMYFUNCTION("""COMPUTED_VALUE"""),2.0)</f>
        <v>2</v>
      </c>
      <c r="F144" s="52">
        <f>IFERROR(__xludf.DUMMYFUNCTION("""COMPUTED_VALUE"""),14000.0)</f>
        <v>14000</v>
      </c>
      <c r="G144" s="49"/>
      <c r="H144" s="51" t="str">
        <f>IFERROR(__xludf.DUMMYFUNCTION("""COMPUTED_VALUE"""),"d6306r54")</f>
        <v>d6306r54</v>
      </c>
      <c r="I144" s="58">
        <f>IFERROR(__xludf.DUMMYFUNCTION("""COMPUTED_VALUE"""),45096.0)</f>
        <v>45096</v>
      </c>
      <c r="J144" s="59">
        <f>IFERROR(__xludf.DUMMYFUNCTION("""COMPUTED_VALUE"""),45099.0)</f>
        <v>45099</v>
      </c>
      <c r="K144" s="51">
        <f>IFERROR(__xludf.DUMMYFUNCTION("""COMPUTED_VALUE"""),2.0)</f>
        <v>2</v>
      </c>
      <c r="L144" s="51">
        <f>IFERROR(__xludf.DUMMYFUNCTION("""COMPUTED_VALUE"""),1.0)</f>
        <v>1</v>
      </c>
      <c r="M144" s="52">
        <f>IFERROR(__xludf.DUMMYFUNCTION("""COMPUTED_VALUE"""),12000.0)</f>
        <v>12000</v>
      </c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51" t="str">
        <f>IFERROR(__xludf.DUMMYFUNCTION("""COMPUTED_VALUE"""),"d804t115")</f>
        <v>d804t115</v>
      </c>
      <c r="B145" s="59">
        <f>IFERROR(__xludf.DUMMYFUNCTION("""COMPUTED_VALUE"""),45107.0)</f>
        <v>45107</v>
      </c>
      <c r="C145" s="59">
        <f>IFERROR(__xludf.DUMMYFUNCTION("""COMPUTED_VALUE"""),45109.0)</f>
        <v>45109</v>
      </c>
      <c r="D145" s="51">
        <f>IFERROR(__xludf.DUMMYFUNCTION("""COMPUTED_VALUE"""),1.0)</f>
        <v>1</v>
      </c>
      <c r="E145" s="51">
        <f>IFERROR(__xludf.DUMMYFUNCTION("""COMPUTED_VALUE"""),2.0)</f>
        <v>2</v>
      </c>
      <c r="F145" s="52">
        <f>IFERROR(__xludf.DUMMYFUNCTION("""COMPUTED_VALUE"""),14000.0)</f>
        <v>14000</v>
      </c>
      <c r="G145" s="49"/>
      <c r="H145" s="51" t="str">
        <f>IFERROR(__xludf.DUMMYFUNCTION("""COMPUTED_VALUE"""),"d5521y10")</f>
        <v>d5521y10</v>
      </c>
      <c r="I145" s="58">
        <f>IFERROR(__xludf.DUMMYFUNCTION("""COMPUTED_VALUE"""),45096.0)</f>
        <v>45096</v>
      </c>
      <c r="J145" s="59">
        <f>IFERROR(__xludf.DUMMYFUNCTION("""COMPUTED_VALUE"""),45097.0)</f>
        <v>45097</v>
      </c>
      <c r="K145" s="51">
        <f>IFERROR(__xludf.DUMMYFUNCTION("""COMPUTED_VALUE"""),2.0)</f>
        <v>2</v>
      </c>
      <c r="L145" s="51">
        <f>IFERROR(__xludf.DUMMYFUNCTION("""COMPUTED_VALUE"""),1.0)</f>
        <v>1</v>
      </c>
      <c r="M145" s="52">
        <f>IFERROR(__xludf.DUMMYFUNCTION("""COMPUTED_VALUE"""),12000.0)</f>
        <v>12000</v>
      </c>
      <c r="N145" s="49"/>
      <c r="O145" s="49"/>
      <c r="P145" s="49"/>
      <c r="Q145" s="49"/>
      <c r="R145" s="49"/>
      <c r="S145" s="53"/>
      <c r="T145" s="49"/>
      <c r="U145" s="49"/>
      <c r="V145" s="49"/>
      <c r="W145" s="49"/>
      <c r="X145" s="49"/>
      <c r="Y145" s="49"/>
      <c r="Z145" s="49"/>
    </row>
    <row r="146">
      <c r="A146" s="51" t="str">
        <f>IFERROR(__xludf.DUMMYFUNCTION("""COMPUTED_VALUE"""),"d444s321")</f>
        <v>d444s321</v>
      </c>
      <c r="B146" s="58">
        <f>IFERROR(__xludf.DUMMYFUNCTION("""COMPUTED_VALUE"""),45078.0)</f>
        <v>45078</v>
      </c>
      <c r="C146" s="59">
        <f>IFERROR(__xludf.DUMMYFUNCTION("""COMPUTED_VALUE"""),45081.0)</f>
        <v>45081</v>
      </c>
      <c r="D146" s="51">
        <f>IFERROR(__xludf.DUMMYFUNCTION("""COMPUTED_VALUE"""),1.0)</f>
        <v>1</v>
      </c>
      <c r="E146" s="51">
        <f>IFERROR(__xludf.DUMMYFUNCTION("""COMPUTED_VALUE"""),3.0)</f>
        <v>3</v>
      </c>
      <c r="F146" s="52">
        <f>IFERROR(__xludf.DUMMYFUNCTION("""COMPUTED_VALUE"""),16000.0)</f>
        <v>16000</v>
      </c>
      <c r="G146" s="49"/>
      <c r="H146" s="51" t="str">
        <f>IFERROR(__xludf.DUMMYFUNCTION("""COMPUTED_VALUE"""),"d2999f02")</f>
        <v>d2999f02</v>
      </c>
      <c r="I146" s="58">
        <f>IFERROR(__xludf.DUMMYFUNCTION("""COMPUTED_VALUE"""),45096.0)</f>
        <v>45096</v>
      </c>
      <c r="J146" s="59">
        <f>IFERROR(__xludf.DUMMYFUNCTION("""COMPUTED_VALUE"""),45098.0)</f>
        <v>45098</v>
      </c>
      <c r="K146" s="51">
        <f>IFERROR(__xludf.DUMMYFUNCTION("""COMPUTED_VALUE"""),4.0)</f>
        <v>4</v>
      </c>
      <c r="L146" s="51">
        <f>IFERROR(__xludf.DUMMYFUNCTION("""COMPUTED_VALUE"""),1.0)</f>
        <v>1</v>
      </c>
      <c r="M146" s="52">
        <f>IFERROR(__xludf.DUMMYFUNCTION("""COMPUTED_VALUE"""),12000.0)</f>
        <v>12000</v>
      </c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51" t="str">
        <f>IFERROR(__xludf.DUMMYFUNCTION("""COMPUTED_VALUE"""),"d498ym37")</f>
        <v>d498ym37</v>
      </c>
      <c r="B147" s="58">
        <f>IFERROR(__xludf.DUMMYFUNCTION("""COMPUTED_VALUE"""),45079.0)</f>
        <v>45079</v>
      </c>
      <c r="C147" s="59">
        <f>IFERROR(__xludf.DUMMYFUNCTION("""COMPUTED_VALUE"""),45084.0)</f>
        <v>45084</v>
      </c>
      <c r="D147" s="51">
        <f>IFERROR(__xludf.DUMMYFUNCTION("""COMPUTED_VALUE"""),1.0)</f>
        <v>1</v>
      </c>
      <c r="E147" s="51">
        <f>IFERROR(__xludf.DUMMYFUNCTION("""COMPUTED_VALUE"""),3.0)</f>
        <v>3</v>
      </c>
      <c r="F147" s="52">
        <f>IFERROR(__xludf.DUMMYFUNCTION("""COMPUTED_VALUE"""),16000.0)</f>
        <v>16000</v>
      </c>
      <c r="G147" s="49"/>
      <c r="H147" s="51" t="str">
        <f>IFERROR(__xludf.DUMMYFUNCTION("""COMPUTED_VALUE"""),"d620vw69")</f>
        <v>d620vw69</v>
      </c>
      <c r="I147" s="58">
        <f>IFERROR(__xludf.DUMMYFUNCTION("""COMPUTED_VALUE"""),45096.0)</f>
        <v>45096</v>
      </c>
      <c r="J147" s="59">
        <f>IFERROR(__xludf.DUMMYFUNCTION("""COMPUTED_VALUE"""),45100.0)</f>
        <v>45100</v>
      </c>
      <c r="K147" s="51">
        <f>IFERROR(__xludf.DUMMYFUNCTION("""COMPUTED_VALUE"""),1.0)</f>
        <v>1</v>
      </c>
      <c r="L147" s="51">
        <f>IFERROR(__xludf.DUMMYFUNCTION("""COMPUTED_VALUE"""),1.0)</f>
        <v>1</v>
      </c>
      <c r="M147" s="52">
        <f>IFERROR(__xludf.DUMMYFUNCTION("""COMPUTED_VALUE"""),12000.0)</f>
        <v>12000</v>
      </c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51" t="str">
        <f>IFERROR(__xludf.DUMMYFUNCTION("""COMPUTED_VALUE"""),"d7444b29")</f>
        <v>d7444b29</v>
      </c>
      <c r="B148" s="58">
        <f>IFERROR(__xludf.DUMMYFUNCTION("""COMPUTED_VALUE"""),45080.0)</f>
        <v>45080</v>
      </c>
      <c r="C148" s="59">
        <f>IFERROR(__xludf.DUMMYFUNCTION("""COMPUTED_VALUE"""),45085.0)</f>
        <v>45085</v>
      </c>
      <c r="D148" s="51">
        <f>IFERROR(__xludf.DUMMYFUNCTION("""COMPUTED_VALUE"""),1.0)</f>
        <v>1</v>
      </c>
      <c r="E148" s="51">
        <f>IFERROR(__xludf.DUMMYFUNCTION("""COMPUTED_VALUE"""),3.0)</f>
        <v>3</v>
      </c>
      <c r="F148" s="52">
        <f>IFERROR(__xludf.DUMMYFUNCTION("""COMPUTED_VALUE"""),16000.0)</f>
        <v>16000</v>
      </c>
      <c r="G148" s="49"/>
      <c r="H148" s="51" t="str">
        <f>IFERROR(__xludf.DUMMYFUNCTION("""COMPUTED_VALUE"""),"d527ix79")</f>
        <v>d527ix79</v>
      </c>
      <c r="I148" s="58">
        <f>IFERROR(__xludf.DUMMYFUNCTION("""COMPUTED_VALUE"""),45096.0)</f>
        <v>45096</v>
      </c>
      <c r="J148" s="59">
        <f>IFERROR(__xludf.DUMMYFUNCTION("""COMPUTED_VALUE"""),45100.0)</f>
        <v>45100</v>
      </c>
      <c r="K148" s="51">
        <f>IFERROR(__xludf.DUMMYFUNCTION("""COMPUTED_VALUE"""),4.0)</f>
        <v>4</v>
      </c>
      <c r="L148" s="51">
        <f>IFERROR(__xludf.DUMMYFUNCTION("""COMPUTED_VALUE"""),1.0)</f>
        <v>1</v>
      </c>
      <c r="M148" s="52">
        <f>IFERROR(__xludf.DUMMYFUNCTION("""COMPUTED_VALUE"""),12000.0)</f>
        <v>12000</v>
      </c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51" t="str">
        <f>IFERROR(__xludf.DUMMYFUNCTION("""COMPUTED_VALUE"""),"d9928d17")</f>
        <v>d9928d17</v>
      </c>
      <c r="B149" s="58">
        <f>IFERROR(__xludf.DUMMYFUNCTION("""COMPUTED_VALUE"""),45080.0)</f>
        <v>45080</v>
      </c>
      <c r="C149" s="59">
        <f>IFERROR(__xludf.DUMMYFUNCTION("""COMPUTED_VALUE"""),45085.0)</f>
        <v>45085</v>
      </c>
      <c r="D149" s="51">
        <f>IFERROR(__xludf.DUMMYFUNCTION("""COMPUTED_VALUE"""),1.0)</f>
        <v>1</v>
      </c>
      <c r="E149" s="51">
        <f>IFERROR(__xludf.DUMMYFUNCTION("""COMPUTED_VALUE"""),3.0)</f>
        <v>3</v>
      </c>
      <c r="F149" s="52">
        <f>IFERROR(__xludf.DUMMYFUNCTION("""COMPUTED_VALUE"""),16000.0)</f>
        <v>16000</v>
      </c>
      <c r="G149" s="49"/>
      <c r="H149" s="51" t="str">
        <f>IFERROR(__xludf.DUMMYFUNCTION("""COMPUTED_VALUE"""),"d939d161")</f>
        <v>d939d161</v>
      </c>
      <c r="I149" s="58">
        <f>IFERROR(__xludf.DUMMYFUNCTION("""COMPUTED_VALUE"""),45097.0)</f>
        <v>45097</v>
      </c>
      <c r="J149" s="59">
        <f>IFERROR(__xludf.DUMMYFUNCTION("""COMPUTED_VALUE"""),45102.0)</f>
        <v>45102</v>
      </c>
      <c r="K149" s="51">
        <f>IFERROR(__xludf.DUMMYFUNCTION("""COMPUTED_VALUE"""),3.0)</f>
        <v>3</v>
      </c>
      <c r="L149" s="51">
        <f>IFERROR(__xludf.DUMMYFUNCTION("""COMPUTED_VALUE"""),1.0)</f>
        <v>1</v>
      </c>
      <c r="M149" s="52">
        <f>IFERROR(__xludf.DUMMYFUNCTION("""COMPUTED_VALUE"""),12000.0)</f>
        <v>12000</v>
      </c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51" t="str">
        <f>IFERROR(__xludf.DUMMYFUNCTION("""COMPUTED_VALUE"""),"d153bp29")</f>
        <v>d153bp29</v>
      </c>
      <c r="B150" s="58">
        <f>IFERROR(__xludf.DUMMYFUNCTION("""COMPUTED_VALUE"""),45082.0)</f>
        <v>45082</v>
      </c>
      <c r="C150" s="59">
        <f>IFERROR(__xludf.DUMMYFUNCTION("""COMPUTED_VALUE"""),45085.0)</f>
        <v>45085</v>
      </c>
      <c r="D150" s="51">
        <f>IFERROR(__xludf.DUMMYFUNCTION("""COMPUTED_VALUE"""),1.0)</f>
        <v>1</v>
      </c>
      <c r="E150" s="51">
        <f>IFERROR(__xludf.DUMMYFUNCTION("""COMPUTED_VALUE"""),3.0)</f>
        <v>3</v>
      </c>
      <c r="F150" s="52">
        <f>IFERROR(__xludf.DUMMYFUNCTION("""COMPUTED_VALUE"""),16000.0)</f>
        <v>16000</v>
      </c>
      <c r="G150" s="49"/>
      <c r="H150" s="51" t="str">
        <f>IFERROR(__xludf.DUMMYFUNCTION("""COMPUTED_VALUE"""),"d509nk93")</f>
        <v>d509nk93</v>
      </c>
      <c r="I150" s="58">
        <f>IFERROR(__xludf.DUMMYFUNCTION("""COMPUTED_VALUE"""),45097.0)</f>
        <v>45097</v>
      </c>
      <c r="J150" s="59">
        <f>IFERROR(__xludf.DUMMYFUNCTION("""COMPUTED_VALUE"""),45101.0)</f>
        <v>45101</v>
      </c>
      <c r="K150" s="51">
        <f>IFERROR(__xludf.DUMMYFUNCTION("""COMPUTED_VALUE"""),3.0)</f>
        <v>3</v>
      </c>
      <c r="L150" s="51">
        <f>IFERROR(__xludf.DUMMYFUNCTION("""COMPUTED_VALUE"""),1.0)</f>
        <v>1</v>
      </c>
      <c r="M150" s="52">
        <f>IFERROR(__xludf.DUMMYFUNCTION("""COMPUTED_VALUE"""),12000.0)</f>
        <v>12000</v>
      </c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51" t="str">
        <f>IFERROR(__xludf.DUMMYFUNCTION("""COMPUTED_VALUE"""),"d2675v44")</f>
        <v>d2675v44</v>
      </c>
      <c r="B151" s="58">
        <f>IFERROR(__xludf.DUMMYFUNCTION("""COMPUTED_VALUE"""),45083.0)</f>
        <v>45083</v>
      </c>
      <c r="C151" s="59">
        <f>IFERROR(__xludf.DUMMYFUNCTION("""COMPUTED_VALUE"""),45088.0)</f>
        <v>45088</v>
      </c>
      <c r="D151" s="51">
        <f>IFERROR(__xludf.DUMMYFUNCTION("""COMPUTED_VALUE"""),1.0)</f>
        <v>1</v>
      </c>
      <c r="E151" s="51">
        <f>IFERROR(__xludf.DUMMYFUNCTION("""COMPUTED_VALUE"""),3.0)</f>
        <v>3</v>
      </c>
      <c r="F151" s="52">
        <f>IFERROR(__xludf.DUMMYFUNCTION("""COMPUTED_VALUE"""),16000.0)</f>
        <v>16000</v>
      </c>
      <c r="G151" s="49"/>
      <c r="H151" s="51" t="str">
        <f>IFERROR(__xludf.DUMMYFUNCTION("""COMPUTED_VALUE"""),"d396l099")</f>
        <v>d396l099</v>
      </c>
      <c r="I151" s="58">
        <f>IFERROR(__xludf.DUMMYFUNCTION("""COMPUTED_VALUE"""),45097.0)</f>
        <v>45097</v>
      </c>
      <c r="J151" s="59">
        <f>IFERROR(__xludf.DUMMYFUNCTION("""COMPUTED_VALUE"""),45100.0)</f>
        <v>45100</v>
      </c>
      <c r="K151" s="51">
        <f>IFERROR(__xludf.DUMMYFUNCTION("""COMPUTED_VALUE"""),4.0)</f>
        <v>4</v>
      </c>
      <c r="L151" s="51">
        <f>IFERROR(__xludf.DUMMYFUNCTION("""COMPUTED_VALUE"""),1.0)</f>
        <v>1</v>
      </c>
      <c r="M151" s="52">
        <f>IFERROR(__xludf.DUMMYFUNCTION("""COMPUTED_VALUE"""),12000.0)</f>
        <v>12000</v>
      </c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51" t="str">
        <f>IFERROR(__xludf.DUMMYFUNCTION("""COMPUTED_VALUE"""),"d880ku98")</f>
        <v>d880ku98</v>
      </c>
      <c r="B152" s="58">
        <f>IFERROR(__xludf.DUMMYFUNCTION("""COMPUTED_VALUE"""),45083.0)</f>
        <v>45083</v>
      </c>
      <c r="C152" s="59">
        <f>IFERROR(__xludf.DUMMYFUNCTION("""COMPUTED_VALUE"""),45088.0)</f>
        <v>45088</v>
      </c>
      <c r="D152" s="51">
        <f>IFERROR(__xludf.DUMMYFUNCTION("""COMPUTED_VALUE"""),1.0)</f>
        <v>1</v>
      </c>
      <c r="E152" s="51">
        <f>IFERROR(__xludf.DUMMYFUNCTION("""COMPUTED_VALUE"""),3.0)</f>
        <v>3</v>
      </c>
      <c r="F152" s="52">
        <f>IFERROR(__xludf.DUMMYFUNCTION("""COMPUTED_VALUE"""),16000.0)</f>
        <v>16000</v>
      </c>
      <c r="G152" s="49"/>
      <c r="H152" s="51" t="str">
        <f>IFERROR(__xludf.DUMMYFUNCTION("""COMPUTED_VALUE"""),"d0180082")</f>
        <v>d0180082</v>
      </c>
      <c r="I152" s="58">
        <f>IFERROR(__xludf.DUMMYFUNCTION("""COMPUTED_VALUE"""),45097.0)</f>
        <v>45097</v>
      </c>
      <c r="J152" s="59">
        <f>IFERROR(__xludf.DUMMYFUNCTION("""COMPUTED_VALUE"""),45098.0)</f>
        <v>45098</v>
      </c>
      <c r="K152" s="51">
        <f>IFERROR(__xludf.DUMMYFUNCTION("""COMPUTED_VALUE"""),1.0)</f>
        <v>1</v>
      </c>
      <c r="L152" s="51">
        <f>IFERROR(__xludf.DUMMYFUNCTION("""COMPUTED_VALUE"""),1.0)</f>
        <v>1</v>
      </c>
      <c r="M152" s="52">
        <f>IFERROR(__xludf.DUMMYFUNCTION("""COMPUTED_VALUE"""),12000.0)</f>
        <v>12000</v>
      </c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51" t="str">
        <f>IFERROR(__xludf.DUMMYFUNCTION("""COMPUTED_VALUE"""),"d7347k36")</f>
        <v>d7347k36</v>
      </c>
      <c r="B153" s="58">
        <f>IFERROR(__xludf.DUMMYFUNCTION("""COMPUTED_VALUE"""),45084.0)</f>
        <v>45084</v>
      </c>
      <c r="C153" s="59">
        <f>IFERROR(__xludf.DUMMYFUNCTION("""COMPUTED_VALUE"""),45089.0)</f>
        <v>45089</v>
      </c>
      <c r="D153" s="51">
        <f>IFERROR(__xludf.DUMMYFUNCTION("""COMPUTED_VALUE"""),1.0)</f>
        <v>1</v>
      </c>
      <c r="E153" s="51">
        <f>IFERROR(__xludf.DUMMYFUNCTION("""COMPUTED_VALUE"""),3.0)</f>
        <v>3</v>
      </c>
      <c r="F153" s="52">
        <f>IFERROR(__xludf.DUMMYFUNCTION("""COMPUTED_VALUE"""),16000.0)</f>
        <v>16000</v>
      </c>
      <c r="G153" s="49"/>
      <c r="H153" s="51" t="str">
        <f>IFERROR(__xludf.DUMMYFUNCTION("""COMPUTED_VALUE"""),"d402em68")</f>
        <v>d402em68</v>
      </c>
      <c r="I153" s="58">
        <f>IFERROR(__xludf.DUMMYFUNCTION("""COMPUTED_VALUE"""),45097.0)</f>
        <v>45097</v>
      </c>
      <c r="J153" s="59">
        <f>IFERROR(__xludf.DUMMYFUNCTION("""COMPUTED_VALUE"""),45099.0)</f>
        <v>45099</v>
      </c>
      <c r="K153" s="51">
        <f>IFERROR(__xludf.DUMMYFUNCTION("""COMPUTED_VALUE"""),2.0)</f>
        <v>2</v>
      </c>
      <c r="L153" s="51">
        <f>IFERROR(__xludf.DUMMYFUNCTION("""COMPUTED_VALUE"""),1.0)</f>
        <v>1</v>
      </c>
      <c r="M153" s="52">
        <f>IFERROR(__xludf.DUMMYFUNCTION("""COMPUTED_VALUE"""),12000.0)</f>
        <v>12000</v>
      </c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51" t="str">
        <f>IFERROR(__xludf.DUMMYFUNCTION("""COMPUTED_VALUE"""),"d650bf04")</f>
        <v>d650bf04</v>
      </c>
      <c r="B154" s="58">
        <f>IFERROR(__xludf.DUMMYFUNCTION("""COMPUTED_VALUE"""),45084.0)</f>
        <v>45084</v>
      </c>
      <c r="C154" s="59">
        <f>IFERROR(__xludf.DUMMYFUNCTION("""COMPUTED_VALUE"""),45087.0)</f>
        <v>45087</v>
      </c>
      <c r="D154" s="51">
        <f>IFERROR(__xludf.DUMMYFUNCTION("""COMPUTED_VALUE"""),1.0)</f>
        <v>1</v>
      </c>
      <c r="E154" s="51">
        <f>IFERROR(__xludf.DUMMYFUNCTION("""COMPUTED_VALUE"""),3.0)</f>
        <v>3</v>
      </c>
      <c r="F154" s="52">
        <f>IFERROR(__xludf.DUMMYFUNCTION("""COMPUTED_VALUE"""),16000.0)</f>
        <v>16000</v>
      </c>
      <c r="G154" s="49"/>
      <c r="H154" s="51" t="str">
        <f>IFERROR(__xludf.DUMMYFUNCTION("""COMPUTED_VALUE"""),"d039zh03")</f>
        <v>d039zh03</v>
      </c>
      <c r="I154" s="58">
        <f>IFERROR(__xludf.DUMMYFUNCTION("""COMPUTED_VALUE"""),45097.0)</f>
        <v>45097</v>
      </c>
      <c r="J154" s="59">
        <f>IFERROR(__xludf.DUMMYFUNCTION("""COMPUTED_VALUE"""),45101.0)</f>
        <v>45101</v>
      </c>
      <c r="K154" s="51">
        <f>IFERROR(__xludf.DUMMYFUNCTION("""COMPUTED_VALUE"""),3.0)</f>
        <v>3</v>
      </c>
      <c r="L154" s="51">
        <f>IFERROR(__xludf.DUMMYFUNCTION("""COMPUTED_VALUE"""),1.0)</f>
        <v>1</v>
      </c>
      <c r="M154" s="52">
        <f>IFERROR(__xludf.DUMMYFUNCTION("""COMPUTED_VALUE"""),12000.0)</f>
        <v>12000</v>
      </c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51" t="str">
        <f>IFERROR(__xludf.DUMMYFUNCTION("""COMPUTED_VALUE"""),"d3975696")</f>
        <v>d3975696</v>
      </c>
      <c r="B155" s="58">
        <f>IFERROR(__xludf.DUMMYFUNCTION("""COMPUTED_VALUE"""),45084.0)</f>
        <v>45084</v>
      </c>
      <c r="C155" s="59">
        <f>IFERROR(__xludf.DUMMYFUNCTION("""COMPUTED_VALUE"""),45089.0)</f>
        <v>45089</v>
      </c>
      <c r="D155" s="51">
        <f>IFERROR(__xludf.DUMMYFUNCTION("""COMPUTED_VALUE"""),1.0)</f>
        <v>1</v>
      </c>
      <c r="E155" s="51">
        <f>IFERROR(__xludf.DUMMYFUNCTION("""COMPUTED_VALUE"""),3.0)</f>
        <v>3</v>
      </c>
      <c r="F155" s="52">
        <f>IFERROR(__xludf.DUMMYFUNCTION("""COMPUTED_VALUE"""),16000.0)</f>
        <v>16000</v>
      </c>
      <c r="G155" s="49"/>
      <c r="H155" s="51" t="str">
        <f>IFERROR(__xludf.DUMMYFUNCTION("""COMPUTED_VALUE"""),"d198xy36")</f>
        <v>d198xy36</v>
      </c>
      <c r="I155" s="58">
        <f>IFERROR(__xludf.DUMMYFUNCTION("""COMPUTED_VALUE"""),45097.0)</f>
        <v>45097</v>
      </c>
      <c r="J155" s="59">
        <f>IFERROR(__xludf.DUMMYFUNCTION("""COMPUTED_VALUE"""),45098.0)</f>
        <v>45098</v>
      </c>
      <c r="K155" s="51">
        <f>IFERROR(__xludf.DUMMYFUNCTION("""COMPUTED_VALUE"""),3.0)</f>
        <v>3</v>
      </c>
      <c r="L155" s="51">
        <f>IFERROR(__xludf.DUMMYFUNCTION("""COMPUTED_VALUE"""),1.0)</f>
        <v>1</v>
      </c>
      <c r="M155" s="52">
        <f>IFERROR(__xludf.DUMMYFUNCTION("""COMPUTED_VALUE"""),12000.0)</f>
        <v>12000</v>
      </c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51" t="str">
        <f>IFERROR(__xludf.DUMMYFUNCTION("""COMPUTED_VALUE"""),"d8952e62")</f>
        <v>d8952e62</v>
      </c>
      <c r="B156" s="58">
        <f>IFERROR(__xludf.DUMMYFUNCTION("""COMPUTED_VALUE"""),45085.0)</f>
        <v>45085</v>
      </c>
      <c r="C156" s="59">
        <f>IFERROR(__xludf.DUMMYFUNCTION("""COMPUTED_VALUE"""),45089.0)</f>
        <v>45089</v>
      </c>
      <c r="D156" s="51">
        <f>IFERROR(__xludf.DUMMYFUNCTION("""COMPUTED_VALUE"""),1.0)</f>
        <v>1</v>
      </c>
      <c r="E156" s="51">
        <f>IFERROR(__xludf.DUMMYFUNCTION("""COMPUTED_VALUE"""),3.0)</f>
        <v>3</v>
      </c>
      <c r="F156" s="52">
        <f>IFERROR(__xludf.DUMMYFUNCTION("""COMPUTED_VALUE"""),16000.0)</f>
        <v>16000</v>
      </c>
      <c r="G156" s="49"/>
      <c r="H156" s="51" t="str">
        <f>IFERROR(__xludf.DUMMYFUNCTION("""COMPUTED_VALUE"""),"d643r272")</f>
        <v>d643r272</v>
      </c>
      <c r="I156" s="58">
        <f>IFERROR(__xludf.DUMMYFUNCTION("""COMPUTED_VALUE"""),45097.0)</f>
        <v>45097</v>
      </c>
      <c r="J156" s="59">
        <f>IFERROR(__xludf.DUMMYFUNCTION("""COMPUTED_VALUE"""),45100.0)</f>
        <v>45100</v>
      </c>
      <c r="K156" s="51">
        <f>IFERROR(__xludf.DUMMYFUNCTION("""COMPUTED_VALUE"""),4.0)</f>
        <v>4</v>
      </c>
      <c r="L156" s="51">
        <f>IFERROR(__xludf.DUMMYFUNCTION("""COMPUTED_VALUE"""),1.0)</f>
        <v>1</v>
      </c>
      <c r="M156" s="52">
        <f>IFERROR(__xludf.DUMMYFUNCTION("""COMPUTED_VALUE"""),12000.0)</f>
        <v>12000</v>
      </c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51" t="str">
        <f>IFERROR(__xludf.DUMMYFUNCTION("""COMPUTED_VALUE"""),"d622mp03")</f>
        <v>d622mp03</v>
      </c>
      <c r="B157" s="58">
        <f>IFERROR(__xludf.DUMMYFUNCTION("""COMPUTED_VALUE"""),45085.0)</f>
        <v>45085</v>
      </c>
      <c r="C157" s="59">
        <f>IFERROR(__xludf.DUMMYFUNCTION("""COMPUTED_VALUE"""),45086.0)</f>
        <v>45086</v>
      </c>
      <c r="D157" s="51">
        <f>IFERROR(__xludf.DUMMYFUNCTION("""COMPUTED_VALUE"""),1.0)</f>
        <v>1</v>
      </c>
      <c r="E157" s="51">
        <f>IFERROR(__xludf.DUMMYFUNCTION("""COMPUTED_VALUE"""),3.0)</f>
        <v>3</v>
      </c>
      <c r="F157" s="52">
        <f>IFERROR(__xludf.DUMMYFUNCTION("""COMPUTED_VALUE"""),16000.0)</f>
        <v>16000</v>
      </c>
      <c r="G157" s="49"/>
      <c r="H157" s="51" t="str">
        <f>IFERROR(__xludf.DUMMYFUNCTION("""COMPUTED_VALUE"""),"d521zv60")</f>
        <v>d521zv60</v>
      </c>
      <c r="I157" s="58">
        <f>IFERROR(__xludf.DUMMYFUNCTION("""COMPUTED_VALUE"""),45097.0)</f>
        <v>45097</v>
      </c>
      <c r="J157" s="59">
        <f>IFERROR(__xludf.DUMMYFUNCTION("""COMPUTED_VALUE"""),45102.0)</f>
        <v>45102</v>
      </c>
      <c r="K157" s="51">
        <f>IFERROR(__xludf.DUMMYFUNCTION("""COMPUTED_VALUE"""),1.0)</f>
        <v>1</v>
      </c>
      <c r="L157" s="51">
        <f>IFERROR(__xludf.DUMMYFUNCTION("""COMPUTED_VALUE"""),1.0)</f>
        <v>1</v>
      </c>
      <c r="M157" s="52">
        <f>IFERROR(__xludf.DUMMYFUNCTION("""COMPUTED_VALUE"""),12000.0)</f>
        <v>12000</v>
      </c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51" t="str">
        <f>IFERROR(__xludf.DUMMYFUNCTION("""COMPUTED_VALUE"""),"d418x101")</f>
        <v>d418x101</v>
      </c>
      <c r="B158" s="58">
        <f>IFERROR(__xludf.DUMMYFUNCTION("""COMPUTED_VALUE"""),45086.0)</f>
        <v>45086</v>
      </c>
      <c r="C158" s="59">
        <f>IFERROR(__xludf.DUMMYFUNCTION("""COMPUTED_VALUE"""),45090.0)</f>
        <v>45090</v>
      </c>
      <c r="D158" s="51">
        <f>IFERROR(__xludf.DUMMYFUNCTION("""COMPUTED_VALUE"""),1.0)</f>
        <v>1</v>
      </c>
      <c r="E158" s="51">
        <f>IFERROR(__xludf.DUMMYFUNCTION("""COMPUTED_VALUE"""),3.0)</f>
        <v>3</v>
      </c>
      <c r="F158" s="52">
        <f>IFERROR(__xludf.DUMMYFUNCTION("""COMPUTED_VALUE"""),16000.0)</f>
        <v>16000</v>
      </c>
      <c r="G158" s="49"/>
      <c r="H158" s="51" t="str">
        <f>IFERROR(__xludf.DUMMYFUNCTION("""COMPUTED_VALUE"""),"d3582x49")</f>
        <v>d3582x49</v>
      </c>
      <c r="I158" s="58">
        <f>IFERROR(__xludf.DUMMYFUNCTION("""COMPUTED_VALUE"""),45097.0)</f>
        <v>45097</v>
      </c>
      <c r="J158" s="59">
        <f>IFERROR(__xludf.DUMMYFUNCTION("""COMPUTED_VALUE"""),45100.0)</f>
        <v>45100</v>
      </c>
      <c r="K158" s="51">
        <f>IFERROR(__xludf.DUMMYFUNCTION("""COMPUTED_VALUE"""),1.0)</f>
        <v>1</v>
      </c>
      <c r="L158" s="51">
        <f>IFERROR(__xludf.DUMMYFUNCTION("""COMPUTED_VALUE"""),1.0)</f>
        <v>1</v>
      </c>
      <c r="M158" s="52">
        <f>IFERROR(__xludf.DUMMYFUNCTION("""COMPUTED_VALUE"""),12000.0)</f>
        <v>12000</v>
      </c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51" t="str">
        <f>IFERROR(__xludf.DUMMYFUNCTION("""COMPUTED_VALUE"""),"d601gq89")</f>
        <v>d601gq89</v>
      </c>
      <c r="B159" s="58">
        <f>IFERROR(__xludf.DUMMYFUNCTION("""COMPUTED_VALUE"""),45088.0)</f>
        <v>45088</v>
      </c>
      <c r="C159" s="59">
        <f>IFERROR(__xludf.DUMMYFUNCTION("""COMPUTED_VALUE"""),45090.0)</f>
        <v>45090</v>
      </c>
      <c r="D159" s="51">
        <f>IFERROR(__xludf.DUMMYFUNCTION("""COMPUTED_VALUE"""),1.0)</f>
        <v>1</v>
      </c>
      <c r="E159" s="51">
        <f>IFERROR(__xludf.DUMMYFUNCTION("""COMPUTED_VALUE"""),3.0)</f>
        <v>3</v>
      </c>
      <c r="F159" s="52">
        <f>IFERROR(__xludf.DUMMYFUNCTION("""COMPUTED_VALUE"""),16000.0)</f>
        <v>16000</v>
      </c>
      <c r="G159" s="49"/>
      <c r="H159" s="51" t="str">
        <f>IFERROR(__xludf.DUMMYFUNCTION("""COMPUTED_VALUE"""),"d284uw55")</f>
        <v>d284uw55</v>
      </c>
      <c r="I159" s="58">
        <f>IFERROR(__xludf.DUMMYFUNCTION("""COMPUTED_VALUE"""),45097.0)</f>
        <v>45097</v>
      </c>
      <c r="J159" s="59">
        <f>IFERROR(__xludf.DUMMYFUNCTION("""COMPUTED_VALUE"""),45102.0)</f>
        <v>45102</v>
      </c>
      <c r="K159" s="51">
        <f>IFERROR(__xludf.DUMMYFUNCTION("""COMPUTED_VALUE"""),6.0)</f>
        <v>6</v>
      </c>
      <c r="L159" s="51">
        <f>IFERROR(__xludf.DUMMYFUNCTION("""COMPUTED_VALUE"""),1.0)</f>
        <v>1</v>
      </c>
      <c r="M159" s="52">
        <f>IFERROR(__xludf.DUMMYFUNCTION("""COMPUTED_VALUE"""),12000.0)</f>
        <v>12000</v>
      </c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51" t="str">
        <f>IFERROR(__xludf.DUMMYFUNCTION("""COMPUTED_VALUE"""),"d188vz63")</f>
        <v>d188vz63</v>
      </c>
      <c r="B160" s="58">
        <f>IFERROR(__xludf.DUMMYFUNCTION("""COMPUTED_VALUE"""),45088.0)</f>
        <v>45088</v>
      </c>
      <c r="C160" s="59">
        <f>IFERROR(__xludf.DUMMYFUNCTION("""COMPUTED_VALUE"""),45093.0)</f>
        <v>45093</v>
      </c>
      <c r="D160" s="51">
        <f>IFERROR(__xludf.DUMMYFUNCTION("""COMPUTED_VALUE"""),1.0)</f>
        <v>1</v>
      </c>
      <c r="E160" s="51">
        <f>IFERROR(__xludf.DUMMYFUNCTION("""COMPUTED_VALUE"""),3.0)</f>
        <v>3</v>
      </c>
      <c r="F160" s="52">
        <f>IFERROR(__xludf.DUMMYFUNCTION("""COMPUTED_VALUE"""),16000.0)</f>
        <v>16000</v>
      </c>
      <c r="G160" s="49"/>
      <c r="H160" s="51" t="str">
        <f>IFERROR(__xludf.DUMMYFUNCTION("""COMPUTED_VALUE"""),"d594ry90")</f>
        <v>d594ry90</v>
      </c>
      <c r="I160" s="58">
        <f>IFERROR(__xludf.DUMMYFUNCTION("""COMPUTED_VALUE"""),45097.0)</f>
        <v>45097</v>
      </c>
      <c r="J160" s="59">
        <f>IFERROR(__xludf.DUMMYFUNCTION("""COMPUTED_VALUE"""),45101.0)</f>
        <v>45101</v>
      </c>
      <c r="K160" s="51">
        <f>IFERROR(__xludf.DUMMYFUNCTION("""COMPUTED_VALUE"""),5.0)</f>
        <v>5</v>
      </c>
      <c r="L160" s="51">
        <f>IFERROR(__xludf.DUMMYFUNCTION("""COMPUTED_VALUE"""),1.0)</f>
        <v>1</v>
      </c>
      <c r="M160" s="52">
        <f>IFERROR(__xludf.DUMMYFUNCTION("""COMPUTED_VALUE"""),12000.0)</f>
        <v>12000</v>
      </c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51" t="str">
        <f>IFERROR(__xludf.DUMMYFUNCTION("""COMPUTED_VALUE"""),"d0106u70")</f>
        <v>d0106u70</v>
      </c>
      <c r="B161" s="58">
        <f>IFERROR(__xludf.DUMMYFUNCTION("""COMPUTED_VALUE"""),45089.0)</f>
        <v>45089</v>
      </c>
      <c r="C161" s="59">
        <f>IFERROR(__xludf.DUMMYFUNCTION("""COMPUTED_VALUE"""),45091.0)</f>
        <v>45091</v>
      </c>
      <c r="D161" s="51">
        <f>IFERROR(__xludf.DUMMYFUNCTION("""COMPUTED_VALUE"""),1.0)</f>
        <v>1</v>
      </c>
      <c r="E161" s="51">
        <f>IFERROR(__xludf.DUMMYFUNCTION("""COMPUTED_VALUE"""),3.0)</f>
        <v>3</v>
      </c>
      <c r="F161" s="52">
        <f>IFERROR(__xludf.DUMMYFUNCTION("""COMPUTED_VALUE"""),16000.0)</f>
        <v>16000</v>
      </c>
      <c r="G161" s="49"/>
      <c r="H161" s="51" t="str">
        <f>IFERROR(__xludf.DUMMYFUNCTION("""COMPUTED_VALUE"""),"d5173k22")</f>
        <v>d5173k22</v>
      </c>
      <c r="I161" s="58">
        <f>IFERROR(__xludf.DUMMYFUNCTION("""COMPUTED_VALUE"""),45098.0)</f>
        <v>45098</v>
      </c>
      <c r="J161" s="59">
        <f>IFERROR(__xludf.DUMMYFUNCTION("""COMPUTED_VALUE"""),45101.0)</f>
        <v>45101</v>
      </c>
      <c r="K161" s="51">
        <f>IFERROR(__xludf.DUMMYFUNCTION("""COMPUTED_VALUE"""),1.0)</f>
        <v>1</v>
      </c>
      <c r="L161" s="51">
        <f>IFERROR(__xludf.DUMMYFUNCTION("""COMPUTED_VALUE"""),1.0)</f>
        <v>1</v>
      </c>
      <c r="M161" s="52">
        <f>IFERROR(__xludf.DUMMYFUNCTION("""COMPUTED_VALUE"""),12000.0)</f>
        <v>12000</v>
      </c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51" t="str">
        <f>IFERROR(__xludf.DUMMYFUNCTION("""COMPUTED_VALUE"""),"d431vc28")</f>
        <v>d431vc28</v>
      </c>
      <c r="B162" s="58">
        <f>IFERROR(__xludf.DUMMYFUNCTION("""COMPUTED_VALUE"""),45089.0)</f>
        <v>45089</v>
      </c>
      <c r="C162" s="59">
        <f>IFERROR(__xludf.DUMMYFUNCTION("""COMPUTED_VALUE"""),45094.0)</f>
        <v>45094</v>
      </c>
      <c r="D162" s="51">
        <f>IFERROR(__xludf.DUMMYFUNCTION("""COMPUTED_VALUE"""),1.0)</f>
        <v>1</v>
      </c>
      <c r="E162" s="51">
        <f>IFERROR(__xludf.DUMMYFUNCTION("""COMPUTED_VALUE"""),3.0)</f>
        <v>3</v>
      </c>
      <c r="F162" s="52">
        <f>IFERROR(__xludf.DUMMYFUNCTION("""COMPUTED_VALUE"""),16000.0)</f>
        <v>16000</v>
      </c>
      <c r="G162" s="49"/>
      <c r="H162" s="51" t="str">
        <f>IFERROR(__xludf.DUMMYFUNCTION("""COMPUTED_VALUE"""),"d3412b53")</f>
        <v>d3412b53</v>
      </c>
      <c r="I162" s="58">
        <f>IFERROR(__xludf.DUMMYFUNCTION("""COMPUTED_VALUE"""),45098.0)</f>
        <v>45098</v>
      </c>
      <c r="J162" s="59">
        <f>IFERROR(__xludf.DUMMYFUNCTION("""COMPUTED_VALUE"""),45099.0)</f>
        <v>45099</v>
      </c>
      <c r="K162" s="51">
        <f>IFERROR(__xludf.DUMMYFUNCTION("""COMPUTED_VALUE"""),2.0)</f>
        <v>2</v>
      </c>
      <c r="L162" s="51">
        <f>IFERROR(__xludf.DUMMYFUNCTION("""COMPUTED_VALUE"""),1.0)</f>
        <v>1</v>
      </c>
      <c r="M162" s="52">
        <f>IFERROR(__xludf.DUMMYFUNCTION("""COMPUTED_VALUE"""),12000.0)</f>
        <v>12000</v>
      </c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51" t="str">
        <f>IFERROR(__xludf.DUMMYFUNCTION("""COMPUTED_VALUE"""),"d2018q81")</f>
        <v>d2018q81</v>
      </c>
      <c r="B163" s="58">
        <f>IFERROR(__xludf.DUMMYFUNCTION("""COMPUTED_VALUE"""),45090.0)</f>
        <v>45090</v>
      </c>
      <c r="C163" s="59">
        <f>IFERROR(__xludf.DUMMYFUNCTION("""COMPUTED_VALUE"""),45094.0)</f>
        <v>45094</v>
      </c>
      <c r="D163" s="51">
        <f>IFERROR(__xludf.DUMMYFUNCTION("""COMPUTED_VALUE"""),1.0)</f>
        <v>1</v>
      </c>
      <c r="E163" s="51">
        <f>IFERROR(__xludf.DUMMYFUNCTION("""COMPUTED_VALUE"""),3.0)</f>
        <v>3</v>
      </c>
      <c r="F163" s="52">
        <f>IFERROR(__xludf.DUMMYFUNCTION("""COMPUTED_VALUE"""),16000.0)</f>
        <v>16000</v>
      </c>
      <c r="G163" s="49"/>
      <c r="H163" s="51" t="str">
        <f>IFERROR(__xludf.DUMMYFUNCTION("""COMPUTED_VALUE"""),"d047im29")</f>
        <v>d047im29</v>
      </c>
      <c r="I163" s="58">
        <f>IFERROR(__xludf.DUMMYFUNCTION("""COMPUTED_VALUE"""),45098.0)</f>
        <v>45098</v>
      </c>
      <c r="J163" s="59">
        <f>IFERROR(__xludf.DUMMYFUNCTION("""COMPUTED_VALUE"""),45099.0)</f>
        <v>45099</v>
      </c>
      <c r="K163" s="51">
        <f>IFERROR(__xludf.DUMMYFUNCTION("""COMPUTED_VALUE"""),2.0)</f>
        <v>2</v>
      </c>
      <c r="L163" s="51">
        <f>IFERROR(__xludf.DUMMYFUNCTION("""COMPUTED_VALUE"""),1.0)</f>
        <v>1</v>
      </c>
      <c r="M163" s="52">
        <f>IFERROR(__xludf.DUMMYFUNCTION("""COMPUTED_VALUE"""),12000.0)</f>
        <v>12000</v>
      </c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51" t="str">
        <f>IFERROR(__xludf.DUMMYFUNCTION("""COMPUTED_VALUE"""),"d8334155")</f>
        <v>d8334155</v>
      </c>
      <c r="B164" s="58">
        <f>IFERROR(__xludf.DUMMYFUNCTION("""COMPUTED_VALUE"""),45090.0)</f>
        <v>45090</v>
      </c>
      <c r="C164" s="59">
        <f>IFERROR(__xludf.DUMMYFUNCTION("""COMPUTED_VALUE"""),45094.0)</f>
        <v>45094</v>
      </c>
      <c r="D164" s="51">
        <f>IFERROR(__xludf.DUMMYFUNCTION("""COMPUTED_VALUE"""),1.0)</f>
        <v>1</v>
      </c>
      <c r="E164" s="51">
        <f>IFERROR(__xludf.DUMMYFUNCTION("""COMPUTED_VALUE"""),3.0)</f>
        <v>3</v>
      </c>
      <c r="F164" s="52">
        <f>IFERROR(__xludf.DUMMYFUNCTION("""COMPUTED_VALUE"""),16000.0)</f>
        <v>16000</v>
      </c>
      <c r="G164" s="49"/>
      <c r="H164" s="51" t="str">
        <f>IFERROR(__xludf.DUMMYFUNCTION("""COMPUTED_VALUE"""),"d304o466")</f>
        <v>d304o466</v>
      </c>
      <c r="I164" s="58">
        <f>IFERROR(__xludf.DUMMYFUNCTION("""COMPUTED_VALUE"""),45098.0)</f>
        <v>45098</v>
      </c>
      <c r="J164" s="59">
        <f>IFERROR(__xludf.DUMMYFUNCTION("""COMPUTED_VALUE"""),45101.0)</f>
        <v>45101</v>
      </c>
      <c r="K164" s="51">
        <f>IFERROR(__xludf.DUMMYFUNCTION("""COMPUTED_VALUE"""),3.0)</f>
        <v>3</v>
      </c>
      <c r="L164" s="51">
        <f>IFERROR(__xludf.DUMMYFUNCTION("""COMPUTED_VALUE"""),1.0)</f>
        <v>1</v>
      </c>
      <c r="M164" s="52">
        <f>IFERROR(__xludf.DUMMYFUNCTION("""COMPUTED_VALUE"""),12000.0)</f>
        <v>12000</v>
      </c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51" t="str">
        <f>IFERROR(__xludf.DUMMYFUNCTION("""COMPUTED_VALUE"""),"d978xv62")</f>
        <v>d978xv62</v>
      </c>
      <c r="B165" s="58">
        <f>IFERROR(__xludf.DUMMYFUNCTION("""COMPUTED_VALUE"""),45090.0)</f>
        <v>45090</v>
      </c>
      <c r="C165" s="59">
        <f>IFERROR(__xludf.DUMMYFUNCTION("""COMPUTED_VALUE"""),45091.0)</f>
        <v>45091</v>
      </c>
      <c r="D165" s="51">
        <f>IFERROR(__xludf.DUMMYFUNCTION("""COMPUTED_VALUE"""),1.0)</f>
        <v>1</v>
      </c>
      <c r="E165" s="51">
        <f>IFERROR(__xludf.DUMMYFUNCTION("""COMPUTED_VALUE"""),3.0)</f>
        <v>3</v>
      </c>
      <c r="F165" s="52">
        <f>IFERROR(__xludf.DUMMYFUNCTION("""COMPUTED_VALUE"""),16000.0)</f>
        <v>16000</v>
      </c>
      <c r="G165" s="49"/>
      <c r="H165" s="51" t="str">
        <f>IFERROR(__xludf.DUMMYFUNCTION("""COMPUTED_VALUE"""),"d590wa90")</f>
        <v>d590wa90</v>
      </c>
      <c r="I165" s="58">
        <f>IFERROR(__xludf.DUMMYFUNCTION("""COMPUTED_VALUE"""),45098.0)</f>
        <v>45098</v>
      </c>
      <c r="J165" s="59">
        <f>IFERROR(__xludf.DUMMYFUNCTION("""COMPUTED_VALUE"""),45103.0)</f>
        <v>45103</v>
      </c>
      <c r="K165" s="51">
        <f>IFERROR(__xludf.DUMMYFUNCTION("""COMPUTED_VALUE"""),4.0)</f>
        <v>4</v>
      </c>
      <c r="L165" s="51">
        <f>IFERROR(__xludf.DUMMYFUNCTION("""COMPUTED_VALUE"""),1.0)</f>
        <v>1</v>
      </c>
      <c r="M165" s="52">
        <f>IFERROR(__xludf.DUMMYFUNCTION("""COMPUTED_VALUE"""),12000.0)</f>
        <v>12000</v>
      </c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51" t="str">
        <f>IFERROR(__xludf.DUMMYFUNCTION("""COMPUTED_VALUE"""),"d9540s61")</f>
        <v>d9540s61</v>
      </c>
      <c r="B166" s="58">
        <f>IFERROR(__xludf.DUMMYFUNCTION("""COMPUTED_VALUE"""),45094.0)</f>
        <v>45094</v>
      </c>
      <c r="C166" s="59">
        <f>IFERROR(__xludf.DUMMYFUNCTION("""COMPUTED_VALUE"""),45095.0)</f>
        <v>45095</v>
      </c>
      <c r="D166" s="51">
        <f>IFERROR(__xludf.DUMMYFUNCTION("""COMPUTED_VALUE"""),1.0)</f>
        <v>1</v>
      </c>
      <c r="E166" s="51">
        <f>IFERROR(__xludf.DUMMYFUNCTION("""COMPUTED_VALUE"""),3.0)</f>
        <v>3</v>
      </c>
      <c r="F166" s="52">
        <f>IFERROR(__xludf.DUMMYFUNCTION("""COMPUTED_VALUE"""),16000.0)</f>
        <v>16000</v>
      </c>
      <c r="G166" s="49"/>
      <c r="H166" s="51" t="str">
        <f>IFERROR(__xludf.DUMMYFUNCTION("""COMPUTED_VALUE"""),"d6881y66")</f>
        <v>d6881y66</v>
      </c>
      <c r="I166" s="58">
        <f>IFERROR(__xludf.DUMMYFUNCTION("""COMPUTED_VALUE"""),45098.0)</f>
        <v>45098</v>
      </c>
      <c r="J166" s="59">
        <f>IFERROR(__xludf.DUMMYFUNCTION("""COMPUTED_VALUE"""),45100.0)</f>
        <v>45100</v>
      </c>
      <c r="K166" s="51">
        <f>IFERROR(__xludf.DUMMYFUNCTION("""COMPUTED_VALUE"""),4.0)</f>
        <v>4</v>
      </c>
      <c r="L166" s="51">
        <f>IFERROR(__xludf.DUMMYFUNCTION("""COMPUTED_VALUE"""),1.0)</f>
        <v>1</v>
      </c>
      <c r="M166" s="52">
        <f>IFERROR(__xludf.DUMMYFUNCTION("""COMPUTED_VALUE"""),12000.0)</f>
        <v>12000</v>
      </c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51" t="str">
        <f>IFERROR(__xludf.DUMMYFUNCTION("""COMPUTED_VALUE"""),"d915o729")</f>
        <v>d915o729</v>
      </c>
      <c r="B167" s="58">
        <f>IFERROR(__xludf.DUMMYFUNCTION("""COMPUTED_VALUE"""),45095.0)</f>
        <v>45095</v>
      </c>
      <c r="C167" s="59">
        <f>IFERROR(__xludf.DUMMYFUNCTION("""COMPUTED_VALUE"""),45099.0)</f>
        <v>45099</v>
      </c>
      <c r="D167" s="51">
        <f>IFERROR(__xludf.DUMMYFUNCTION("""COMPUTED_VALUE"""),1.0)</f>
        <v>1</v>
      </c>
      <c r="E167" s="51">
        <f>IFERROR(__xludf.DUMMYFUNCTION("""COMPUTED_VALUE"""),3.0)</f>
        <v>3</v>
      </c>
      <c r="F167" s="52">
        <f>IFERROR(__xludf.DUMMYFUNCTION("""COMPUTED_VALUE"""),16000.0)</f>
        <v>16000</v>
      </c>
      <c r="G167" s="49"/>
      <c r="H167" s="51" t="str">
        <f>IFERROR(__xludf.DUMMYFUNCTION("""COMPUTED_VALUE"""),"d1140j30")</f>
        <v>d1140j30</v>
      </c>
      <c r="I167" s="58">
        <f>IFERROR(__xludf.DUMMYFUNCTION("""COMPUTED_VALUE"""),45098.0)</f>
        <v>45098</v>
      </c>
      <c r="J167" s="59">
        <f>IFERROR(__xludf.DUMMYFUNCTION("""COMPUTED_VALUE"""),45099.0)</f>
        <v>45099</v>
      </c>
      <c r="K167" s="51">
        <f>IFERROR(__xludf.DUMMYFUNCTION("""COMPUTED_VALUE"""),4.0)</f>
        <v>4</v>
      </c>
      <c r="L167" s="51">
        <f>IFERROR(__xludf.DUMMYFUNCTION("""COMPUTED_VALUE"""),1.0)</f>
        <v>1</v>
      </c>
      <c r="M167" s="52">
        <f>IFERROR(__xludf.DUMMYFUNCTION("""COMPUTED_VALUE"""),12000.0)</f>
        <v>12000</v>
      </c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51" t="str">
        <f>IFERROR(__xludf.DUMMYFUNCTION("""COMPUTED_VALUE"""),"d003bl19")</f>
        <v>d003bl19</v>
      </c>
      <c r="B168" s="58">
        <f>IFERROR(__xludf.DUMMYFUNCTION("""COMPUTED_VALUE"""),45095.0)</f>
        <v>45095</v>
      </c>
      <c r="C168" s="59">
        <f>IFERROR(__xludf.DUMMYFUNCTION("""COMPUTED_VALUE"""),45100.0)</f>
        <v>45100</v>
      </c>
      <c r="D168" s="51">
        <f>IFERROR(__xludf.DUMMYFUNCTION("""COMPUTED_VALUE"""),1.0)</f>
        <v>1</v>
      </c>
      <c r="E168" s="51">
        <f>IFERROR(__xludf.DUMMYFUNCTION("""COMPUTED_VALUE"""),3.0)</f>
        <v>3</v>
      </c>
      <c r="F168" s="52">
        <f>IFERROR(__xludf.DUMMYFUNCTION("""COMPUTED_VALUE"""),16000.0)</f>
        <v>16000</v>
      </c>
      <c r="G168" s="49"/>
      <c r="H168" s="51" t="str">
        <f>IFERROR(__xludf.DUMMYFUNCTION("""COMPUTED_VALUE"""),"d781so03")</f>
        <v>d781so03</v>
      </c>
      <c r="I168" s="58">
        <f>IFERROR(__xludf.DUMMYFUNCTION("""COMPUTED_VALUE"""),45098.0)</f>
        <v>45098</v>
      </c>
      <c r="J168" s="59">
        <f>IFERROR(__xludf.DUMMYFUNCTION("""COMPUTED_VALUE"""),45101.0)</f>
        <v>45101</v>
      </c>
      <c r="K168" s="51">
        <f>IFERROR(__xludf.DUMMYFUNCTION("""COMPUTED_VALUE"""),4.0)</f>
        <v>4</v>
      </c>
      <c r="L168" s="51">
        <f>IFERROR(__xludf.DUMMYFUNCTION("""COMPUTED_VALUE"""),1.0)</f>
        <v>1</v>
      </c>
      <c r="M168" s="52">
        <f>IFERROR(__xludf.DUMMYFUNCTION("""COMPUTED_VALUE"""),12000.0)</f>
        <v>12000</v>
      </c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51" t="str">
        <f>IFERROR(__xludf.DUMMYFUNCTION("""COMPUTED_VALUE"""),"d795qt18")</f>
        <v>d795qt18</v>
      </c>
      <c r="B169" s="58">
        <f>IFERROR(__xludf.DUMMYFUNCTION("""COMPUTED_VALUE"""),45095.0)</f>
        <v>45095</v>
      </c>
      <c r="C169" s="59">
        <f>IFERROR(__xludf.DUMMYFUNCTION("""COMPUTED_VALUE"""),45097.0)</f>
        <v>45097</v>
      </c>
      <c r="D169" s="51">
        <f>IFERROR(__xludf.DUMMYFUNCTION("""COMPUTED_VALUE"""),1.0)</f>
        <v>1</v>
      </c>
      <c r="E169" s="51">
        <f>IFERROR(__xludf.DUMMYFUNCTION("""COMPUTED_VALUE"""),3.0)</f>
        <v>3</v>
      </c>
      <c r="F169" s="52">
        <f>IFERROR(__xludf.DUMMYFUNCTION("""COMPUTED_VALUE"""),16000.0)</f>
        <v>16000</v>
      </c>
      <c r="G169" s="49"/>
      <c r="H169" s="51" t="str">
        <f>IFERROR(__xludf.DUMMYFUNCTION("""COMPUTED_VALUE"""),"d749q676")</f>
        <v>d749q676</v>
      </c>
      <c r="I169" s="58">
        <f>IFERROR(__xludf.DUMMYFUNCTION("""COMPUTED_VALUE"""),45098.0)</f>
        <v>45098</v>
      </c>
      <c r="J169" s="59">
        <f>IFERROR(__xludf.DUMMYFUNCTION("""COMPUTED_VALUE"""),45102.0)</f>
        <v>45102</v>
      </c>
      <c r="K169" s="51">
        <f>IFERROR(__xludf.DUMMYFUNCTION("""COMPUTED_VALUE"""),2.0)</f>
        <v>2</v>
      </c>
      <c r="L169" s="51">
        <f>IFERROR(__xludf.DUMMYFUNCTION("""COMPUTED_VALUE"""),1.0)</f>
        <v>1</v>
      </c>
      <c r="M169" s="52">
        <f>IFERROR(__xludf.DUMMYFUNCTION("""COMPUTED_VALUE"""),12000.0)</f>
        <v>12000</v>
      </c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51" t="str">
        <f>IFERROR(__xludf.DUMMYFUNCTION("""COMPUTED_VALUE"""),"d744wc42")</f>
        <v>d744wc42</v>
      </c>
      <c r="B170" s="59">
        <f>IFERROR(__xludf.DUMMYFUNCTION("""COMPUTED_VALUE"""),45097.0)</f>
        <v>45097</v>
      </c>
      <c r="C170" s="59">
        <f>IFERROR(__xludf.DUMMYFUNCTION("""COMPUTED_VALUE"""),45101.0)</f>
        <v>45101</v>
      </c>
      <c r="D170" s="51">
        <f>IFERROR(__xludf.DUMMYFUNCTION("""COMPUTED_VALUE"""),1.0)</f>
        <v>1</v>
      </c>
      <c r="E170" s="51">
        <f>IFERROR(__xludf.DUMMYFUNCTION("""COMPUTED_VALUE"""),3.0)</f>
        <v>3</v>
      </c>
      <c r="F170" s="52">
        <f>IFERROR(__xludf.DUMMYFUNCTION("""COMPUTED_VALUE"""),16000.0)</f>
        <v>16000</v>
      </c>
      <c r="G170" s="49"/>
      <c r="H170" s="51" t="str">
        <f>IFERROR(__xludf.DUMMYFUNCTION("""COMPUTED_VALUE"""),"d051mt87")</f>
        <v>d051mt87</v>
      </c>
      <c r="I170" s="58">
        <f>IFERROR(__xludf.DUMMYFUNCTION("""COMPUTED_VALUE"""),45098.0)</f>
        <v>45098</v>
      </c>
      <c r="J170" s="59">
        <f>IFERROR(__xludf.DUMMYFUNCTION("""COMPUTED_VALUE"""),45101.0)</f>
        <v>45101</v>
      </c>
      <c r="K170" s="51">
        <f>IFERROR(__xludf.DUMMYFUNCTION("""COMPUTED_VALUE"""),3.0)</f>
        <v>3</v>
      </c>
      <c r="L170" s="51">
        <f>IFERROR(__xludf.DUMMYFUNCTION("""COMPUTED_VALUE"""),1.0)</f>
        <v>1</v>
      </c>
      <c r="M170" s="52">
        <f>IFERROR(__xludf.DUMMYFUNCTION("""COMPUTED_VALUE"""),12000.0)</f>
        <v>12000</v>
      </c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51" t="str">
        <f>IFERROR(__xludf.DUMMYFUNCTION("""COMPUTED_VALUE"""),"d859h630")</f>
        <v>d859h630</v>
      </c>
      <c r="B171" s="58">
        <f>IFERROR(__xludf.DUMMYFUNCTION("""COMPUTED_VALUE"""),45098.0)</f>
        <v>45098</v>
      </c>
      <c r="C171" s="59">
        <f>IFERROR(__xludf.DUMMYFUNCTION("""COMPUTED_VALUE"""),45101.0)</f>
        <v>45101</v>
      </c>
      <c r="D171" s="51">
        <f>IFERROR(__xludf.DUMMYFUNCTION("""COMPUTED_VALUE"""),1.0)</f>
        <v>1</v>
      </c>
      <c r="E171" s="51">
        <f>IFERROR(__xludf.DUMMYFUNCTION("""COMPUTED_VALUE"""),3.0)</f>
        <v>3</v>
      </c>
      <c r="F171" s="52">
        <f>IFERROR(__xludf.DUMMYFUNCTION("""COMPUTED_VALUE"""),16000.0)</f>
        <v>16000</v>
      </c>
      <c r="G171" s="49"/>
      <c r="H171" s="51" t="str">
        <f>IFERROR(__xludf.DUMMYFUNCTION("""COMPUTED_VALUE"""),"d103pt16")</f>
        <v>d103pt16</v>
      </c>
      <c r="I171" s="59">
        <f>IFERROR(__xludf.DUMMYFUNCTION("""COMPUTED_VALUE"""),45099.0)</f>
        <v>45099</v>
      </c>
      <c r="J171" s="59">
        <f>IFERROR(__xludf.DUMMYFUNCTION("""COMPUTED_VALUE"""),45102.0)</f>
        <v>45102</v>
      </c>
      <c r="K171" s="51">
        <f>IFERROR(__xludf.DUMMYFUNCTION("""COMPUTED_VALUE"""),6.0)</f>
        <v>6</v>
      </c>
      <c r="L171" s="51">
        <f>IFERROR(__xludf.DUMMYFUNCTION("""COMPUTED_VALUE"""),1.0)</f>
        <v>1</v>
      </c>
      <c r="M171" s="52">
        <f>IFERROR(__xludf.DUMMYFUNCTION("""COMPUTED_VALUE"""),12000.0)</f>
        <v>12000</v>
      </c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51" t="str">
        <f>IFERROR(__xludf.DUMMYFUNCTION("""COMPUTED_VALUE"""),"d156s740")</f>
        <v>d156s740</v>
      </c>
      <c r="B172" s="58">
        <f>IFERROR(__xludf.DUMMYFUNCTION("""COMPUTED_VALUE"""),45099.0)</f>
        <v>45099</v>
      </c>
      <c r="C172" s="59">
        <f>IFERROR(__xludf.DUMMYFUNCTION("""COMPUTED_VALUE"""),45101.0)</f>
        <v>45101</v>
      </c>
      <c r="D172" s="51">
        <f>IFERROR(__xludf.DUMMYFUNCTION("""COMPUTED_VALUE"""),1.0)</f>
        <v>1</v>
      </c>
      <c r="E172" s="51">
        <f>IFERROR(__xludf.DUMMYFUNCTION("""COMPUTED_VALUE"""),3.0)</f>
        <v>3</v>
      </c>
      <c r="F172" s="52">
        <f>IFERROR(__xludf.DUMMYFUNCTION("""COMPUTED_VALUE"""),16000.0)</f>
        <v>16000</v>
      </c>
      <c r="G172" s="49"/>
      <c r="H172" s="51" t="str">
        <f>IFERROR(__xludf.DUMMYFUNCTION("""COMPUTED_VALUE"""),"d409d161")</f>
        <v>d409d161</v>
      </c>
      <c r="I172" s="58">
        <f>IFERROR(__xludf.DUMMYFUNCTION("""COMPUTED_VALUE"""),45099.0)</f>
        <v>45099</v>
      </c>
      <c r="J172" s="59">
        <f>IFERROR(__xludf.DUMMYFUNCTION("""COMPUTED_VALUE"""),45101.0)</f>
        <v>45101</v>
      </c>
      <c r="K172" s="51">
        <f>IFERROR(__xludf.DUMMYFUNCTION("""COMPUTED_VALUE"""),4.0)</f>
        <v>4</v>
      </c>
      <c r="L172" s="51">
        <f>IFERROR(__xludf.DUMMYFUNCTION("""COMPUTED_VALUE"""),1.0)</f>
        <v>1</v>
      </c>
      <c r="M172" s="52">
        <f>IFERROR(__xludf.DUMMYFUNCTION("""COMPUTED_VALUE"""),12000.0)</f>
        <v>12000</v>
      </c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51" t="str">
        <f>IFERROR(__xludf.DUMMYFUNCTION("""COMPUTED_VALUE"""),"d166a457")</f>
        <v>d166a457</v>
      </c>
      <c r="B173" s="58">
        <f>IFERROR(__xludf.DUMMYFUNCTION("""COMPUTED_VALUE"""),45099.0)</f>
        <v>45099</v>
      </c>
      <c r="C173" s="59">
        <f>IFERROR(__xludf.DUMMYFUNCTION("""COMPUTED_VALUE"""),45100.0)</f>
        <v>45100</v>
      </c>
      <c r="D173" s="51">
        <f>IFERROR(__xludf.DUMMYFUNCTION("""COMPUTED_VALUE"""),1.0)</f>
        <v>1</v>
      </c>
      <c r="E173" s="51">
        <f>IFERROR(__xludf.DUMMYFUNCTION("""COMPUTED_VALUE"""),3.0)</f>
        <v>3</v>
      </c>
      <c r="F173" s="52">
        <f>IFERROR(__xludf.DUMMYFUNCTION("""COMPUTED_VALUE"""),16000.0)</f>
        <v>16000</v>
      </c>
      <c r="G173" s="49"/>
      <c r="H173" s="51" t="str">
        <f>IFERROR(__xludf.DUMMYFUNCTION("""COMPUTED_VALUE"""),"d529u337")</f>
        <v>d529u337</v>
      </c>
      <c r="I173" s="58">
        <f>IFERROR(__xludf.DUMMYFUNCTION("""COMPUTED_VALUE"""),45099.0)</f>
        <v>45099</v>
      </c>
      <c r="J173" s="59">
        <f>IFERROR(__xludf.DUMMYFUNCTION("""COMPUTED_VALUE"""),45104.0)</f>
        <v>45104</v>
      </c>
      <c r="K173" s="51">
        <f>IFERROR(__xludf.DUMMYFUNCTION("""COMPUTED_VALUE"""),6.0)</f>
        <v>6</v>
      </c>
      <c r="L173" s="51">
        <f>IFERROR(__xludf.DUMMYFUNCTION("""COMPUTED_VALUE"""),1.0)</f>
        <v>1</v>
      </c>
      <c r="M173" s="52">
        <f>IFERROR(__xludf.DUMMYFUNCTION("""COMPUTED_VALUE"""),12000.0)</f>
        <v>12000</v>
      </c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51" t="str">
        <f>IFERROR(__xludf.DUMMYFUNCTION("""COMPUTED_VALUE"""),"d9678m96")</f>
        <v>d9678m96</v>
      </c>
      <c r="B174" s="58">
        <f>IFERROR(__xludf.DUMMYFUNCTION("""COMPUTED_VALUE"""),45100.0)</f>
        <v>45100</v>
      </c>
      <c r="C174" s="59">
        <f>IFERROR(__xludf.DUMMYFUNCTION("""COMPUTED_VALUE"""),45102.0)</f>
        <v>45102</v>
      </c>
      <c r="D174" s="51">
        <f>IFERROR(__xludf.DUMMYFUNCTION("""COMPUTED_VALUE"""),1.0)</f>
        <v>1</v>
      </c>
      <c r="E174" s="51">
        <f>IFERROR(__xludf.DUMMYFUNCTION("""COMPUTED_VALUE"""),3.0)</f>
        <v>3</v>
      </c>
      <c r="F174" s="52">
        <f>IFERROR(__xludf.DUMMYFUNCTION("""COMPUTED_VALUE"""),16000.0)</f>
        <v>16000</v>
      </c>
      <c r="G174" s="49"/>
      <c r="H174" s="51" t="str">
        <f>IFERROR(__xludf.DUMMYFUNCTION("""COMPUTED_VALUE"""),"d553zk95")</f>
        <v>d553zk95</v>
      </c>
      <c r="I174" s="58">
        <f>IFERROR(__xludf.DUMMYFUNCTION("""COMPUTED_VALUE"""),45099.0)</f>
        <v>45099</v>
      </c>
      <c r="J174" s="59">
        <f>IFERROR(__xludf.DUMMYFUNCTION("""COMPUTED_VALUE"""),45100.0)</f>
        <v>45100</v>
      </c>
      <c r="K174" s="51">
        <f>IFERROR(__xludf.DUMMYFUNCTION("""COMPUTED_VALUE"""),6.0)</f>
        <v>6</v>
      </c>
      <c r="L174" s="51">
        <f>IFERROR(__xludf.DUMMYFUNCTION("""COMPUTED_VALUE"""),1.0)</f>
        <v>1</v>
      </c>
      <c r="M174" s="52">
        <f>IFERROR(__xludf.DUMMYFUNCTION("""COMPUTED_VALUE"""),12000.0)</f>
        <v>12000</v>
      </c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51" t="str">
        <f>IFERROR(__xludf.DUMMYFUNCTION("""COMPUTED_VALUE"""),"d457qh60")</f>
        <v>d457qh60</v>
      </c>
      <c r="B175" s="58">
        <f>IFERROR(__xludf.DUMMYFUNCTION("""COMPUTED_VALUE"""),45100.0)</f>
        <v>45100</v>
      </c>
      <c r="C175" s="59">
        <f>IFERROR(__xludf.DUMMYFUNCTION("""COMPUTED_VALUE"""),45101.0)</f>
        <v>45101</v>
      </c>
      <c r="D175" s="51">
        <f>IFERROR(__xludf.DUMMYFUNCTION("""COMPUTED_VALUE"""),1.0)</f>
        <v>1</v>
      </c>
      <c r="E175" s="51">
        <f>IFERROR(__xludf.DUMMYFUNCTION("""COMPUTED_VALUE"""),3.0)</f>
        <v>3</v>
      </c>
      <c r="F175" s="52">
        <f>IFERROR(__xludf.DUMMYFUNCTION("""COMPUTED_VALUE"""),16000.0)</f>
        <v>16000</v>
      </c>
      <c r="G175" s="49"/>
      <c r="H175" s="51" t="str">
        <f>IFERROR(__xludf.DUMMYFUNCTION("""COMPUTED_VALUE"""),"d310zv35")</f>
        <v>d310zv35</v>
      </c>
      <c r="I175" s="58">
        <f>IFERROR(__xludf.DUMMYFUNCTION("""COMPUTED_VALUE"""),45099.0)</f>
        <v>45099</v>
      </c>
      <c r="J175" s="59">
        <f>IFERROR(__xludf.DUMMYFUNCTION("""COMPUTED_VALUE"""),45102.0)</f>
        <v>45102</v>
      </c>
      <c r="K175" s="51">
        <f>IFERROR(__xludf.DUMMYFUNCTION("""COMPUTED_VALUE"""),3.0)</f>
        <v>3</v>
      </c>
      <c r="L175" s="51">
        <f>IFERROR(__xludf.DUMMYFUNCTION("""COMPUTED_VALUE"""),1.0)</f>
        <v>1</v>
      </c>
      <c r="M175" s="52">
        <f>IFERROR(__xludf.DUMMYFUNCTION("""COMPUTED_VALUE"""),12000.0)</f>
        <v>12000</v>
      </c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51" t="str">
        <f>IFERROR(__xludf.DUMMYFUNCTION("""COMPUTED_VALUE"""),"d922zp98")</f>
        <v>d922zp98</v>
      </c>
      <c r="B176" s="58">
        <f>IFERROR(__xludf.DUMMYFUNCTION("""COMPUTED_VALUE"""),45101.0)</f>
        <v>45101</v>
      </c>
      <c r="C176" s="59">
        <f>IFERROR(__xludf.DUMMYFUNCTION("""COMPUTED_VALUE"""),45103.0)</f>
        <v>45103</v>
      </c>
      <c r="D176" s="51">
        <f>IFERROR(__xludf.DUMMYFUNCTION("""COMPUTED_VALUE"""),1.0)</f>
        <v>1</v>
      </c>
      <c r="E176" s="51">
        <f>IFERROR(__xludf.DUMMYFUNCTION("""COMPUTED_VALUE"""),3.0)</f>
        <v>3</v>
      </c>
      <c r="F176" s="52">
        <f>IFERROR(__xludf.DUMMYFUNCTION("""COMPUTED_VALUE"""),16000.0)</f>
        <v>16000</v>
      </c>
      <c r="G176" s="49"/>
      <c r="H176" s="51" t="str">
        <f>IFERROR(__xludf.DUMMYFUNCTION("""COMPUTED_VALUE"""),"d5042i47")</f>
        <v>d5042i47</v>
      </c>
      <c r="I176" s="58">
        <f>IFERROR(__xludf.DUMMYFUNCTION("""COMPUTED_VALUE"""),45099.0)</f>
        <v>45099</v>
      </c>
      <c r="J176" s="59">
        <f>IFERROR(__xludf.DUMMYFUNCTION("""COMPUTED_VALUE"""),45102.0)</f>
        <v>45102</v>
      </c>
      <c r="K176" s="51">
        <f>IFERROR(__xludf.DUMMYFUNCTION("""COMPUTED_VALUE"""),6.0)</f>
        <v>6</v>
      </c>
      <c r="L176" s="51">
        <f>IFERROR(__xludf.DUMMYFUNCTION("""COMPUTED_VALUE"""),1.0)</f>
        <v>1</v>
      </c>
      <c r="M176" s="52">
        <f>IFERROR(__xludf.DUMMYFUNCTION("""COMPUTED_VALUE"""),12000.0)</f>
        <v>12000</v>
      </c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51" t="str">
        <f>IFERROR(__xludf.DUMMYFUNCTION("""COMPUTED_VALUE"""),"d376fg86")</f>
        <v>d376fg86</v>
      </c>
      <c r="B177" s="58">
        <f>IFERROR(__xludf.DUMMYFUNCTION("""COMPUTED_VALUE"""),45103.0)</f>
        <v>45103</v>
      </c>
      <c r="C177" s="59">
        <f>IFERROR(__xludf.DUMMYFUNCTION("""COMPUTED_VALUE"""),45108.0)</f>
        <v>45108</v>
      </c>
      <c r="D177" s="51">
        <f>IFERROR(__xludf.DUMMYFUNCTION("""COMPUTED_VALUE"""),1.0)</f>
        <v>1</v>
      </c>
      <c r="E177" s="51">
        <f>IFERROR(__xludf.DUMMYFUNCTION("""COMPUTED_VALUE"""),3.0)</f>
        <v>3</v>
      </c>
      <c r="F177" s="52">
        <f>IFERROR(__xludf.DUMMYFUNCTION("""COMPUTED_VALUE"""),16000.0)</f>
        <v>16000</v>
      </c>
      <c r="G177" s="49"/>
      <c r="H177" s="51" t="str">
        <f>IFERROR(__xludf.DUMMYFUNCTION("""COMPUTED_VALUE"""),"d064mx64")</f>
        <v>d064mx64</v>
      </c>
      <c r="I177" s="58">
        <f>IFERROR(__xludf.DUMMYFUNCTION("""COMPUTED_VALUE"""),45099.0)</f>
        <v>45099</v>
      </c>
      <c r="J177" s="59">
        <f>IFERROR(__xludf.DUMMYFUNCTION("""COMPUTED_VALUE"""),45104.0)</f>
        <v>45104</v>
      </c>
      <c r="K177" s="51">
        <f>IFERROR(__xludf.DUMMYFUNCTION("""COMPUTED_VALUE"""),6.0)</f>
        <v>6</v>
      </c>
      <c r="L177" s="51">
        <f>IFERROR(__xludf.DUMMYFUNCTION("""COMPUTED_VALUE"""),1.0)</f>
        <v>1</v>
      </c>
      <c r="M177" s="52">
        <f>IFERROR(__xludf.DUMMYFUNCTION("""COMPUTED_VALUE"""),12000.0)</f>
        <v>12000</v>
      </c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51" t="str">
        <f>IFERROR(__xludf.DUMMYFUNCTION("""COMPUTED_VALUE"""),"d578xz17")</f>
        <v>d578xz17</v>
      </c>
      <c r="B178" s="58">
        <f>IFERROR(__xludf.DUMMYFUNCTION("""COMPUTED_VALUE"""),45103.0)</f>
        <v>45103</v>
      </c>
      <c r="C178" s="59">
        <f>IFERROR(__xludf.DUMMYFUNCTION("""COMPUTED_VALUE"""),45107.0)</f>
        <v>45107</v>
      </c>
      <c r="D178" s="51">
        <f>IFERROR(__xludf.DUMMYFUNCTION("""COMPUTED_VALUE"""),1.0)</f>
        <v>1</v>
      </c>
      <c r="E178" s="51">
        <f>IFERROR(__xludf.DUMMYFUNCTION("""COMPUTED_VALUE"""),3.0)</f>
        <v>3</v>
      </c>
      <c r="F178" s="52">
        <f>IFERROR(__xludf.DUMMYFUNCTION("""COMPUTED_VALUE"""),16000.0)</f>
        <v>16000</v>
      </c>
      <c r="G178" s="49"/>
      <c r="H178" s="51" t="str">
        <f>IFERROR(__xludf.DUMMYFUNCTION("""COMPUTED_VALUE"""),"d0548s96")</f>
        <v>d0548s96</v>
      </c>
      <c r="I178" s="58">
        <f>IFERROR(__xludf.DUMMYFUNCTION("""COMPUTED_VALUE"""),45099.0)</f>
        <v>45099</v>
      </c>
      <c r="J178" s="59">
        <f>IFERROR(__xludf.DUMMYFUNCTION("""COMPUTED_VALUE"""),45104.0)</f>
        <v>45104</v>
      </c>
      <c r="K178" s="51">
        <f>IFERROR(__xludf.DUMMYFUNCTION("""COMPUTED_VALUE"""),4.0)</f>
        <v>4</v>
      </c>
      <c r="L178" s="51">
        <f>IFERROR(__xludf.DUMMYFUNCTION("""COMPUTED_VALUE"""),1.0)</f>
        <v>1</v>
      </c>
      <c r="M178" s="52">
        <f>IFERROR(__xludf.DUMMYFUNCTION("""COMPUTED_VALUE"""),12000.0)</f>
        <v>12000</v>
      </c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51" t="str">
        <f>IFERROR(__xludf.DUMMYFUNCTION("""COMPUTED_VALUE"""),"d147d513")</f>
        <v>d147d513</v>
      </c>
      <c r="B179" s="58">
        <f>IFERROR(__xludf.DUMMYFUNCTION("""COMPUTED_VALUE"""),45103.0)</f>
        <v>45103</v>
      </c>
      <c r="C179" s="59">
        <f>IFERROR(__xludf.DUMMYFUNCTION("""COMPUTED_VALUE"""),45106.0)</f>
        <v>45106</v>
      </c>
      <c r="D179" s="51">
        <f>IFERROR(__xludf.DUMMYFUNCTION("""COMPUTED_VALUE"""),1.0)</f>
        <v>1</v>
      </c>
      <c r="E179" s="51">
        <f>IFERROR(__xludf.DUMMYFUNCTION("""COMPUTED_VALUE"""),3.0)</f>
        <v>3</v>
      </c>
      <c r="F179" s="52">
        <f>IFERROR(__xludf.DUMMYFUNCTION("""COMPUTED_VALUE"""),16000.0)</f>
        <v>16000</v>
      </c>
      <c r="G179" s="49"/>
      <c r="H179" s="51" t="str">
        <f>IFERROR(__xludf.DUMMYFUNCTION("""COMPUTED_VALUE"""),"d4581513")</f>
        <v>d4581513</v>
      </c>
      <c r="I179" s="58">
        <f>IFERROR(__xludf.DUMMYFUNCTION("""COMPUTED_VALUE"""),45100.0)</f>
        <v>45100</v>
      </c>
      <c r="J179" s="59">
        <f>IFERROR(__xludf.DUMMYFUNCTION("""COMPUTED_VALUE"""),45103.0)</f>
        <v>45103</v>
      </c>
      <c r="K179" s="51">
        <f>IFERROR(__xludf.DUMMYFUNCTION("""COMPUTED_VALUE"""),3.0)</f>
        <v>3</v>
      </c>
      <c r="L179" s="51">
        <f>IFERROR(__xludf.DUMMYFUNCTION("""COMPUTED_VALUE"""),1.0)</f>
        <v>1</v>
      </c>
      <c r="M179" s="52">
        <f>IFERROR(__xludf.DUMMYFUNCTION("""COMPUTED_VALUE"""),12000.0)</f>
        <v>12000</v>
      </c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51" t="str">
        <f>IFERROR(__xludf.DUMMYFUNCTION("""COMPUTED_VALUE"""),"d779gi38")</f>
        <v>d779gi38</v>
      </c>
      <c r="B180" s="58">
        <f>IFERROR(__xludf.DUMMYFUNCTION("""COMPUTED_VALUE"""),45104.0)</f>
        <v>45104</v>
      </c>
      <c r="C180" s="59">
        <f>IFERROR(__xludf.DUMMYFUNCTION("""COMPUTED_VALUE"""),45109.0)</f>
        <v>45109</v>
      </c>
      <c r="D180" s="51">
        <f>IFERROR(__xludf.DUMMYFUNCTION("""COMPUTED_VALUE"""),1.0)</f>
        <v>1</v>
      </c>
      <c r="E180" s="51">
        <f>IFERROR(__xludf.DUMMYFUNCTION("""COMPUTED_VALUE"""),3.0)</f>
        <v>3</v>
      </c>
      <c r="F180" s="52">
        <f>IFERROR(__xludf.DUMMYFUNCTION("""COMPUTED_VALUE"""),16000.0)</f>
        <v>16000</v>
      </c>
      <c r="G180" s="49"/>
      <c r="H180" s="51" t="str">
        <f>IFERROR(__xludf.DUMMYFUNCTION("""COMPUTED_VALUE"""),"d997m694")</f>
        <v>d997m694</v>
      </c>
      <c r="I180" s="58">
        <f>IFERROR(__xludf.DUMMYFUNCTION("""COMPUTED_VALUE"""),45100.0)</f>
        <v>45100</v>
      </c>
      <c r="J180" s="59">
        <f>IFERROR(__xludf.DUMMYFUNCTION("""COMPUTED_VALUE"""),45104.0)</f>
        <v>45104</v>
      </c>
      <c r="K180" s="51">
        <f>IFERROR(__xludf.DUMMYFUNCTION("""COMPUTED_VALUE"""),2.0)</f>
        <v>2</v>
      </c>
      <c r="L180" s="51">
        <f>IFERROR(__xludf.DUMMYFUNCTION("""COMPUTED_VALUE"""),1.0)</f>
        <v>1</v>
      </c>
      <c r="M180" s="52">
        <f>IFERROR(__xludf.DUMMYFUNCTION("""COMPUTED_VALUE"""),12000.0)</f>
        <v>12000</v>
      </c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51" t="str">
        <f>IFERROR(__xludf.DUMMYFUNCTION("""COMPUTED_VALUE"""),"d544wj43")</f>
        <v>d544wj43</v>
      </c>
      <c r="B181" s="58">
        <f>IFERROR(__xludf.DUMMYFUNCTION("""COMPUTED_VALUE"""),45104.0)</f>
        <v>45104</v>
      </c>
      <c r="C181" s="59">
        <f>IFERROR(__xludf.DUMMYFUNCTION("""COMPUTED_VALUE"""),45108.0)</f>
        <v>45108</v>
      </c>
      <c r="D181" s="51">
        <f>IFERROR(__xludf.DUMMYFUNCTION("""COMPUTED_VALUE"""),1.0)</f>
        <v>1</v>
      </c>
      <c r="E181" s="51">
        <f>IFERROR(__xludf.DUMMYFUNCTION("""COMPUTED_VALUE"""),3.0)</f>
        <v>3</v>
      </c>
      <c r="F181" s="52">
        <f>IFERROR(__xludf.DUMMYFUNCTION("""COMPUTED_VALUE"""),16000.0)</f>
        <v>16000</v>
      </c>
      <c r="G181" s="49"/>
      <c r="H181" s="51" t="str">
        <f>IFERROR(__xludf.DUMMYFUNCTION("""COMPUTED_VALUE"""),"d018wu02")</f>
        <v>d018wu02</v>
      </c>
      <c r="I181" s="58">
        <f>IFERROR(__xludf.DUMMYFUNCTION("""COMPUTED_VALUE"""),45100.0)</f>
        <v>45100</v>
      </c>
      <c r="J181" s="59">
        <f>IFERROR(__xludf.DUMMYFUNCTION("""COMPUTED_VALUE"""),45102.0)</f>
        <v>45102</v>
      </c>
      <c r="K181" s="51">
        <f>IFERROR(__xludf.DUMMYFUNCTION("""COMPUTED_VALUE"""),6.0)</f>
        <v>6</v>
      </c>
      <c r="L181" s="51">
        <f>IFERROR(__xludf.DUMMYFUNCTION("""COMPUTED_VALUE"""),1.0)</f>
        <v>1</v>
      </c>
      <c r="M181" s="52">
        <f>IFERROR(__xludf.DUMMYFUNCTION("""COMPUTED_VALUE"""),12000.0)</f>
        <v>12000</v>
      </c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51" t="str">
        <f>IFERROR(__xludf.DUMMYFUNCTION("""COMPUTED_VALUE"""),"d064uo21")</f>
        <v>d064uo21</v>
      </c>
      <c r="B182" s="58">
        <f>IFERROR(__xludf.DUMMYFUNCTION("""COMPUTED_VALUE"""),45105.0)</f>
        <v>45105</v>
      </c>
      <c r="C182" s="59">
        <f>IFERROR(__xludf.DUMMYFUNCTION("""COMPUTED_VALUE"""),45110.0)</f>
        <v>45110</v>
      </c>
      <c r="D182" s="51">
        <f>IFERROR(__xludf.DUMMYFUNCTION("""COMPUTED_VALUE"""),1.0)</f>
        <v>1</v>
      </c>
      <c r="E182" s="51">
        <f>IFERROR(__xludf.DUMMYFUNCTION("""COMPUTED_VALUE"""),3.0)</f>
        <v>3</v>
      </c>
      <c r="F182" s="52">
        <f>IFERROR(__xludf.DUMMYFUNCTION("""COMPUTED_VALUE"""),16000.0)</f>
        <v>16000</v>
      </c>
      <c r="G182" s="49"/>
      <c r="H182" s="51" t="str">
        <f>IFERROR(__xludf.DUMMYFUNCTION("""COMPUTED_VALUE"""),"d369qn02")</f>
        <v>d369qn02</v>
      </c>
      <c r="I182" s="58">
        <f>IFERROR(__xludf.DUMMYFUNCTION("""COMPUTED_VALUE"""),45100.0)</f>
        <v>45100</v>
      </c>
      <c r="J182" s="59">
        <f>IFERROR(__xludf.DUMMYFUNCTION("""COMPUTED_VALUE"""),45101.0)</f>
        <v>45101</v>
      </c>
      <c r="K182" s="51">
        <f>IFERROR(__xludf.DUMMYFUNCTION("""COMPUTED_VALUE"""),2.0)</f>
        <v>2</v>
      </c>
      <c r="L182" s="51">
        <f>IFERROR(__xludf.DUMMYFUNCTION("""COMPUTED_VALUE"""),1.0)</f>
        <v>1</v>
      </c>
      <c r="M182" s="52">
        <f>IFERROR(__xludf.DUMMYFUNCTION("""COMPUTED_VALUE"""),12000.0)</f>
        <v>12000</v>
      </c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51" t="str">
        <f>IFERROR(__xludf.DUMMYFUNCTION("""COMPUTED_VALUE"""),"d528xj05")</f>
        <v>d528xj05</v>
      </c>
      <c r="B183" s="58">
        <f>IFERROR(__xludf.DUMMYFUNCTION("""COMPUTED_VALUE"""),45106.0)</f>
        <v>45106</v>
      </c>
      <c r="C183" s="59">
        <f>IFERROR(__xludf.DUMMYFUNCTION("""COMPUTED_VALUE"""),45110.0)</f>
        <v>45110</v>
      </c>
      <c r="D183" s="51">
        <f>IFERROR(__xludf.DUMMYFUNCTION("""COMPUTED_VALUE"""),1.0)</f>
        <v>1</v>
      </c>
      <c r="E183" s="51">
        <f>IFERROR(__xludf.DUMMYFUNCTION("""COMPUTED_VALUE"""),3.0)</f>
        <v>3</v>
      </c>
      <c r="F183" s="52">
        <f>IFERROR(__xludf.DUMMYFUNCTION("""COMPUTED_VALUE"""),16000.0)</f>
        <v>16000</v>
      </c>
      <c r="G183" s="49"/>
      <c r="H183" s="51" t="str">
        <f>IFERROR(__xludf.DUMMYFUNCTION("""COMPUTED_VALUE"""),"d030o029")</f>
        <v>d030o029</v>
      </c>
      <c r="I183" s="58">
        <f>IFERROR(__xludf.DUMMYFUNCTION("""COMPUTED_VALUE"""),45100.0)</f>
        <v>45100</v>
      </c>
      <c r="J183" s="59">
        <f>IFERROR(__xludf.DUMMYFUNCTION("""COMPUTED_VALUE"""),45101.0)</f>
        <v>45101</v>
      </c>
      <c r="K183" s="51">
        <f>IFERROR(__xludf.DUMMYFUNCTION("""COMPUTED_VALUE"""),1.0)</f>
        <v>1</v>
      </c>
      <c r="L183" s="51">
        <f>IFERROR(__xludf.DUMMYFUNCTION("""COMPUTED_VALUE"""),1.0)</f>
        <v>1</v>
      </c>
      <c r="M183" s="52">
        <f>IFERROR(__xludf.DUMMYFUNCTION("""COMPUTED_VALUE"""),12000.0)</f>
        <v>12000</v>
      </c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51" t="str">
        <f>IFERROR(__xludf.DUMMYFUNCTION("""COMPUTED_VALUE"""),"d3661l77")</f>
        <v>d3661l77</v>
      </c>
      <c r="B184" s="58">
        <f>IFERROR(__xludf.DUMMYFUNCTION("""COMPUTED_VALUE"""),45107.0)</f>
        <v>45107</v>
      </c>
      <c r="C184" s="59">
        <f>IFERROR(__xludf.DUMMYFUNCTION("""COMPUTED_VALUE"""),45112.0)</f>
        <v>45112</v>
      </c>
      <c r="D184" s="51">
        <f>IFERROR(__xludf.DUMMYFUNCTION("""COMPUTED_VALUE"""),1.0)</f>
        <v>1</v>
      </c>
      <c r="E184" s="51">
        <f>IFERROR(__xludf.DUMMYFUNCTION("""COMPUTED_VALUE"""),3.0)</f>
        <v>3</v>
      </c>
      <c r="F184" s="52">
        <f>IFERROR(__xludf.DUMMYFUNCTION("""COMPUTED_VALUE"""),16000.0)</f>
        <v>16000</v>
      </c>
      <c r="G184" s="49"/>
      <c r="H184" s="51" t="str">
        <f>IFERROR(__xludf.DUMMYFUNCTION("""COMPUTED_VALUE"""),"d360lf55")</f>
        <v>d360lf55</v>
      </c>
      <c r="I184" s="58">
        <f>IFERROR(__xludf.DUMMYFUNCTION("""COMPUTED_VALUE"""),45100.0)</f>
        <v>45100</v>
      </c>
      <c r="J184" s="59">
        <f>IFERROR(__xludf.DUMMYFUNCTION("""COMPUTED_VALUE"""),45103.0)</f>
        <v>45103</v>
      </c>
      <c r="K184" s="51">
        <f>IFERROR(__xludf.DUMMYFUNCTION("""COMPUTED_VALUE"""),1.0)</f>
        <v>1</v>
      </c>
      <c r="L184" s="51">
        <f>IFERROR(__xludf.DUMMYFUNCTION("""COMPUTED_VALUE"""),1.0)</f>
        <v>1</v>
      </c>
      <c r="M184" s="52">
        <f>IFERROR(__xludf.DUMMYFUNCTION("""COMPUTED_VALUE"""),12000.0)</f>
        <v>12000</v>
      </c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51" t="str">
        <f>IFERROR(__xludf.DUMMYFUNCTION("""COMPUTED_VALUE"""),"d4320895")</f>
        <v>d4320895</v>
      </c>
      <c r="B185" s="58">
        <f>IFERROR(__xludf.DUMMYFUNCTION("""COMPUTED_VALUE"""),45107.0)</f>
        <v>45107</v>
      </c>
      <c r="C185" s="59">
        <f>IFERROR(__xludf.DUMMYFUNCTION("""COMPUTED_VALUE"""),45109.0)</f>
        <v>45109</v>
      </c>
      <c r="D185" s="51">
        <f>IFERROR(__xludf.DUMMYFUNCTION("""COMPUTED_VALUE"""),1.0)</f>
        <v>1</v>
      </c>
      <c r="E185" s="51">
        <f>IFERROR(__xludf.DUMMYFUNCTION("""COMPUTED_VALUE"""),3.0)</f>
        <v>3</v>
      </c>
      <c r="F185" s="52">
        <f>IFERROR(__xludf.DUMMYFUNCTION("""COMPUTED_VALUE"""),16000.0)</f>
        <v>16000</v>
      </c>
      <c r="G185" s="49"/>
      <c r="H185" s="51" t="str">
        <f>IFERROR(__xludf.DUMMYFUNCTION("""COMPUTED_VALUE"""),"d824dt41")</f>
        <v>d824dt41</v>
      </c>
      <c r="I185" s="58">
        <f>IFERROR(__xludf.DUMMYFUNCTION("""COMPUTED_VALUE"""),45100.0)</f>
        <v>45100</v>
      </c>
      <c r="J185" s="59">
        <f>IFERROR(__xludf.DUMMYFUNCTION("""COMPUTED_VALUE"""),45101.0)</f>
        <v>45101</v>
      </c>
      <c r="K185" s="51">
        <f>IFERROR(__xludf.DUMMYFUNCTION("""COMPUTED_VALUE"""),6.0)</f>
        <v>6</v>
      </c>
      <c r="L185" s="51">
        <f>IFERROR(__xludf.DUMMYFUNCTION("""COMPUTED_VALUE"""),1.0)</f>
        <v>1</v>
      </c>
      <c r="M185" s="52">
        <f>IFERROR(__xludf.DUMMYFUNCTION("""COMPUTED_VALUE"""),12000.0)</f>
        <v>12000</v>
      </c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51" t="str">
        <f>IFERROR(__xludf.DUMMYFUNCTION("""COMPUTED_VALUE"""),"d1534w11")</f>
        <v>d1534w11</v>
      </c>
      <c r="I186" s="58">
        <f>IFERROR(__xludf.DUMMYFUNCTION("""COMPUTED_VALUE"""),45100.0)</f>
        <v>45100</v>
      </c>
      <c r="J186" s="59">
        <f>IFERROR(__xludf.DUMMYFUNCTION("""COMPUTED_VALUE"""),45105.0)</f>
        <v>45105</v>
      </c>
      <c r="K186" s="51">
        <f>IFERROR(__xludf.DUMMYFUNCTION("""COMPUTED_VALUE"""),4.0)</f>
        <v>4</v>
      </c>
      <c r="L186" s="51">
        <f>IFERROR(__xludf.DUMMYFUNCTION("""COMPUTED_VALUE"""),1.0)</f>
        <v>1</v>
      </c>
      <c r="M186" s="52">
        <f>IFERROR(__xludf.DUMMYFUNCTION("""COMPUTED_VALUE"""),12000.0)</f>
        <v>12000</v>
      </c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51" t="str">
        <f>IFERROR(__xludf.DUMMYFUNCTION("""COMPUTED_VALUE"""),"d364he35")</f>
        <v>d364he35</v>
      </c>
      <c r="I187" s="58">
        <f>IFERROR(__xludf.DUMMYFUNCTION("""COMPUTED_VALUE"""),45101.0)</f>
        <v>45101</v>
      </c>
      <c r="J187" s="59">
        <f>IFERROR(__xludf.DUMMYFUNCTION("""COMPUTED_VALUE"""),45106.0)</f>
        <v>45106</v>
      </c>
      <c r="K187" s="51">
        <f>IFERROR(__xludf.DUMMYFUNCTION("""COMPUTED_VALUE"""),5.0)</f>
        <v>5</v>
      </c>
      <c r="L187" s="51">
        <f>IFERROR(__xludf.DUMMYFUNCTION("""COMPUTED_VALUE"""),1.0)</f>
        <v>1</v>
      </c>
      <c r="M187" s="52">
        <f>IFERROR(__xludf.DUMMYFUNCTION("""COMPUTED_VALUE"""),12000.0)</f>
        <v>12000</v>
      </c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51" t="str">
        <f>IFERROR(__xludf.DUMMYFUNCTION("""COMPUTED_VALUE"""),"d994cc10")</f>
        <v>d994cc10</v>
      </c>
      <c r="I188" s="58">
        <f>IFERROR(__xludf.DUMMYFUNCTION("""COMPUTED_VALUE"""),45101.0)</f>
        <v>45101</v>
      </c>
      <c r="J188" s="59">
        <f>IFERROR(__xludf.DUMMYFUNCTION("""COMPUTED_VALUE"""),45103.0)</f>
        <v>45103</v>
      </c>
      <c r="K188" s="51">
        <f>IFERROR(__xludf.DUMMYFUNCTION("""COMPUTED_VALUE"""),1.0)</f>
        <v>1</v>
      </c>
      <c r="L188" s="51">
        <f>IFERROR(__xludf.DUMMYFUNCTION("""COMPUTED_VALUE"""),1.0)</f>
        <v>1</v>
      </c>
      <c r="M188" s="52">
        <f>IFERROR(__xludf.DUMMYFUNCTION("""COMPUTED_VALUE"""),12000.0)</f>
        <v>12000</v>
      </c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51" t="str">
        <f>IFERROR(__xludf.DUMMYFUNCTION("""COMPUTED_VALUE"""),"d5451e99")</f>
        <v>d5451e99</v>
      </c>
      <c r="I189" s="58">
        <f>IFERROR(__xludf.DUMMYFUNCTION("""COMPUTED_VALUE"""),45101.0)</f>
        <v>45101</v>
      </c>
      <c r="J189" s="59">
        <f>IFERROR(__xludf.DUMMYFUNCTION("""COMPUTED_VALUE"""),45104.0)</f>
        <v>45104</v>
      </c>
      <c r="K189" s="51">
        <f>IFERROR(__xludf.DUMMYFUNCTION("""COMPUTED_VALUE"""),4.0)</f>
        <v>4</v>
      </c>
      <c r="L189" s="51">
        <f>IFERROR(__xludf.DUMMYFUNCTION("""COMPUTED_VALUE"""),1.0)</f>
        <v>1</v>
      </c>
      <c r="M189" s="52">
        <f>IFERROR(__xludf.DUMMYFUNCTION("""COMPUTED_VALUE"""),12000.0)</f>
        <v>12000</v>
      </c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51" t="str">
        <f>IFERROR(__xludf.DUMMYFUNCTION("""COMPUTED_VALUE"""),"d512uf06")</f>
        <v>d512uf06</v>
      </c>
      <c r="I190" s="58">
        <f>IFERROR(__xludf.DUMMYFUNCTION("""COMPUTED_VALUE"""),45101.0)</f>
        <v>45101</v>
      </c>
      <c r="J190" s="59">
        <f>IFERROR(__xludf.DUMMYFUNCTION("""COMPUTED_VALUE"""),45106.0)</f>
        <v>45106</v>
      </c>
      <c r="K190" s="51">
        <f>IFERROR(__xludf.DUMMYFUNCTION("""COMPUTED_VALUE"""),3.0)</f>
        <v>3</v>
      </c>
      <c r="L190" s="51">
        <f>IFERROR(__xludf.DUMMYFUNCTION("""COMPUTED_VALUE"""),1.0)</f>
        <v>1</v>
      </c>
      <c r="M190" s="52">
        <f>IFERROR(__xludf.DUMMYFUNCTION("""COMPUTED_VALUE"""),12000.0)</f>
        <v>12000</v>
      </c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51" t="str">
        <f>IFERROR(__xludf.DUMMYFUNCTION("""COMPUTED_VALUE"""),"d6102l95")</f>
        <v>d6102l95</v>
      </c>
      <c r="I191" s="58">
        <f>IFERROR(__xludf.DUMMYFUNCTION("""COMPUTED_VALUE"""),45101.0)</f>
        <v>45101</v>
      </c>
      <c r="J191" s="59">
        <f>IFERROR(__xludf.DUMMYFUNCTION("""COMPUTED_VALUE"""),45106.0)</f>
        <v>45106</v>
      </c>
      <c r="K191" s="51">
        <f>IFERROR(__xludf.DUMMYFUNCTION("""COMPUTED_VALUE"""),4.0)</f>
        <v>4</v>
      </c>
      <c r="L191" s="51">
        <f>IFERROR(__xludf.DUMMYFUNCTION("""COMPUTED_VALUE"""),1.0)</f>
        <v>1</v>
      </c>
      <c r="M191" s="52">
        <f>IFERROR(__xludf.DUMMYFUNCTION("""COMPUTED_VALUE"""),12000.0)</f>
        <v>12000</v>
      </c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51" t="str">
        <f>IFERROR(__xludf.DUMMYFUNCTION("""COMPUTED_VALUE"""),"d7342t21")</f>
        <v>d7342t21</v>
      </c>
      <c r="I192" s="58">
        <f>IFERROR(__xludf.DUMMYFUNCTION("""COMPUTED_VALUE"""),45101.0)</f>
        <v>45101</v>
      </c>
      <c r="J192" s="59">
        <f>IFERROR(__xludf.DUMMYFUNCTION("""COMPUTED_VALUE"""),45103.0)</f>
        <v>45103</v>
      </c>
      <c r="K192" s="51">
        <f>IFERROR(__xludf.DUMMYFUNCTION("""COMPUTED_VALUE"""),3.0)</f>
        <v>3</v>
      </c>
      <c r="L192" s="51">
        <f>IFERROR(__xludf.DUMMYFUNCTION("""COMPUTED_VALUE"""),1.0)</f>
        <v>1</v>
      </c>
      <c r="M192" s="52">
        <f>IFERROR(__xludf.DUMMYFUNCTION("""COMPUTED_VALUE"""),12000.0)</f>
        <v>12000</v>
      </c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51" t="str">
        <f>IFERROR(__xludf.DUMMYFUNCTION("""COMPUTED_VALUE"""),"d768pl34")</f>
        <v>d768pl34</v>
      </c>
      <c r="I193" s="58">
        <f>IFERROR(__xludf.DUMMYFUNCTION("""COMPUTED_VALUE"""),45101.0)</f>
        <v>45101</v>
      </c>
      <c r="J193" s="59">
        <f>IFERROR(__xludf.DUMMYFUNCTION("""COMPUTED_VALUE"""),45102.0)</f>
        <v>45102</v>
      </c>
      <c r="K193" s="51">
        <f>IFERROR(__xludf.DUMMYFUNCTION("""COMPUTED_VALUE"""),6.0)</f>
        <v>6</v>
      </c>
      <c r="L193" s="51">
        <f>IFERROR(__xludf.DUMMYFUNCTION("""COMPUTED_VALUE"""),1.0)</f>
        <v>1</v>
      </c>
      <c r="M193" s="52">
        <f>IFERROR(__xludf.DUMMYFUNCTION("""COMPUTED_VALUE"""),12000.0)</f>
        <v>12000</v>
      </c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51" t="str">
        <f>IFERROR(__xludf.DUMMYFUNCTION("""COMPUTED_VALUE"""),"d126ql37")</f>
        <v>d126ql37</v>
      </c>
      <c r="I194" s="58">
        <f>IFERROR(__xludf.DUMMYFUNCTION("""COMPUTED_VALUE"""),45101.0)</f>
        <v>45101</v>
      </c>
      <c r="J194" s="59">
        <f>IFERROR(__xludf.DUMMYFUNCTION("""COMPUTED_VALUE"""),45102.0)</f>
        <v>45102</v>
      </c>
      <c r="K194" s="51">
        <f>IFERROR(__xludf.DUMMYFUNCTION("""COMPUTED_VALUE"""),3.0)</f>
        <v>3</v>
      </c>
      <c r="L194" s="51">
        <f>IFERROR(__xludf.DUMMYFUNCTION("""COMPUTED_VALUE"""),1.0)</f>
        <v>1</v>
      </c>
      <c r="M194" s="52">
        <f>IFERROR(__xludf.DUMMYFUNCTION("""COMPUTED_VALUE"""),12000.0)</f>
        <v>12000</v>
      </c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51" t="str">
        <f>IFERROR(__xludf.DUMMYFUNCTION("""COMPUTED_VALUE"""),"d7969047")</f>
        <v>d7969047</v>
      </c>
      <c r="I195" s="58">
        <f>IFERROR(__xludf.DUMMYFUNCTION("""COMPUTED_VALUE"""),45101.0)</f>
        <v>45101</v>
      </c>
      <c r="J195" s="59">
        <f>IFERROR(__xludf.DUMMYFUNCTION("""COMPUTED_VALUE"""),45102.0)</f>
        <v>45102</v>
      </c>
      <c r="K195" s="51">
        <f>IFERROR(__xludf.DUMMYFUNCTION("""COMPUTED_VALUE"""),3.0)</f>
        <v>3</v>
      </c>
      <c r="L195" s="51">
        <f>IFERROR(__xludf.DUMMYFUNCTION("""COMPUTED_VALUE"""),1.0)</f>
        <v>1</v>
      </c>
      <c r="M195" s="52">
        <f>IFERROR(__xludf.DUMMYFUNCTION("""COMPUTED_VALUE"""),12000.0)</f>
        <v>12000</v>
      </c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51" t="str">
        <f>IFERROR(__xludf.DUMMYFUNCTION("""COMPUTED_VALUE"""),"d3852x96")</f>
        <v>d3852x96</v>
      </c>
      <c r="I196" s="58">
        <f>IFERROR(__xludf.DUMMYFUNCTION("""COMPUTED_VALUE"""),45101.0)</f>
        <v>45101</v>
      </c>
      <c r="J196" s="59">
        <f>IFERROR(__xludf.DUMMYFUNCTION("""COMPUTED_VALUE"""),45103.0)</f>
        <v>45103</v>
      </c>
      <c r="K196" s="51">
        <f>IFERROR(__xludf.DUMMYFUNCTION("""COMPUTED_VALUE"""),5.0)</f>
        <v>5</v>
      </c>
      <c r="L196" s="51">
        <f>IFERROR(__xludf.DUMMYFUNCTION("""COMPUTED_VALUE"""),1.0)</f>
        <v>1</v>
      </c>
      <c r="M196" s="52">
        <f>IFERROR(__xludf.DUMMYFUNCTION("""COMPUTED_VALUE"""),12000.0)</f>
        <v>12000</v>
      </c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51" t="str">
        <f>IFERROR(__xludf.DUMMYFUNCTION("""COMPUTED_VALUE"""),"d626h453")</f>
        <v>d626h453</v>
      </c>
      <c r="I197" s="58">
        <f>IFERROR(__xludf.DUMMYFUNCTION("""COMPUTED_VALUE"""),45102.0)</f>
        <v>45102</v>
      </c>
      <c r="J197" s="59">
        <f>IFERROR(__xludf.DUMMYFUNCTION("""COMPUTED_VALUE"""),45105.0)</f>
        <v>45105</v>
      </c>
      <c r="K197" s="51">
        <f>IFERROR(__xludf.DUMMYFUNCTION("""COMPUTED_VALUE"""),4.0)</f>
        <v>4</v>
      </c>
      <c r="L197" s="51">
        <f>IFERROR(__xludf.DUMMYFUNCTION("""COMPUTED_VALUE"""),1.0)</f>
        <v>1</v>
      </c>
      <c r="M197" s="52">
        <f>IFERROR(__xludf.DUMMYFUNCTION("""COMPUTED_VALUE"""),12000.0)</f>
        <v>12000</v>
      </c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51" t="str">
        <f>IFERROR(__xludf.DUMMYFUNCTION("""COMPUTED_VALUE"""),"d761cu18")</f>
        <v>d761cu18</v>
      </c>
      <c r="I198" s="58">
        <f>IFERROR(__xludf.DUMMYFUNCTION("""COMPUTED_VALUE"""),45102.0)</f>
        <v>45102</v>
      </c>
      <c r="J198" s="59">
        <f>IFERROR(__xludf.DUMMYFUNCTION("""COMPUTED_VALUE"""),45103.0)</f>
        <v>45103</v>
      </c>
      <c r="K198" s="51">
        <f>IFERROR(__xludf.DUMMYFUNCTION("""COMPUTED_VALUE"""),2.0)</f>
        <v>2</v>
      </c>
      <c r="L198" s="51">
        <f>IFERROR(__xludf.DUMMYFUNCTION("""COMPUTED_VALUE"""),1.0)</f>
        <v>1</v>
      </c>
      <c r="M198" s="52">
        <f>IFERROR(__xludf.DUMMYFUNCTION("""COMPUTED_VALUE"""),12000.0)</f>
        <v>12000</v>
      </c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51" t="str">
        <f>IFERROR(__xludf.DUMMYFUNCTION("""COMPUTED_VALUE"""),"d752oi35")</f>
        <v>d752oi35</v>
      </c>
      <c r="I199" s="58">
        <f>IFERROR(__xludf.DUMMYFUNCTION("""COMPUTED_VALUE"""),45102.0)</f>
        <v>45102</v>
      </c>
      <c r="J199" s="59">
        <f>IFERROR(__xludf.DUMMYFUNCTION("""COMPUTED_VALUE"""),45104.0)</f>
        <v>45104</v>
      </c>
      <c r="K199" s="51">
        <f>IFERROR(__xludf.DUMMYFUNCTION("""COMPUTED_VALUE"""),2.0)</f>
        <v>2</v>
      </c>
      <c r="L199" s="51">
        <f>IFERROR(__xludf.DUMMYFUNCTION("""COMPUTED_VALUE"""),1.0)</f>
        <v>1</v>
      </c>
      <c r="M199" s="52">
        <f>IFERROR(__xludf.DUMMYFUNCTION("""COMPUTED_VALUE"""),12000.0)</f>
        <v>12000</v>
      </c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51" t="str">
        <f>IFERROR(__xludf.DUMMYFUNCTION("""COMPUTED_VALUE"""),"d7182087")</f>
        <v>d7182087</v>
      </c>
      <c r="I200" s="58">
        <f>IFERROR(__xludf.DUMMYFUNCTION("""COMPUTED_VALUE"""),45103.0)</f>
        <v>45103</v>
      </c>
      <c r="J200" s="59">
        <f>IFERROR(__xludf.DUMMYFUNCTION("""COMPUTED_VALUE"""),45104.0)</f>
        <v>45104</v>
      </c>
      <c r="K200" s="51">
        <f>IFERROR(__xludf.DUMMYFUNCTION("""COMPUTED_VALUE"""),6.0)</f>
        <v>6</v>
      </c>
      <c r="L200" s="51">
        <f>IFERROR(__xludf.DUMMYFUNCTION("""COMPUTED_VALUE"""),1.0)</f>
        <v>1</v>
      </c>
      <c r="M200" s="52">
        <f>IFERROR(__xludf.DUMMYFUNCTION("""COMPUTED_VALUE"""),12000.0)</f>
        <v>12000</v>
      </c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51" t="str">
        <f>IFERROR(__xludf.DUMMYFUNCTION("""COMPUTED_VALUE"""),"d200t022")</f>
        <v>d200t022</v>
      </c>
      <c r="I201" s="58">
        <f>IFERROR(__xludf.DUMMYFUNCTION("""COMPUTED_VALUE"""),45103.0)</f>
        <v>45103</v>
      </c>
      <c r="J201" s="59">
        <f>IFERROR(__xludf.DUMMYFUNCTION("""COMPUTED_VALUE"""),45106.0)</f>
        <v>45106</v>
      </c>
      <c r="K201" s="51">
        <f>IFERROR(__xludf.DUMMYFUNCTION("""COMPUTED_VALUE"""),3.0)</f>
        <v>3</v>
      </c>
      <c r="L201" s="51">
        <f>IFERROR(__xludf.DUMMYFUNCTION("""COMPUTED_VALUE"""),1.0)</f>
        <v>1</v>
      </c>
      <c r="M201" s="52">
        <f>IFERROR(__xludf.DUMMYFUNCTION("""COMPUTED_VALUE"""),12000.0)</f>
        <v>12000</v>
      </c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51" t="str">
        <f>IFERROR(__xludf.DUMMYFUNCTION("""COMPUTED_VALUE"""),"d680q456")</f>
        <v>d680q456</v>
      </c>
      <c r="I202" s="58">
        <f>IFERROR(__xludf.DUMMYFUNCTION("""COMPUTED_VALUE"""),45103.0)</f>
        <v>45103</v>
      </c>
      <c r="J202" s="59">
        <f>IFERROR(__xludf.DUMMYFUNCTION("""COMPUTED_VALUE"""),45105.0)</f>
        <v>45105</v>
      </c>
      <c r="K202" s="51">
        <f>IFERROR(__xludf.DUMMYFUNCTION("""COMPUTED_VALUE"""),5.0)</f>
        <v>5</v>
      </c>
      <c r="L202" s="51">
        <f>IFERROR(__xludf.DUMMYFUNCTION("""COMPUTED_VALUE"""),1.0)</f>
        <v>1</v>
      </c>
      <c r="M202" s="52">
        <f>IFERROR(__xludf.DUMMYFUNCTION("""COMPUTED_VALUE"""),12000.0)</f>
        <v>12000</v>
      </c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51" t="str">
        <f>IFERROR(__xludf.DUMMYFUNCTION("""COMPUTED_VALUE"""),"d402vk52")</f>
        <v>d402vk52</v>
      </c>
      <c r="I203" s="58">
        <f>IFERROR(__xludf.DUMMYFUNCTION("""COMPUTED_VALUE"""),45103.0)</f>
        <v>45103</v>
      </c>
      <c r="J203" s="59">
        <f>IFERROR(__xludf.DUMMYFUNCTION("""COMPUTED_VALUE"""),45105.0)</f>
        <v>45105</v>
      </c>
      <c r="K203" s="51">
        <f>IFERROR(__xludf.DUMMYFUNCTION("""COMPUTED_VALUE"""),3.0)</f>
        <v>3</v>
      </c>
      <c r="L203" s="51">
        <f>IFERROR(__xludf.DUMMYFUNCTION("""COMPUTED_VALUE"""),1.0)</f>
        <v>1</v>
      </c>
      <c r="M203" s="52">
        <f>IFERROR(__xludf.DUMMYFUNCTION("""COMPUTED_VALUE"""),12000.0)</f>
        <v>12000</v>
      </c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51" t="str">
        <f>IFERROR(__xludf.DUMMYFUNCTION("""COMPUTED_VALUE"""),"d213w259")</f>
        <v>d213w259</v>
      </c>
      <c r="I204" s="58">
        <f>IFERROR(__xludf.DUMMYFUNCTION("""COMPUTED_VALUE"""),45103.0)</f>
        <v>45103</v>
      </c>
      <c r="J204" s="59">
        <f>IFERROR(__xludf.DUMMYFUNCTION("""COMPUTED_VALUE"""),45104.0)</f>
        <v>45104</v>
      </c>
      <c r="K204" s="51">
        <f>IFERROR(__xludf.DUMMYFUNCTION("""COMPUTED_VALUE"""),6.0)</f>
        <v>6</v>
      </c>
      <c r="L204" s="51">
        <f>IFERROR(__xludf.DUMMYFUNCTION("""COMPUTED_VALUE"""),1.0)</f>
        <v>1</v>
      </c>
      <c r="M204" s="52">
        <f>IFERROR(__xludf.DUMMYFUNCTION("""COMPUTED_VALUE"""),12000.0)</f>
        <v>12000</v>
      </c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51" t="str">
        <f>IFERROR(__xludf.DUMMYFUNCTION("""COMPUTED_VALUE"""),"d988l829")</f>
        <v>d988l829</v>
      </c>
      <c r="I205" s="58">
        <f>IFERROR(__xludf.DUMMYFUNCTION("""COMPUTED_VALUE"""),45103.0)</f>
        <v>45103</v>
      </c>
      <c r="J205" s="59">
        <f>IFERROR(__xludf.DUMMYFUNCTION("""COMPUTED_VALUE"""),45107.0)</f>
        <v>45107</v>
      </c>
      <c r="K205" s="51">
        <f>IFERROR(__xludf.DUMMYFUNCTION("""COMPUTED_VALUE"""),1.0)</f>
        <v>1</v>
      </c>
      <c r="L205" s="51">
        <f>IFERROR(__xludf.DUMMYFUNCTION("""COMPUTED_VALUE"""),1.0)</f>
        <v>1</v>
      </c>
      <c r="M205" s="52">
        <f>IFERROR(__xludf.DUMMYFUNCTION("""COMPUTED_VALUE"""),12000.0)</f>
        <v>12000</v>
      </c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51" t="str">
        <f>IFERROR(__xludf.DUMMYFUNCTION("""COMPUTED_VALUE"""),"d438k637")</f>
        <v>d438k637</v>
      </c>
      <c r="I206" s="58">
        <f>IFERROR(__xludf.DUMMYFUNCTION("""COMPUTED_VALUE"""),45103.0)</f>
        <v>45103</v>
      </c>
      <c r="J206" s="59">
        <f>IFERROR(__xludf.DUMMYFUNCTION("""COMPUTED_VALUE"""),45104.0)</f>
        <v>45104</v>
      </c>
      <c r="K206" s="51">
        <f>IFERROR(__xludf.DUMMYFUNCTION("""COMPUTED_VALUE"""),5.0)</f>
        <v>5</v>
      </c>
      <c r="L206" s="51">
        <f>IFERROR(__xludf.DUMMYFUNCTION("""COMPUTED_VALUE"""),1.0)</f>
        <v>1</v>
      </c>
      <c r="M206" s="52">
        <f>IFERROR(__xludf.DUMMYFUNCTION("""COMPUTED_VALUE"""),12000.0)</f>
        <v>12000</v>
      </c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51" t="str">
        <f>IFERROR(__xludf.DUMMYFUNCTION("""COMPUTED_VALUE"""),"d830w212")</f>
        <v>d830w212</v>
      </c>
      <c r="I207" s="58">
        <f>IFERROR(__xludf.DUMMYFUNCTION("""COMPUTED_VALUE"""),45103.0)</f>
        <v>45103</v>
      </c>
      <c r="J207" s="59">
        <f>IFERROR(__xludf.DUMMYFUNCTION("""COMPUTED_VALUE"""),45108.0)</f>
        <v>45108</v>
      </c>
      <c r="K207" s="51">
        <f>IFERROR(__xludf.DUMMYFUNCTION("""COMPUTED_VALUE"""),2.0)</f>
        <v>2</v>
      </c>
      <c r="L207" s="51">
        <f>IFERROR(__xludf.DUMMYFUNCTION("""COMPUTED_VALUE"""),1.0)</f>
        <v>1</v>
      </c>
      <c r="M207" s="52">
        <f>IFERROR(__xludf.DUMMYFUNCTION("""COMPUTED_VALUE"""),12000.0)</f>
        <v>12000</v>
      </c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51" t="str">
        <f>IFERROR(__xludf.DUMMYFUNCTION("""COMPUTED_VALUE"""),"d0607x36")</f>
        <v>d0607x36</v>
      </c>
      <c r="I208" s="58">
        <f>IFERROR(__xludf.DUMMYFUNCTION("""COMPUTED_VALUE"""),45103.0)</f>
        <v>45103</v>
      </c>
      <c r="J208" s="59">
        <f>IFERROR(__xludf.DUMMYFUNCTION("""COMPUTED_VALUE"""),45104.0)</f>
        <v>45104</v>
      </c>
      <c r="K208" s="51">
        <f>IFERROR(__xludf.DUMMYFUNCTION("""COMPUTED_VALUE"""),3.0)</f>
        <v>3</v>
      </c>
      <c r="L208" s="51">
        <f>IFERROR(__xludf.DUMMYFUNCTION("""COMPUTED_VALUE"""),1.0)</f>
        <v>1</v>
      </c>
      <c r="M208" s="52">
        <f>IFERROR(__xludf.DUMMYFUNCTION("""COMPUTED_VALUE"""),12000.0)</f>
        <v>12000</v>
      </c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51" t="str">
        <f>IFERROR(__xludf.DUMMYFUNCTION("""COMPUTED_VALUE"""),"d348rm61")</f>
        <v>d348rm61</v>
      </c>
      <c r="I209" s="58">
        <f>IFERROR(__xludf.DUMMYFUNCTION("""COMPUTED_VALUE"""),45103.0)</f>
        <v>45103</v>
      </c>
      <c r="J209" s="59">
        <f>IFERROR(__xludf.DUMMYFUNCTION("""COMPUTED_VALUE"""),45105.0)</f>
        <v>45105</v>
      </c>
      <c r="K209" s="51">
        <f>IFERROR(__xludf.DUMMYFUNCTION("""COMPUTED_VALUE"""),3.0)</f>
        <v>3</v>
      </c>
      <c r="L209" s="51">
        <f>IFERROR(__xludf.DUMMYFUNCTION("""COMPUTED_VALUE"""),1.0)</f>
        <v>1</v>
      </c>
      <c r="M209" s="52">
        <f>IFERROR(__xludf.DUMMYFUNCTION("""COMPUTED_VALUE"""),12000.0)</f>
        <v>12000</v>
      </c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51" t="str">
        <f>IFERROR(__xludf.DUMMYFUNCTION("""COMPUTED_VALUE"""),"d381a927")</f>
        <v>d381a927</v>
      </c>
      <c r="I210" s="58">
        <f>IFERROR(__xludf.DUMMYFUNCTION("""COMPUTED_VALUE"""),45104.0)</f>
        <v>45104</v>
      </c>
      <c r="J210" s="59">
        <f>IFERROR(__xludf.DUMMYFUNCTION("""COMPUTED_VALUE"""),45109.0)</f>
        <v>45109</v>
      </c>
      <c r="K210" s="51">
        <f>IFERROR(__xludf.DUMMYFUNCTION("""COMPUTED_VALUE"""),6.0)</f>
        <v>6</v>
      </c>
      <c r="L210" s="51">
        <f>IFERROR(__xludf.DUMMYFUNCTION("""COMPUTED_VALUE"""),1.0)</f>
        <v>1</v>
      </c>
      <c r="M210" s="52">
        <f>IFERROR(__xludf.DUMMYFUNCTION("""COMPUTED_VALUE"""),12000.0)</f>
        <v>12000</v>
      </c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51" t="str">
        <f>IFERROR(__xludf.DUMMYFUNCTION("""COMPUTED_VALUE"""),"d104tu05")</f>
        <v>d104tu05</v>
      </c>
      <c r="I211" s="58">
        <f>IFERROR(__xludf.DUMMYFUNCTION("""COMPUTED_VALUE"""),45104.0)</f>
        <v>45104</v>
      </c>
      <c r="J211" s="59">
        <f>IFERROR(__xludf.DUMMYFUNCTION("""COMPUTED_VALUE"""),45107.0)</f>
        <v>45107</v>
      </c>
      <c r="K211" s="51">
        <f>IFERROR(__xludf.DUMMYFUNCTION("""COMPUTED_VALUE"""),5.0)</f>
        <v>5</v>
      </c>
      <c r="L211" s="51">
        <f>IFERROR(__xludf.DUMMYFUNCTION("""COMPUTED_VALUE"""),1.0)</f>
        <v>1</v>
      </c>
      <c r="M211" s="52">
        <f>IFERROR(__xludf.DUMMYFUNCTION("""COMPUTED_VALUE"""),12000.0)</f>
        <v>12000</v>
      </c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51" t="str">
        <f>IFERROR(__xludf.DUMMYFUNCTION("""COMPUTED_VALUE"""),"d047h688")</f>
        <v>d047h688</v>
      </c>
      <c r="I212" s="58">
        <f>IFERROR(__xludf.DUMMYFUNCTION("""COMPUTED_VALUE"""),45104.0)</f>
        <v>45104</v>
      </c>
      <c r="J212" s="59">
        <f>IFERROR(__xludf.DUMMYFUNCTION("""COMPUTED_VALUE"""),45105.0)</f>
        <v>45105</v>
      </c>
      <c r="K212" s="51">
        <f>IFERROR(__xludf.DUMMYFUNCTION("""COMPUTED_VALUE"""),6.0)</f>
        <v>6</v>
      </c>
      <c r="L212" s="51">
        <f>IFERROR(__xludf.DUMMYFUNCTION("""COMPUTED_VALUE"""),1.0)</f>
        <v>1</v>
      </c>
      <c r="M212" s="52">
        <f>IFERROR(__xludf.DUMMYFUNCTION("""COMPUTED_VALUE"""),12000.0)</f>
        <v>12000</v>
      </c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51" t="str">
        <f>IFERROR(__xludf.DUMMYFUNCTION("""COMPUTED_VALUE"""),"d344cl86")</f>
        <v>d344cl86</v>
      </c>
      <c r="I213" s="58">
        <f>IFERROR(__xludf.DUMMYFUNCTION("""COMPUTED_VALUE"""),45104.0)</f>
        <v>45104</v>
      </c>
      <c r="J213" s="59">
        <f>IFERROR(__xludf.DUMMYFUNCTION("""COMPUTED_VALUE"""),45105.0)</f>
        <v>45105</v>
      </c>
      <c r="K213" s="51">
        <f>IFERROR(__xludf.DUMMYFUNCTION("""COMPUTED_VALUE"""),4.0)</f>
        <v>4</v>
      </c>
      <c r="L213" s="51">
        <f>IFERROR(__xludf.DUMMYFUNCTION("""COMPUTED_VALUE"""),1.0)</f>
        <v>1</v>
      </c>
      <c r="M213" s="52">
        <f>IFERROR(__xludf.DUMMYFUNCTION("""COMPUTED_VALUE"""),12000.0)</f>
        <v>12000</v>
      </c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51" t="str">
        <f>IFERROR(__xludf.DUMMYFUNCTION("""COMPUTED_VALUE"""),"d537qn68")</f>
        <v>d537qn68</v>
      </c>
      <c r="I214" s="58">
        <f>IFERROR(__xludf.DUMMYFUNCTION("""COMPUTED_VALUE"""),45105.0)</f>
        <v>45105</v>
      </c>
      <c r="J214" s="59">
        <f>IFERROR(__xludf.DUMMYFUNCTION("""COMPUTED_VALUE"""),45109.0)</f>
        <v>45109</v>
      </c>
      <c r="K214" s="51">
        <f>IFERROR(__xludf.DUMMYFUNCTION("""COMPUTED_VALUE"""),2.0)</f>
        <v>2</v>
      </c>
      <c r="L214" s="51">
        <f>IFERROR(__xludf.DUMMYFUNCTION("""COMPUTED_VALUE"""),1.0)</f>
        <v>1</v>
      </c>
      <c r="M214" s="52">
        <f>IFERROR(__xludf.DUMMYFUNCTION("""COMPUTED_VALUE"""),12000.0)</f>
        <v>12000</v>
      </c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51" t="str">
        <f>IFERROR(__xludf.DUMMYFUNCTION("""COMPUTED_VALUE"""),"d7619906")</f>
        <v>d7619906</v>
      </c>
      <c r="I215" s="58">
        <f>IFERROR(__xludf.DUMMYFUNCTION("""COMPUTED_VALUE"""),45105.0)</f>
        <v>45105</v>
      </c>
      <c r="J215" s="59">
        <f>IFERROR(__xludf.DUMMYFUNCTION("""COMPUTED_VALUE"""),45109.0)</f>
        <v>45109</v>
      </c>
      <c r="K215" s="51">
        <f>IFERROR(__xludf.DUMMYFUNCTION("""COMPUTED_VALUE"""),3.0)</f>
        <v>3</v>
      </c>
      <c r="L215" s="51">
        <f>IFERROR(__xludf.DUMMYFUNCTION("""COMPUTED_VALUE"""),1.0)</f>
        <v>1</v>
      </c>
      <c r="M215" s="52">
        <f>IFERROR(__xludf.DUMMYFUNCTION("""COMPUTED_VALUE"""),12000.0)</f>
        <v>12000</v>
      </c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51" t="str">
        <f>IFERROR(__xludf.DUMMYFUNCTION("""COMPUTED_VALUE"""),"d9637w07")</f>
        <v>d9637w07</v>
      </c>
      <c r="I216" s="58">
        <f>IFERROR(__xludf.DUMMYFUNCTION("""COMPUTED_VALUE"""),45105.0)</f>
        <v>45105</v>
      </c>
      <c r="J216" s="59">
        <f>IFERROR(__xludf.DUMMYFUNCTION("""COMPUTED_VALUE"""),45107.0)</f>
        <v>45107</v>
      </c>
      <c r="K216" s="51">
        <f>IFERROR(__xludf.DUMMYFUNCTION("""COMPUTED_VALUE"""),4.0)</f>
        <v>4</v>
      </c>
      <c r="L216" s="51">
        <f>IFERROR(__xludf.DUMMYFUNCTION("""COMPUTED_VALUE"""),1.0)</f>
        <v>1</v>
      </c>
      <c r="M216" s="52">
        <f>IFERROR(__xludf.DUMMYFUNCTION("""COMPUTED_VALUE"""),12000.0)</f>
        <v>12000</v>
      </c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51" t="str">
        <f>IFERROR(__xludf.DUMMYFUNCTION("""COMPUTED_VALUE"""),"d324q165")</f>
        <v>d324q165</v>
      </c>
      <c r="I217" s="58">
        <f>IFERROR(__xludf.DUMMYFUNCTION("""COMPUTED_VALUE"""),45105.0)</f>
        <v>45105</v>
      </c>
      <c r="J217" s="59">
        <f>IFERROR(__xludf.DUMMYFUNCTION("""COMPUTED_VALUE"""),45109.0)</f>
        <v>45109</v>
      </c>
      <c r="K217" s="51">
        <f>IFERROR(__xludf.DUMMYFUNCTION("""COMPUTED_VALUE"""),1.0)</f>
        <v>1</v>
      </c>
      <c r="L217" s="51">
        <f>IFERROR(__xludf.DUMMYFUNCTION("""COMPUTED_VALUE"""),1.0)</f>
        <v>1</v>
      </c>
      <c r="M217" s="52">
        <f>IFERROR(__xludf.DUMMYFUNCTION("""COMPUTED_VALUE"""),12000.0)</f>
        <v>12000</v>
      </c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51" t="str">
        <f>IFERROR(__xludf.DUMMYFUNCTION("""COMPUTED_VALUE"""),"d366dk29")</f>
        <v>d366dk29</v>
      </c>
      <c r="I218" s="58">
        <f>IFERROR(__xludf.DUMMYFUNCTION("""COMPUTED_VALUE"""),45105.0)</f>
        <v>45105</v>
      </c>
      <c r="J218" s="59">
        <f>IFERROR(__xludf.DUMMYFUNCTION("""COMPUTED_VALUE"""),45110.0)</f>
        <v>45110</v>
      </c>
      <c r="K218" s="51">
        <f>IFERROR(__xludf.DUMMYFUNCTION("""COMPUTED_VALUE"""),6.0)</f>
        <v>6</v>
      </c>
      <c r="L218" s="51">
        <f>IFERROR(__xludf.DUMMYFUNCTION("""COMPUTED_VALUE"""),1.0)</f>
        <v>1</v>
      </c>
      <c r="M218" s="52">
        <f>IFERROR(__xludf.DUMMYFUNCTION("""COMPUTED_VALUE"""),12000.0)</f>
        <v>12000</v>
      </c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51" t="str">
        <f>IFERROR(__xludf.DUMMYFUNCTION("""COMPUTED_VALUE"""),"d241li62")</f>
        <v>d241li62</v>
      </c>
      <c r="I219" s="58">
        <f>IFERROR(__xludf.DUMMYFUNCTION("""COMPUTED_VALUE"""),45105.0)</f>
        <v>45105</v>
      </c>
      <c r="J219" s="59">
        <f>IFERROR(__xludf.DUMMYFUNCTION("""COMPUTED_VALUE"""),45109.0)</f>
        <v>45109</v>
      </c>
      <c r="K219" s="51">
        <f>IFERROR(__xludf.DUMMYFUNCTION("""COMPUTED_VALUE"""),1.0)</f>
        <v>1</v>
      </c>
      <c r="L219" s="51">
        <f>IFERROR(__xludf.DUMMYFUNCTION("""COMPUTED_VALUE"""),1.0)</f>
        <v>1</v>
      </c>
      <c r="M219" s="52">
        <f>IFERROR(__xludf.DUMMYFUNCTION("""COMPUTED_VALUE"""),12000.0)</f>
        <v>12000</v>
      </c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51" t="str">
        <f>IFERROR(__xludf.DUMMYFUNCTION("""COMPUTED_VALUE"""),"d949p040")</f>
        <v>d949p040</v>
      </c>
      <c r="I220" s="58">
        <f>IFERROR(__xludf.DUMMYFUNCTION("""COMPUTED_VALUE"""),45106.0)</f>
        <v>45106</v>
      </c>
      <c r="J220" s="59">
        <f>IFERROR(__xludf.DUMMYFUNCTION("""COMPUTED_VALUE"""),45107.0)</f>
        <v>45107</v>
      </c>
      <c r="K220" s="51">
        <f>IFERROR(__xludf.DUMMYFUNCTION("""COMPUTED_VALUE"""),4.0)</f>
        <v>4</v>
      </c>
      <c r="L220" s="51">
        <f>IFERROR(__xludf.DUMMYFUNCTION("""COMPUTED_VALUE"""),1.0)</f>
        <v>1</v>
      </c>
      <c r="M220" s="52">
        <f>IFERROR(__xludf.DUMMYFUNCTION("""COMPUTED_VALUE"""),12000.0)</f>
        <v>12000</v>
      </c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51" t="str">
        <f>IFERROR(__xludf.DUMMYFUNCTION("""COMPUTED_VALUE"""),"d785pl98")</f>
        <v>d785pl98</v>
      </c>
      <c r="I221" s="58">
        <f>IFERROR(__xludf.DUMMYFUNCTION("""COMPUTED_VALUE"""),45106.0)</f>
        <v>45106</v>
      </c>
      <c r="J221" s="59">
        <f>IFERROR(__xludf.DUMMYFUNCTION("""COMPUTED_VALUE"""),45109.0)</f>
        <v>45109</v>
      </c>
      <c r="K221" s="51">
        <f>IFERROR(__xludf.DUMMYFUNCTION("""COMPUTED_VALUE"""),2.0)</f>
        <v>2</v>
      </c>
      <c r="L221" s="51">
        <f>IFERROR(__xludf.DUMMYFUNCTION("""COMPUTED_VALUE"""),1.0)</f>
        <v>1</v>
      </c>
      <c r="M221" s="52">
        <f>IFERROR(__xludf.DUMMYFUNCTION("""COMPUTED_VALUE"""),12000.0)</f>
        <v>12000</v>
      </c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51" t="str">
        <f>IFERROR(__xludf.DUMMYFUNCTION("""COMPUTED_VALUE"""),"d799nm62")</f>
        <v>d799nm62</v>
      </c>
      <c r="I222" s="58">
        <f>IFERROR(__xludf.DUMMYFUNCTION("""COMPUTED_VALUE"""),45106.0)</f>
        <v>45106</v>
      </c>
      <c r="J222" s="59">
        <f>IFERROR(__xludf.DUMMYFUNCTION("""COMPUTED_VALUE"""),45108.0)</f>
        <v>45108</v>
      </c>
      <c r="K222" s="51">
        <f>IFERROR(__xludf.DUMMYFUNCTION("""COMPUTED_VALUE"""),6.0)</f>
        <v>6</v>
      </c>
      <c r="L222" s="51">
        <f>IFERROR(__xludf.DUMMYFUNCTION("""COMPUTED_VALUE"""),1.0)</f>
        <v>1</v>
      </c>
      <c r="M222" s="52">
        <f>IFERROR(__xludf.DUMMYFUNCTION("""COMPUTED_VALUE"""),12000.0)</f>
        <v>12000</v>
      </c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51" t="str">
        <f>IFERROR(__xludf.DUMMYFUNCTION("""COMPUTED_VALUE"""),"d253i063")</f>
        <v>d253i063</v>
      </c>
      <c r="I223" s="58">
        <f>IFERROR(__xludf.DUMMYFUNCTION("""COMPUTED_VALUE"""),45106.0)</f>
        <v>45106</v>
      </c>
      <c r="J223" s="59">
        <f>IFERROR(__xludf.DUMMYFUNCTION("""COMPUTED_VALUE"""),45108.0)</f>
        <v>45108</v>
      </c>
      <c r="K223" s="51">
        <f>IFERROR(__xludf.DUMMYFUNCTION("""COMPUTED_VALUE"""),6.0)</f>
        <v>6</v>
      </c>
      <c r="L223" s="51">
        <f>IFERROR(__xludf.DUMMYFUNCTION("""COMPUTED_VALUE"""),1.0)</f>
        <v>1</v>
      </c>
      <c r="M223" s="52">
        <f>IFERROR(__xludf.DUMMYFUNCTION("""COMPUTED_VALUE"""),12000.0)</f>
        <v>12000</v>
      </c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51" t="str">
        <f>IFERROR(__xludf.DUMMYFUNCTION("""COMPUTED_VALUE"""),"d504fu44")</f>
        <v>d504fu44</v>
      </c>
      <c r="I224" s="58">
        <f>IFERROR(__xludf.DUMMYFUNCTION("""COMPUTED_VALUE"""),45106.0)</f>
        <v>45106</v>
      </c>
      <c r="J224" s="59">
        <f>IFERROR(__xludf.DUMMYFUNCTION("""COMPUTED_VALUE"""),45109.0)</f>
        <v>45109</v>
      </c>
      <c r="K224" s="51">
        <f>IFERROR(__xludf.DUMMYFUNCTION("""COMPUTED_VALUE"""),4.0)</f>
        <v>4</v>
      </c>
      <c r="L224" s="51">
        <f>IFERROR(__xludf.DUMMYFUNCTION("""COMPUTED_VALUE"""),1.0)</f>
        <v>1</v>
      </c>
      <c r="M224" s="52">
        <f>IFERROR(__xludf.DUMMYFUNCTION("""COMPUTED_VALUE"""),12000.0)</f>
        <v>12000</v>
      </c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51" t="str">
        <f>IFERROR(__xludf.DUMMYFUNCTION("""COMPUTED_VALUE"""),"d867bj72")</f>
        <v>d867bj72</v>
      </c>
      <c r="I225" s="58">
        <f>IFERROR(__xludf.DUMMYFUNCTION("""COMPUTED_VALUE"""),45106.0)</f>
        <v>45106</v>
      </c>
      <c r="J225" s="59">
        <f>IFERROR(__xludf.DUMMYFUNCTION("""COMPUTED_VALUE"""),45110.0)</f>
        <v>45110</v>
      </c>
      <c r="K225" s="51">
        <f>IFERROR(__xludf.DUMMYFUNCTION("""COMPUTED_VALUE"""),4.0)</f>
        <v>4</v>
      </c>
      <c r="L225" s="51">
        <f>IFERROR(__xludf.DUMMYFUNCTION("""COMPUTED_VALUE"""),1.0)</f>
        <v>1</v>
      </c>
      <c r="M225" s="52">
        <f>IFERROR(__xludf.DUMMYFUNCTION("""COMPUTED_VALUE"""),12000.0)</f>
        <v>12000</v>
      </c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51" t="str">
        <f>IFERROR(__xludf.DUMMYFUNCTION("""COMPUTED_VALUE"""),"d5251f11")</f>
        <v>d5251f11</v>
      </c>
      <c r="I226" s="58">
        <f>IFERROR(__xludf.DUMMYFUNCTION("""COMPUTED_VALUE"""),45106.0)</f>
        <v>45106</v>
      </c>
      <c r="J226" s="59">
        <f>IFERROR(__xludf.DUMMYFUNCTION("""COMPUTED_VALUE"""),45110.0)</f>
        <v>45110</v>
      </c>
      <c r="K226" s="51">
        <f>IFERROR(__xludf.DUMMYFUNCTION("""COMPUTED_VALUE"""),6.0)</f>
        <v>6</v>
      </c>
      <c r="L226" s="51">
        <f>IFERROR(__xludf.DUMMYFUNCTION("""COMPUTED_VALUE"""),1.0)</f>
        <v>1</v>
      </c>
      <c r="M226" s="52">
        <f>IFERROR(__xludf.DUMMYFUNCTION("""COMPUTED_VALUE"""),12000.0)</f>
        <v>12000</v>
      </c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51" t="str">
        <f>IFERROR(__xludf.DUMMYFUNCTION("""COMPUTED_VALUE"""),"d158sw90")</f>
        <v>d158sw90</v>
      </c>
      <c r="I227" s="58">
        <f>IFERROR(__xludf.DUMMYFUNCTION("""COMPUTED_VALUE"""),45106.0)</f>
        <v>45106</v>
      </c>
      <c r="J227" s="59">
        <f>IFERROR(__xludf.DUMMYFUNCTION("""COMPUTED_VALUE"""),45108.0)</f>
        <v>45108</v>
      </c>
      <c r="K227" s="51">
        <f>IFERROR(__xludf.DUMMYFUNCTION("""COMPUTED_VALUE"""),5.0)</f>
        <v>5</v>
      </c>
      <c r="L227" s="51">
        <f>IFERROR(__xludf.DUMMYFUNCTION("""COMPUTED_VALUE"""),1.0)</f>
        <v>1</v>
      </c>
      <c r="M227" s="52">
        <f>IFERROR(__xludf.DUMMYFUNCTION("""COMPUTED_VALUE"""),12000.0)</f>
        <v>12000</v>
      </c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51" t="str">
        <f>IFERROR(__xludf.DUMMYFUNCTION("""COMPUTED_VALUE"""),"d1993t40")</f>
        <v>d1993t40</v>
      </c>
      <c r="I228" s="58">
        <f>IFERROR(__xludf.DUMMYFUNCTION("""COMPUTED_VALUE"""),45107.0)</f>
        <v>45107</v>
      </c>
      <c r="J228" s="59">
        <f>IFERROR(__xludf.DUMMYFUNCTION("""COMPUTED_VALUE"""),45112.0)</f>
        <v>45112</v>
      </c>
      <c r="K228" s="51">
        <f>IFERROR(__xludf.DUMMYFUNCTION("""COMPUTED_VALUE"""),1.0)</f>
        <v>1</v>
      </c>
      <c r="L228" s="51">
        <f>IFERROR(__xludf.DUMMYFUNCTION("""COMPUTED_VALUE"""),1.0)</f>
        <v>1</v>
      </c>
      <c r="M228" s="52">
        <f>IFERROR(__xludf.DUMMYFUNCTION("""COMPUTED_VALUE"""),12000.0)</f>
        <v>12000</v>
      </c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51" t="str">
        <f>IFERROR(__xludf.DUMMYFUNCTION("""COMPUTED_VALUE"""),"d9483l43")</f>
        <v>d9483l43</v>
      </c>
      <c r="I229" s="58">
        <f>IFERROR(__xludf.DUMMYFUNCTION("""COMPUTED_VALUE"""),45107.0)</f>
        <v>45107</v>
      </c>
      <c r="J229" s="59">
        <f>IFERROR(__xludf.DUMMYFUNCTION("""COMPUTED_VALUE"""),45109.0)</f>
        <v>45109</v>
      </c>
      <c r="K229" s="51">
        <f>IFERROR(__xludf.DUMMYFUNCTION("""COMPUTED_VALUE"""),6.0)</f>
        <v>6</v>
      </c>
      <c r="L229" s="51">
        <f>IFERROR(__xludf.DUMMYFUNCTION("""COMPUTED_VALUE"""),1.0)</f>
        <v>1</v>
      </c>
      <c r="M229" s="52">
        <f>IFERROR(__xludf.DUMMYFUNCTION("""COMPUTED_VALUE"""),12000.0)</f>
        <v>12000</v>
      </c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51" t="str">
        <f>IFERROR(__xludf.DUMMYFUNCTION("""COMPUTED_VALUE"""),"d0751922")</f>
        <v>d0751922</v>
      </c>
      <c r="I230" s="58">
        <f>IFERROR(__xludf.DUMMYFUNCTION("""COMPUTED_VALUE"""),45107.0)</f>
        <v>45107</v>
      </c>
      <c r="J230" s="59">
        <f>IFERROR(__xludf.DUMMYFUNCTION("""COMPUTED_VALUE"""),45110.0)</f>
        <v>45110</v>
      </c>
      <c r="K230" s="51">
        <f>IFERROR(__xludf.DUMMYFUNCTION("""COMPUTED_VALUE"""),1.0)</f>
        <v>1</v>
      </c>
      <c r="L230" s="51">
        <f>IFERROR(__xludf.DUMMYFUNCTION("""COMPUTED_VALUE"""),1.0)</f>
        <v>1</v>
      </c>
      <c r="M230" s="52">
        <f>IFERROR(__xludf.DUMMYFUNCTION("""COMPUTED_VALUE"""),12000.0)</f>
        <v>12000</v>
      </c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51" t="str">
        <f>IFERROR(__xludf.DUMMYFUNCTION("""COMPUTED_VALUE"""),"d104lw09")</f>
        <v>d104lw09</v>
      </c>
      <c r="I231" s="58">
        <f>IFERROR(__xludf.DUMMYFUNCTION("""COMPUTED_VALUE"""),45107.0)</f>
        <v>45107</v>
      </c>
      <c r="J231" s="59">
        <f>IFERROR(__xludf.DUMMYFUNCTION("""COMPUTED_VALUE"""),45111.0)</f>
        <v>45111</v>
      </c>
      <c r="K231" s="51">
        <f>IFERROR(__xludf.DUMMYFUNCTION("""COMPUTED_VALUE"""),4.0)</f>
        <v>4</v>
      </c>
      <c r="L231" s="51">
        <f>IFERROR(__xludf.DUMMYFUNCTION("""COMPUTED_VALUE"""),1.0)</f>
        <v>1</v>
      </c>
      <c r="M231" s="52">
        <f>IFERROR(__xludf.DUMMYFUNCTION("""COMPUTED_VALUE"""),12000.0)</f>
        <v>12000</v>
      </c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51" t="str">
        <f>IFERROR(__xludf.DUMMYFUNCTION("""COMPUTED_VALUE"""),"d249a341")</f>
        <v>d249a341</v>
      </c>
      <c r="I232" s="58">
        <f>IFERROR(__xludf.DUMMYFUNCTION("""COMPUTED_VALUE"""),45107.0)</f>
        <v>45107</v>
      </c>
      <c r="J232" s="59">
        <f>IFERROR(__xludf.DUMMYFUNCTION("""COMPUTED_VALUE"""),45111.0)</f>
        <v>45111</v>
      </c>
      <c r="K232" s="51">
        <f>IFERROR(__xludf.DUMMYFUNCTION("""COMPUTED_VALUE"""),5.0)</f>
        <v>5</v>
      </c>
      <c r="L232" s="51">
        <f>IFERROR(__xludf.DUMMYFUNCTION("""COMPUTED_VALUE"""),1.0)</f>
        <v>1</v>
      </c>
      <c r="M232" s="52">
        <f>IFERROR(__xludf.DUMMYFUNCTION("""COMPUTED_VALUE"""),12000.0)</f>
        <v>12000</v>
      </c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51" t="str">
        <f>IFERROR(__xludf.DUMMYFUNCTION("""COMPUTED_VALUE"""),"d7589t56")</f>
        <v>d7589t56</v>
      </c>
      <c r="I233" s="58">
        <f>IFERROR(__xludf.DUMMYFUNCTION("""COMPUTED_VALUE"""),45107.0)</f>
        <v>45107</v>
      </c>
      <c r="J233" s="59">
        <f>IFERROR(__xludf.DUMMYFUNCTION("""COMPUTED_VALUE"""),45108.0)</f>
        <v>45108</v>
      </c>
      <c r="K233" s="51">
        <f>IFERROR(__xludf.DUMMYFUNCTION("""COMPUTED_VALUE"""),6.0)</f>
        <v>6</v>
      </c>
      <c r="L233" s="51">
        <f>IFERROR(__xludf.DUMMYFUNCTION("""COMPUTED_VALUE"""),1.0)</f>
        <v>1</v>
      </c>
      <c r="M233" s="52">
        <f>IFERROR(__xludf.DUMMYFUNCTION("""COMPUTED_VALUE"""),12000.0)</f>
        <v>12000</v>
      </c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51" t="str">
        <f>IFERROR(__xludf.DUMMYFUNCTION("""COMPUTED_VALUE"""),"d473mi30")</f>
        <v>d473mi30</v>
      </c>
      <c r="I234" s="58">
        <f>IFERROR(__xludf.DUMMYFUNCTION("""COMPUTED_VALUE"""),45107.0)</f>
        <v>45107</v>
      </c>
      <c r="J234" s="59">
        <f>IFERROR(__xludf.DUMMYFUNCTION("""COMPUTED_VALUE"""),45110.0)</f>
        <v>45110</v>
      </c>
      <c r="K234" s="51">
        <f>IFERROR(__xludf.DUMMYFUNCTION("""COMPUTED_VALUE"""),3.0)</f>
        <v>3</v>
      </c>
      <c r="L234" s="51">
        <f>IFERROR(__xludf.DUMMYFUNCTION("""COMPUTED_VALUE"""),1.0)</f>
        <v>1</v>
      </c>
      <c r="M234" s="52">
        <f>IFERROR(__xludf.DUMMYFUNCTION("""COMPUTED_VALUE"""),12000.0)</f>
        <v>12000</v>
      </c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62" t="s">
        <v>3718</v>
      </c>
      <c r="K235" s="51">
        <f>MAX(K29:K234)</f>
        <v>6</v>
      </c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7.63"/>
  </cols>
  <sheetData>
    <row r="1">
      <c r="A1" s="63" t="s">
        <v>2702</v>
      </c>
      <c r="B1" s="64" t="s">
        <v>2703</v>
      </c>
      <c r="C1" s="64" t="s">
        <v>2704</v>
      </c>
      <c r="D1" s="63" t="s">
        <v>2705</v>
      </c>
      <c r="E1" s="63" t="s">
        <v>2706</v>
      </c>
      <c r="F1" s="65" t="s">
        <v>2707</v>
      </c>
      <c r="G1" s="66" t="s">
        <v>3719</v>
      </c>
      <c r="I1" s="67" t="s">
        <v>3720</v>
      </c>
    </row>
    <row r="2">
      <c r="A2" s="68" t="s">
        <v>2713</v>
      </c>
      <c r="B2" s="69">
        <v>45078.0</v>
      </c>
      <c r="C2" s="70">
        <v>45083.0</v>
      </c>
      <c r="D2" s="68">
        <v>8.0</v>
      </c>
      <c r="E2" s="68">
        <v>4.0</v>
      </c>
      <c r="F2" s="71">
        <v>18000.0</v>
      </c>
      <c r="G2" s="71">
        <v>10000.0</v>
      </c>
      <c r="I2" s="67" t="s">
        <v>3721</v>
      </c>
    </row>
    <row r="3">
      <c r="A3" s="68" t="s">
        <v>2716</v>
      </c>
      <c r="B3" s="69">
        <v>45078.0</v>
      </c>
      <c r="C3" s="70">
        <v>45080.0</v>
      </c>
      <c r="D3" s="68">
        <v>7.0</v>
      </c>
      <c r="E3" s="68">
        <v>10.0</v>
      </c>
      <c r="F3" s="71">
        <v>30000.0</v>
      </c>
      <c r="G3" s="71">
        <v>10000.0</v>
      </c>
      <c r="I3" s="67" t="s">
        <v>3722</v>
      </c>
    </row>
    <row r="4">
      <c r="A4" s="68" t="s">
        <v>2732</v>
      </c>
      <c r="B4" s="69">
        <v>45078.0</v>
      </c>
      <c r="C4" s="70">
        <v>45083.0</v>
      </c>
      <c r="D4" s="68">
        <v>11.0</v>
      </c>
      <c r="E4" s="68">
        <v>9.0</v>
      </c>
      <c r="F4" s="71">
        <v>28000.0</v>
      </c>
      <c r="G4" s="71">
        <v>10000.0</v>
      </c>
    </row>
    <row r="5">
      <c r="A5" s="68" t="s">
        <v>2738</v>
      </c>
      <c r="B5" s="70">
        <v>45078.0</v>
      </c>
      <c r="C5" s="70">
        <v>45080.0</v>
      </c>
      <c r="D5" s="68">
        <v>13.0</v>
      </c>
      <c r="E5" s="68">
        <v>6.0</v>
      </c>
      <c r="F5" s="71">
        <v>22000.0</v>
      </c>
      <c r="G5" s="71">
        <v>10000.0</v>
      </c>
    </row>
    <row r="6">
      <c r="A6" s="68" t="s">
        <v>2742</v>
      </c>
      <c r="B6" s="69">
        <v>45079.0</v>
      </c>
      <c r="C6" s="70">
        <v>45082.0</v>
      </c>
      <c r="D6" s="68">
        <v>8.0</v>
      </c>
      <c r="E6" s="68">
        <v>7.0</v>
      </c>
      <c r="F6" s="71">
        <v>24000.0</v>
      </c>
      <c r="G6" s="71">
        <v>10000.0</v>
      </c>
    </row>
    <row r="7">
      <c r="A7" s="68" t="s">
        <v>2746</v>
      </c>
      <c r="B7" s="70">
        <v>45079.0</v>
      </c>
      <c r="C7" s="70">
        <v>45081.0</v>
      </c>
      <c r="D7" s="68">
        <v>14.0</v>
      </c>
      <c r="E7" s="68">
        <v>10.0</v>
      </c>
      <c r="F7" s="71">
        <v>30000.0</v>
      </c>
      <c r="G7" s="71">
        <v>10000.0</v>
      </c>
    </row>
    <row r="8">
      <c r="A8" s="68" t="s">
        <v>2748</v>
      </c>
      <c r="B8" s="69">
        <v>45079.0</v>
      </c>
      <c r="C8" s="70">
        <v>45084.0</v>
      </c>
      <c r="D8" s="68">
        <v>14.0</v>
      </c>
      <c r="E8" s="68">
        <v>4.0</v>
      </c>
      <c r="F8" s="71">
        <v>18000.0</v>
      </c>
      <c r="G8" s="71">
        <v>10000.0</v>
      </c>
    </row>
    <row r="9">
      <c r="A9" s="68" t="s">
        <v>2749</v>
      </c>
      <c r="B9" s="69">
        <v>45079.0</v>
      </c>
      <c r="C9" s="70">
        <v>45084.0</v>
      </c>
      <c r="D9" s="68">
        <v>9.0</v>
      </c>
      <c r="E9" s="68">
        <v>5.0</v>
      </c>
      <c r="F9" s="71">
        <v>20000.0</v>
      </c>
      <c r="G9" s="71">
        <v>10000.0</v>
      </c>
    </row>
    <row r="10">
      <c r="A10" s="68" t="s">
        <v>2750</v>
      </c>
      <c r="B10" s="69">
        <v>45079.0</v>
      </c>
      <c r="C10" s="70">
        <v>45082.0</v>
      </c>
      <c r="D10" s="68">
        <v>10.0</v>
      </c>
      <c r="E10" s="68">
        <v>6.0</v>
      </c>
      <c r="F10" s="71">
        <v>22000.0</v>
      </c>
      <c r="G10" s="71">
        <v>10000.0</v>
      </c>
    </row>
    <row r="11">
      <c r="A11" s="68" t="s">
        <v>2755</v>
      </c>
      <c r="B11" s="69">
        <v>45079.0</v>
      </c>
      <c r="C11" s="70">
        <v>45082.0</v>
      </c>
      <c r="D11" s="68">
        <v>9.0</v>
      </c>
      <c r="E11" s="68">
        <v>5.0</v>
      </c>
      <c r="F11" s="71">
        <v>20000.0</v>
      </c>
      <c r="G11" s="71">
        <v>10000.0</v>
      </c>
    </row>
    <row r="12">
      <c r="A12" s="68" t="s">
        <v>2757</v>
      </c>
      <c r="B12" s="69">
        <v>45079.0</v>
      </c>
      <c r="C12" s="70">
        <v>45080.0</v>
      </c>
      <c r="D12" s="68">
        <v>11.0</v>
      </c>
      <c r="E12" s="68">
        <v>6.0</v>
      </c>
      <c r="F12" s="71">
        <v>22000.0</v>
      </c>
      <c r="G12" s="71">
        <v>10000.0</v>
      </c>
    </row>
    <row r="13">
      <c r="A13" s="68" t="s">
        <v>2760</v>
      </c>
      <c r="B13" s="69">
        <v>45079.0</v>
      </c>
      <c r="C13" s="70">
        <v>45084.0</v>
      </c>
      <c r="D13" s="68">
        <v>11.0</v>
      </c>
      <c r="E13" s="68">
        <v>5.0</v>
      </c>
      <c r="F13" s="71">
        <v>20000.0</v>
      </c>
      <c r="G13" s="71">
        <v>10000.0</v>
      </c>
    </row>
    <row r="14">
      <c r="A14" s="68" t="s">
        <v>2776</v>
      </c>
      <c r="B14" s="69">
        <v>45079.0</v>
      </c>
      <c r="C14" s="70">
        <v>45080.0</v>
      </c>
      <c r="D14" s="68">
        <v>11.0</v>
      </c>
      <c r="E14" s="68">
        <v>10.0</v>
      </c>
      <c r="F14" s="71">
        <v>30000.0</v>
      </c>
      <c r="G14" s="71">
        <v>10000.0</v>
      </c>
    </row>
    <row r="15">
      <c r="A15" s="68" t="s">
        <v>2779</v>
      </c>
      <c r="B15" s="69">
        <v>45079.0</v>
      </c>
      <c r="C15" s="70">
        <v>45080.0</v>
      </c>
      <c r="D15" s="68">
        <v>8.0</v>
      </c>
      <c r="E15" s="68">
        <v>8.0</v>
      </c>
      <c r="F15" s="71">
        <v>26000.0</v>
      </c>
      <c r="G15" s="71">
        <v>10000.0</v>
      </c>
    </row>
    <row r="16">
      <c r="A16" s="68" t="s">
        <v>2780</v>
      </c>
      <c r="B16" s="69">
        <v>45079.0</v>
      </c>
      <c r="C16" s="70">
        <v>45083.0</v>
      </c>
      <c r="D16" s="68">
        <v>8.0</v>
      </c>
      <c r="E16" s="68">
        <v>8.0</v>
      </c>
      <c r="F16" s="71">
        <v>26000.0</v>
      </c>
      <c r="G16" s="71">
        <v>10000.0</v>
      </c>
    </row>
    <row r="17">
      <c r="A17" s="68" t="s">
        <v>2800</v>
      </c>
      <c r="B17" s="69">
        <v>45080.0</v>
      </c>
      <c r="C17" s="70">
        <v>45084.0</v>
      </c>
      <c r="D17" s="68">
        <v>13.0</v>
      </c>
      <c r="E17" s="68">
        <v>6.0</v>
      </c>
      <c r="F17" s="71">
        <v>22000.0</v>
      </c>
      <c r="G17" s="71">
        <v>10000.0</v>
      </c>
    </row>
    <row r="18">
      <c r="A18" s="68" t="s">
        <v>2804</v>
      </c>
      <c r="B18" s="69">
        <v>45080.0</v>
      </c>
      <c r="C18" s="70">
        <v>45083.0</v>
      </c>
      <c r="D18" s="68">
        <v>9.0</v>
      </c>
      <c r="E18" s="68">
        <v>6.0</v>
      </c>
      <c r="F18" s="71">
        <v>22000.0</v>
      </c>
      <c r="G18" s="71">
        <v>10000.0</v>
      </c>
    </row>
    <row r="19">
      <c r="A19" s="68" t="s">
        <v>2805</v>
      </c>
      <c r="B19" s="69">
        <v>45080.0</v>
      </c>
      <c r="C19" s="70">
        <v>45085.0</v>
      </c>
      <c r="D19" s="68">
        <v>11.0</v>
      </c>
      <c r="E19" s="68">
        <v>9.0</v>
      </c>
      <c r="F19" s="71">
        <v>28000.0</v>
      </c>
      <c r="G19" s="71">
        <v>10000.0</v>
      </c>
    </row>
    <row r="20">
      <c r="A20" s="68" t="s">
        <v>2810</v>
      </c>
      <c r="B20" s="69">
        <v>45080.0</v>
      </c>
      <c r="C20" s="70">
        <v>45081.0</v>
      </c>
      <c r="D20" s="68">
        <v>13.0</v>
      </c>
      <c r="E20" s="68">
        <v>10.0</v>
      </c>
      <c r="F20" s="71">
        <v>30000.0</v>
      </c>
      <c r="G20" s="71">
        <v>10000.0</v>
      </c>
    </row>
    <row r="21">
      <c r="A21" s="68" t="s">
        <v>2815</v>
      </c>
      <c r="B21" s="69">
        <v>45080.0</v>
      </c>
      <c r="C21" s="70">
        <v>45083.0</v>
      </c>
      <c r="D21" s="68">
        <v>8.0</v>
      </c>
      <c r="E21" s="68">
        <v>7.0</v>
      </c>
      <c r="F21" s="71">
        <v>24000.0</v>
      </c>
      <c r="G21" s="71">
        <v>10000.0</v>
      </c>
    </row>
    <row r="22">
      <c r="A22" s="68" t="s">
        <v>2816</v>
      </c>
      <c r="B22" s="69">
        <v>45080.0</v>
      </c>
      <c r="C22" s="70">
        <v>45085.0</v>
      </c>
      <c r="D22" s="68">
        <v>7.0</v>
      </c>
      <c r="E22" s="68">
        <v>9.0</v>
      </c>
      <c r="F22" s="71">
        <v>28000.0</v>
      </c>
      <c r="G22" s="71">
        <v>10000.0</v>
      </c>
    </row>
    <row r="23">
      <c r="A23" s="68" t="s">
        <v>2817</v>
      </c>
      <c r="B23" s="69">
        <v>45080.0</v>
      </c>
      <c r="C23" s="70">
        <v>45081.0</v>
      </c>
      <c r="D23" s="68">
        <v>14.0</v>
      </c>
      <c r="E23" s="68">
        <v>9.0</v>
      </c>
      <c r="F23" s="71">
        <v>28000.0</v>
      </c>
      <c r="G23" s="71">
        <v>10000.0</v>
      </c>
      <c r="I23" s="72"/>
    </row>
    <row r="24">
      <c r="A24" s="68" t="s">
        <v>2821</v>
      </c>
      <c r="B24" s="69">
        <v>45080.0</v>
      </c>
      <c r="C24" s="70">
        <v>45083.0</v>
      </c>
      <c r="D24" s="68">
        <v>8.0</v>
      </c>
      <c r="E24" s="68">
        <v>6.0</v>
      </c>
      <c r="F24" s="71">
        <v>22000.0</v>
      </c>
      <c r="G24" s="71">
        <v>10000.0</v>
      </c>
    </row>
    <row r="25">
      <c r="A25" s="68" t="s">
        <v>2822</v>
      </c>
      <c r="B25" s="69">
        <v>45080.0</v>
      </c>
      <c r="C25" s="70">
        <v>45083.0</v>
      </c>
      <c r="D25" s="68">
        <v>13.0</v>
      </c>
      <c r="E25" s="68">
        <v>8.0</v>
      </c>
      <c r="F25" s="71">
        <v>26000.0</v>
      </c>
      <c r="G25" s="71">
        <v>10000.0</v>
      </c>
    </row>
    <row r="26">
      <c r="A26" s="68" t="s">
        <v>2828</v>
      </c>
      <c r="B26" s="69">
        <v>45081.0</v>
      </c>
      <c r="C26" s="70">
        <v>45082.0</v>
      </c>
      <c r="D26" s="68">
        <v>10.0</v>
      </c>
      <c r="E26" s="68">
        <v>7.0</v>
      </c>
      <c r="F26" s="71">
        <v>24000.0</v>
      </c>
      <c r="G26" s="71">
        <v>10000.0</v>
      </c>
    </row>
    <row r="27">
      <c r="A27" s="68" t="s">
        <v>2829</v>
      </c>
      <c r="B27" s="69">
        <v>45081.0</v>
      </c>
      <c r="C27" s="70">
        <v>45082.0</v>
      </c>
      <c r="D27" s="68">
        <v>10.0</v>
      </c>
      <c r="E27" s="68">
        <v>5.0</v>
      </c>
      <c r="F27" s="71">
        <v>20000.0</v>
      </c>
      <c r="G27" s="71">
        <v>10000.0</v>
      </c>
    </row>
    <row r="28">
      <c r="A28" s="68" t="s">
        <v>2833</v>
      </c>
      <c r="B28" s="69">
        <v>45081.0</v>
      </c>
      <c r="C28" s="70">
        <v>45082.0</v>
      </c>
      <c r="D28" s="68">
        <v>7.0</v>
      </c>
      <c r="E28" s="68">
        <v>8.0</v>
      </c>
      <c r="F28" s="71">
        <v>26000.0</v>
      </c>
      <c r="G28" s="71">
        <v>10000.0</v>
      </c>
    </row>
    <row r="29">
      <c r="A29" s="68" t="s">
        <v>2835</v>
      </c>
      <c r="B29" s="69">
        <v>45081.0</v>
      </c>
      <c r="C29" s="70">
        <v>45084.0</v>
      </c>
      <c r="D29" s="68">
        <v>13.0</v>
      </c>
      <c r="E29" s="68">
        <v>8.0</v>
      </c>
      <c r="F29" s="71">
        <v>26000.0</v>
      </c>
      <c r="G29" s="71">
        <v>10000.0</v>
      </c>
    </row>
    <row r="30">
      <c r="A30" s="68" t="s">
        <v>2836</v>
      </c>
      <c r="B30" s="69">
        <v>45081.0</v>
      </c>
      <c r="C30" s="70">
        <v>45085.0</v>
      </c>
      <c r="D30" s="68">
        <v>10.0</v>
      </c>
      <c r="E30" s="68">
        <v>7.0</v>
      </c>
      <c r="F30" s="71">
        <v>24000.0</v>
      </c>
      <c r="G30" s="71">
        <v>10000.0</v>
      </c>
    </row>
    <row r="31">
      <c r="A31" s="68" t="s">
        <v>2841</v>
      </c>
      <c r="B31" s="69">
        <v>45081.0</v>
      </c>
      <c r="C31" s="70">
        <v>45082.0</v>
      </c>
      <c r="D31" s="68">
        <v>11.0</v>
      </c>
      <c r="E31" s="68">
        <v>7.0</v>
      </c>
      <c r="F31" s="71">
        <v>24000.0</v>
      </c>
      <c r="G31" s="71">
        <v>10000.0</v>
      </c>
    </row>
    <row r="32">
      <c r="A32" s="68" t="s">
        <v>2846</v>
      </c>
      <c r="B32" s="69">
        <v>45081.0</v>
      </c>
      <c r="C32" s="70">
        <v>45084.0</v>
      </c>
      <c r="D32" s="68">
        <v>7.0</v>
      </c>
      <c r="E32" s="68">
        <v>5.0</v>
      </c>
      <c r="F32" s="71">
        <v>20000.0</v>
      </c>
      <c r="G32" s="71">
        <v>10000.0</v>
      </c>
    </row>
    <row r="33">
      <c r="A33" s="68" t="s">
        <v>2856</v>
      </c>
      <c r="B33" s="69">
        <v>45081.0</v>
      </c>
      <c r="C33" s="70">
        <v>45085.0</v>
      </c>
      <c r="D33" s="68">
        <v>11.0</v>
      </c>
      <c r="E33" s="68">
        <v>5.0</v>
      </c>
      <c r="F33" s="71">
        <v>20000.0</v>
      </c>
      <c r="G33" s="71">
        <v>10000.0</v>
      </c>
    </row>
    <row r="34">
      <c r="A34" s="68" t="s">
        <v>2868</v>
      </c>
      <c r="B34" s="69">
        <v>45082.0</v>
      </c>
      <c r="C34" s="70">
        <v>45086.0</v>
      </c>
      <c r="D34" s="68">
        <v>7.0</v>
      </c>
      <c r="E34" s="68">
        <v>8.0</v>
      </c>
      <c r="F34" s="71">
        <v>26000.0</v>
      </c>
      <c r="G34" s="71">
        <v>10000.0</v>
      </c>
    </row>
    <row r="35">
      <c r="A35" s="68" t="s">
        <v>2875</v>
      </c>
      <c r="B35" s="69">
        <v>45082.0</v>
      </c>
      <c r="C35" s="70">
        <v>45084.0</v>
      </c>
      <c r="D35" s="68">
        <v>12.0</v>
      </c>
      <c r="E35" s="68">
        <v>6.0</v>
      </c>
      <c r="F35" s="71">
        <v>22000.0</v>
      </c>
      <c r="G35" s="71">
        <v>10000.0</v>
      </c>
    </row>
    <row r="36">
      <c r="A36" s="68" t="s">
        <v>2884</v>
      </c>
      <c r="B36" s="69">
        <v>45082.0</v>
      </c>
      <c r="C36" s="70">
        <v>45087.0</v>
      </c>
      <c r="D36" s="68">
        <v>9.0</v>
      </c>
      <c r="E36" s="68">
        <v>6.0</v>
      </c>
      <c r="F36" s="71">
        <v>22000.0</v>
      </c>
      <c r="G36" s="71">
        <v>10000.0</v>
      </c>
    </row>
    <row r="37">
      <c r="A37" s="68" t="s">
        <v>2887</v>
      </c>
      <c r="B37" s="69">
        <v>45083.0</v>
      </c>
      <c r="C37" s="70">
        <v>45085.0</v>
      </c>
      <c r="D37" s="68">
        <v>14.0</v>
      </c>
      <c r="E37" s="68">
        <v>6.0</v>
      </c>
      <c r="F37" s="71">
        <v>22000.0</v>
      </c>
      <c r="G37" s="71">
        <v>10000.0</v>
      </c>
    </row>
    <row r="38">
      <c r="A38" s="3" t="s">
        <v>2891</v>
      </c>
      <c r="B38" s="73">
        <v>45083.0</v>
      </c>
      <c r="C38" s="74">
        <v>45088.0</v>
      </c>
      <c r="D38" s="3">
        <v>13.0</v>
      </c>
      <c r="E38" s="3">
        <v>7.0</v>
      </c>
      <c r="F38" s="75">
        <v>24000.0</v>
      </c>
      <c r="G38" s="71">
        <v>10000.0</v>
      </c>
    </row>
    <row r="39">
      <c r="A39" s="3" t="s">
        <v>2896</v>
      </c>
      <c r="B39" s="73">
        <v>45083.0</v>
      </c>
      <c r="C39" s="74">
        <v>45084.0</v>
      </c>
      <c r="D39" s="3">
        <v>7.0</v>
      </c>
      <c r="E39" s="3">
        <v>7.0</v>
      </c>
      <c r="F39" s="75">
        <v>24000.0</v>
      </c>
      <c r="G39" s="71">
        <v>10000.0</v>
      </c>
    </row>
    <row r="40">
      <c r="A40" s="3" t="s">
        <v>2897</v>
      </c>
      <c r="B40" s="73">
        <v>45083.0</v>
      </c>
      <c r="C40" s="74">
        <v>45088.0</v>
      </c>
      <c r="D40" s="3">
        <v>14.0</v>
      </c>
      <c r="E40" s="3">
        <v>10.0</v>
      </c>
      <c r="F40" s="75">
        <v>30000.0</v>
      </c>
      <c r="G40" s="71">
        <v>10000.0</v>
      </c>
    </row>
    <row r="41">
      <c r="A41" s="3" t="s">
        <v>2901</v>
      </c>
      <c r="B41" s="73">
        <v>45083.0</v>
      </c>
      <c r="C41" s="74">
        <v>45085.0</v>
      </c>
      <c r="D41" s="3">
        <v>9.0</v>
      </c>
      <c r="E41" s="3">
        <v>6.0</v>
      </c>
      <c r="F41" s="75">
        <v>22000.0</v>
      </c>
      <c r="G41" s="71">
        <v>10000.0</v>
      </c>
    </row>
    <row r="42">
      <c r="A42" s="3" t="s">
        <v>2902</v>
      </c>
      <c r="B42" s="73">
        <v>45083.0</v>
      </c>
      <c r="C42" s="74">
        <v>45084.0</v>
      </c>
      <c r="D42" s="3">
        <v>11.0</v>
      </c>
      <c r="E42" s="3">
        <v>4.0</v>
      </c>
      <c r="F42" s="75">
        <v>18000.0</v>
      </c>
      <c r="G42" s="71">
        <v>10000.0</v>
      </c>
    </row>
    <row r="43">
      <c r="A43" s="3" t="s">
        <v>2904</v>
      </c>
      <c r="B43" s="73">
        <v>45083.0</v>
      </c>
      <c r="C43" s="74">
        <v>45084.0</v>
      </c>
      <c r="D43" s="3">
        <v>9.0</v>
      </c>
      <c r="E43" s="3">
        <v>8.0</v>
      </c>
      <c r="F43" s="75">
        <v>26000.0</v>
      </c>
      <c r="G43" s="71">
        <v>10000.0</v>
      </c>
    </row>
    <row r="44">
      <c r="A44" s="3" t="s">
        <v>2914</v>
      </c>
      <c r="B44" s="73">
        <v>45083.0</v>
      </c>
      <c r="C44" s="74">
        <v>45085.0</v>
      </c>
      <c r="D44" s="3">
        <v>13.0</v>
      </c>
      <c r="E44" s="3">
        <v>8.0</v>
      </c>
      <c r="F44" s="75">
        <v>26000.0</v>
      </c>
      <c r="G44" s="71">
        <v>10000.0</v>
      </c>
    </row>
    <row r="45">
      <c r="A45" s="3" t="s">
        <v>2916</v>
      </c>
      <c r="B45" s="73">
        <v>45083.0</v>
      </c>
      <c r="C45" s="74">
        <v>45086.0</v>
      </c>
      <c r="D45" s="3">
        <v>10.0</v>
      </c>
      <c r="E45" s="3">
        <v>9.0</v>
      </c>
      <c r="F45" s="75">
        <v>28000.0</v>
      </c>
      <c r="G45" s="71">
        <v>10000.0</v>
      </c>
    </row>
    <row r="46">
      <c r="A46" s="3" t="s">
        <v>2923</v>
      </c>
      <c r="B46" s="73">
        <v>45084.0</v>
      </c>
      <c r="C46" s="74">
        <v>45086.0</v>
      </c>
      <c r="D46" s="3">
        <v>8.0</v>
      </c>
      <c r="E46" s="3">
        <v>9.0</v>
      </c>
      <c r="F46" s="75">
        <v>28000.0</v>
      </c>
      <c r="G46" s="71">
        <v>10000.0</v>
      </c>
    </row>
    <row r="47">
      <c r="A47" s="3" t="s">
        <v>2926</v>
      </c>
      <c r="B47" s="73">
        <v>45084.0</v>
      </c>
      <c r="C47" s="74">
        <v>45087.0</v>
      </c>
      <c r="D47" s="3">
        <v>14.0</v>
      </c>
      <c r="E47" s="3">
        <v>9.0</v>
      </c>
      <c r="F47" s="75">
        <v>28000.0</v>
      </c>
      <c r="G47" s="71">
        <v>10000.0</v>
      </c>
    </row>
    <row r="48">
      <c r="A48" s="3" t="s">
        <v>2947</v>
      </c>
      <c r="B48" s="73">
        <v>45084.0</v>
      </c>
      <c r="C48" s="74">
        <v>45089.0</v>
      </c>
      <c r="D48" s="3">
        <v>8.0</v>
      </c>
      <c r="E48" s="3">
        <v>10.0</v>
      </c>
      <c r="F48" s="75">
        <v>30000.0</v>
      </c>
      <c r="G48" s="71">
        <v>10000.0</v>
      </c>
    </row>
    <row r="49">
      <c r="A49" s="3" t="s">
        <v>2948</v>
      </c>
      <c r="B49" s="73">
        <v>45084.0</v>
      </c>
      <c r="C49" s="74">
        <v>45086.0</v>
      </c>
      <c r="D49" s="3">
        <v>7.0</v>
      </c>
      <c r="E49" s="3">
        <v>7.0</v>
      </c>
      <c r="F49" s="75">
        <v>24000.0</v>
      </c>
      <c r="G49" s="71">
        <v>10000.0</v>
      </c>
    </row>
    <row r="50">
      <c r="A50" s="3" t="s">
        <v>2950</v>
      </c>
      <c r="B50" s="73">
        <v>45084.0</v>
      </c>
      <c r="C50" s="74">
        <v>45086.0</v>
      </c>
      <c r="D50" s="3">
        <v>11.0</v>
      </c>
      <c r="E50" s="3">
        <v>4.0</v>
      </c>
      <c r="F50" s="75">
        <v>18000.0</v>
      </c>
      <c r="G50" s="71">
        <v>10000.0</v>
      </c>
    </row>
    <row r="51">
      <c r="A51" s="3" t="s">
        <v>2957</v>
      </c>
      <c r="B51" s="73">
        <v>45085.0</v>
      </c>
      <c r="C51" s="74">
        <v>45088.0</v>
      </c>
      <c r="D51" s="3">
        <v>9.0</v>
      </c>
      <c r="E51" s="3">
        <v>10.0</v>
      </c>
      <c r="F51" s="75">
        <v>30000.0</v>
      </c>
      <c r="G51" s="71">
        <v>10000.0</v>
      </c>
    </row>
    <row r="52">
      <c r="A52" s="3" t="s">
        <v>2969</v>
      </c>
      <c r="B52" s="73">
        <v>45085.0</v>
      </c>
      <c r="C52" s="74">
        <v>45087.0</v>
      </c>
      <c r="D52" s="3">
        <v>8.0</v>
      </c>
      <c r="E52" s="3">
        <v>7.0</v>
      </c>
      <c r="F52" s="75">
        <v>24000.0</v>
      </c>
      <c r="G52" s="71">
        <v>10000.0</v>
      </c>
    </row>
    <row r="53">
      <c r="A53" s="3" t="s">
        <v>2972</v>
      </c>
      <c r="B53" s="73">
        <v>45085.0</v>
      </c>
      <c r="C53" s="74">
        <v>45086.0</v>
      </c>
      <c r="D53" s="3">
        <v>9.0</v>
      </c>
      <c r="E53" s="3">
        <v>9.0</v>
      </c>
      <c r="F53" s="75">
        <v>28000.0</v>
      </c>
      <c r="G53" s="71">
        <v>10000.0</v>
      </c>
    </row>
    <row r="54">
      <c r="A54" s="3" t="s">
        <v>2976</v>
      </c>
      <c r="B54" s="73">
        <v>45085.0</v>
      </c>
      <c r="C54" s="74">
        <v>45088.0</v>
      </c>
      <c r="D54" s="3">
        <v>12.0</v>
      </c>
      <c r="E54" s="3">
        <v>9.0</v>
      </c>
      <c r="F54" s="75">
        <v>28000.0</v>
      </c>
      <c r="G54" s="71">
        <v>10000.0</v>
      </c>
    </row>
    <row r="55">
      <c r="A55" s="3" t="s">
        <v>2977</v>
      </c>
      <c r="B55" s="73">
        <v>45085.0</v>
      </c>
      <c r="C55" s="74">
        <v>45086.0</v>
      </c>
      <c r="D55" s="3">
        <v>12.0</v>
      </c>
      <c r="E55" s="3">
        <v>6.0</v>
      </c>
      <c r="F55" s="75">
        <v>22000.0</v>
      </c>
      <c r="G55" s="71">
        <v>10000.0</v>
      </c>
    </row>
    <row r="56">
      <c r="A56" s="3" t="s">
        <v>2986</v>
      </c>
      <c r="B56" s="73">
        <v>45086.0</v>
      </c>
      <c r="C56" s="74">
        <v>45090.0</v>
      </c>
      <c r="D56" s="3">
        <v>13.0</v>
      </c>
      <c r="E56" s="3">
        <v>6.0</v>
      </c>
      <c r="F56" s="75">
        <v>22000.0</v>
      </c>
      <c r="G56" s="71">
        <v>10000.0</v>
      </c>
    </row>
    <row r="57">
      <c r="A57" s="3" t="s">
        <v>2994</v>
      </c>
      <c r="B57" s="73">
        <v>45086.0</v>
      </c>
      <c r="C57" s="74">
        <v>45087.0</v>
      </c>
      <c r="D57" s="3">
        <v>13.0</v>
      </c>
      <c r="E57" s="3">
        <v>8.0</v>
      </c>
      <c r="F57" s="75">
        <v>26000.0</v>
      </c>
      <c r="G57" s="71">
        <v>10000.0</v>
      </c>
    </row>
    <row r="58">
      <c r="A58" s="3" t="s">
        <v>2995</v>
      </c>
      <c r="B58" s="73">
        <v>45086.0</v>
      </c>
      <c r="C58" s="74">
        <v>45087.0</v>
      </c>
      <c r="D58" s="3">
        <v>11.0</v>
      </c>
      <c r="E58" s="3">
        <v>7.0</v>
      </c>
      <c r="F58" s="75">
        <v>24000.0</v>
      </c>
      <c r="G58" s="71">
        <v>10000.0</v>
      </c>
    </row>
    <row r="59">
      <c r="A59" s="3" t="s">
        <v>2999</v>
      </c>
      <c r="B59" s="73">
        <v>45086.0</v>
      </c>
      <c r="C59" s="74">
        <v>45091.0</v>
      </c>
      <c r="D59" s="3">
        <v>11.0</v>
      </c>
      <c r="E59" s="3">
        <v>4.0</v>
      </c>
      <c r="F59" s="75">
        <v>18000.0</v>
      </c>
      <c r="G59" s="71">
        <v>10000.0</v>
      </c>
    </row>
    <row r="60">
      <c r="A60" s="3" t="s">
        <v>3003</v>
      </c>
      <c r="B60" s="73">
        <v>45086.0</v>
      </c>
      <c r="C60" s="74">
        <v>45088.0</v>
      </c>
      <c r="D60" s="3">
        <v>11.0</v>
      </c>
      <c r="E60" s="3">
        <v>10.0</v>
      </c>
      <c r="F60" s="75">
        <v>30000.0</v>
      </c>
      <c r="G60" s="71">
        <v>10000.0</v>
      </c>
    </row>
    <row r="61">
      <c r="A61" s="3" t="s">
        <v>3010</v>
      </c>
      <c r="B61" s="73">
        <v>45086.0</v>
      </c>
      <c r="C61" s="74">
        <v>45088.0</v>
      </c>
      <c r="D61" s="3">
        <v>12.0</v>
      </c>
      <c r="E61" s="3">
        <v>4.0</v>
      </c>
      <c r="F61" s="75">
        <v>18000.0</v>
      </c>
      <c r="G61" s="71">
        <v>10000.0</v>
      </c>
    </row>
    <row r="62">
      <c r="A62" s="3" t="s">
        <v>3022</v>
      </c>
      <c r="B62" s="73">
        <v>45087.0</v>
      </c>
      <c r="C62" s="74">
        <v>45088.0</v>
      </c>
      <c r="D62" s="3">
        <v>11.0</v>
      </c>
      <c r="E62" s="3">
        <v>5.0</v>
      </c>
      <c r="F62" s="75">
        <v>20000.0</v>
      </c>
      <c r="G62" s="71">
        <v>10000.0</v>
      </c>
    </row>
    <row r="63">
      <c r="A63" s="3" t="s">
        <v>3033</v>
      </c>
      <c r="B63" s="73">
        <v>45087.0</v>
      </c>
      <c r="C63" s="74">
        <v>45091.0</v>
      </c>
      <c r="D63" s="3">
        <v>7.0</v>
      </c>
      <c r="E63" s="3">
        <v>10.0</v>
      </c>
      <c r="F63" s="75">
        <v>30000.0</v>
      </c>
      <c r="G63" s="71">
        <v>10000.0</v>
      </c>
    </row>
    <row r="64">
      <c r="A64" s="3" t="s">
        <v>3034</v>
      </c>
      <c r="B64" s="73">
        <v>45087.0</v>
      </c>
      <c r="C64" s="74">
        <v>45088.0</v>
      </c>
      <c r="D64" s="3">
        <v>12.0</v>
      </c>
      <c r="E64" s="3">
        <v>4.0</v>
      </c>
      <c r="F64" s="75">
        <v>18000.0</v>
      </c>
      <c r="G64" s="71">
        <v>10000.0</v>
      </c>
    </row>
    <row r="65">
      <c r="A65" s="3" t="s">
        <v>3045</v>
      </c>
      <c r="B65" s="73">
        <v>45087.0</v>
      </c>
      <c r="C65" s="74">
        <v>45091.0</v>
      </c>
      <c r="D65" s="3">
        <v>11.0</v>
      </c>
      <c r="E65" s="3">
        <v>6.0</v>
      </c>
      <c r="F65" s="75">
        <v>22000.0</v>
      </c>
      <c r="G65" s="71">
        <v>10000.0</v>
      </c>
    </row>
    <row r="66">
      <c r="A66" s="3" t="s">
        <v>3053</v>
      </c>
      <c r="B66" s="73">
        <v>45088.0</v>
      </c>
      <c r="C66" s="74">
        <v>45093.0</v>
      </c>
      <c r="D66" s="3">
        <v>9.0</v>
      </c>
      <c r="E66" s="3">
        <v>10.0</v>
      </c>
      <c r="F66" s="75">
        <v>30000.0</v>
      </c>
      <c r="G66" s="71">
        <v>10000.0</v>
      </c>
    </row>
    <row r="67">
      <c r="A67" s="3" t="s">
        <v>3055</v>
      </c>
      <c r="B67" s="73">
        <v>45088.0</v>
      </c>
      <c r="C67" s="74">
        <v>45093.0</v>
      </c>
      <c r="D67" s="3">
        <v>10.0</v>
      </c>
      <c r="E67" s="3">
        <v>8.0</v>
      </c>
      <c r="F67" s="75">
        <v>26000.0</v>
      </c>
      <c r="G67" s="71">
        <v>10000.0</v>
      </c>
    </row>
    <row r="68">
      <c r="A68" s="3" t="s">
        <v>3058</v>
      </c>
      <c r="B68" s="73">
        <v>45088.0</v>
      </c>
      <c r="C68" s="74">
        <v>45091.0</v>
      </c>
      <c r="D68" s="3">
        <v>7.0</v>
      </c>
      <c r="E68" s="3">
        <v>4.0</v>
      </c>
      <c r="F68" s="75">
        <v>18000.0</v>
      </c>
      <c r="G68" s="71">
        <v>10000.0</v>
      </c>
    </row>
    <row r="69">
      <c r="A69" s="3" t="s">
        <v>3060</v>
      </c>
      <c r="B69" s="73">
        <v>45088.0</v>
      </c>
      <c r="C69" s="74">
        <v>45089.0</v>
      </c>
      <c r="D69" s="3">
        <v>10.0</v>
      </c>
      <c r="E69" s="3">
        <v>10.0</v>
      </c>
      <c r="F69" s="75">
        <v>30000.0</v>
      </c>
      <c r="G69" s="71">
        <v>10000.0</v>
      </c>
    </row>
    <row r="70">
      <c r="A70" s="3" t="s">
        <v>3068</v>
      </c>
      <c r="B70" s="73">
        <v>45088.0</v>
      </c>
      <c r="C70" s="74">
        <v>45090.0</v>
      </c>
      <c r="D70" s="3">
        <v>13.0</v>
      </c>
      <c r="E70" s="3">
        <v>5.0</v>
      </c>
      <c r="F70" s="75">
        <v>20000.0</v>
      </c>
      <c r="G70" s="71">
        <v>10000.0</v>
      </c>
    </row>
    <row r="71">
      <c r="A71" s="3" t="s">
        <v>3069</v>
      </c>
      <c r="B71" s="74">
        <v>45089.0</v>
      </c>
      <c r="C71" s="74">
        <v>45090.0</v>
      </c>
      <c r="D71" s="3">
        <v>13.0</v>
      </c>
      <c r="E71" s="3">
        <v>8.0</v>
      </c>
      <c r="F71" s="75">
        <v>26000.0</v>
      </c>
      <c r="G71" s="71">
        <v>10000.0</v>
      </c>
    </row>
    <row r="72">
      <c r="A72" s="3" t="s">
        <v>3073</v>
      </c>
      <c r="B72" s="73">
        <v>45089.0</v>
      </c>
      <c r="C72" s="74">
        <v>45092.0</v>
      </c>
      <c r="D72" s="3">
        <v>13.0</v>
      </c>
      <c r="E72" s="3">
        <v>8.0</v>
      </c>
      <c r="F72" s="75">
        <v>26000.0</v>
      </c>
      <c r="G72" s="71">
        <v>10000.0</v>
      </c>
    </row>
    <row r="73">
      <c r="A73" s="3" t="s">
        <v>3079</v>
      </c>
      <c r="B73" s="73">
        <v>45089.0</v>
      </c>
      <c r="C73" s="74">
        <v>45090.0</v>
      </c>
      <c r="D73" s="3">
        <v>9.0</v>
      </c>
      <c r="E73" s="3">
        <v>10.0</v>
      </c>
      <c r="F73" s="75">
        <v>30000.0</v>
      </c>
      <c r="G73" s="71">
        <v>10000.0</v>
      </c>
    </row>
    <row r="74">
      <c r="A74" s="3" t="s">
        <v>3083</v>
      </c>
      <c r="B74" s="73">
        <v>45089.0</v>
      </c>
      <c r="C74" s="74">
        <v>45092.0</v>
      </c>
      <c r="D74" s="3">
        <v>13.0</v>
      </c>
      <c r="E74" s="3">
        <v>8.0</v>
      </c>
      <c r="F74" s="75">
        <v>26000.0</v>
      </c>
      <c r="G74" s="71">
        <v>10000.0</v>
      </c>
    </row>
    <row r="75">
      <c r="A75" s="3" t="s">
        <v>3087</v>
      </c>
      <c r="B75" s="73">
        <v>45089.0</v>
      </c>
      <c r="C75" s="74">
        <v>45090.0</v>
      </c>
      <c r="D75" s="3">
        <v>10.0</v>
      </c>
      <c r="E75" s="3">
        <v>7.0</v>
      </c>
      <c r="F75" s="75">
        <v>24000.0</v>
      </c>
      <c r="G75" s="71">
        <v>10000.0</v>
      </c>
    </row>
    <row r="76">
      <c r="A76" s="3" t="s">
        <v>3090</v>
      </c>
      <c r="B76" s="73">
        <v>45089.0</v>
      </c>
      <c r="C76" s="74">
        <v>45091.0</v>
      </c>
      <c r="D76" s="3">
        <v>7.0</v>
      </c>
      <c r="E76" s="3">
        <v>10.0</v>
      </c>
      <c r="F76" s="75">
        <v>30000.0</v>
      </c>
      <c r="G76" s="71">
        <v>10000.0</v>
      </c>
    </row>
    <row r="77">
      <c r="A77" s="3" t="s">
        <v>3098</v>
      </c>
      <c r="B77" s="73">
        <v>45089.0</v>
      </c>
      <c r="C77" s="74">
        <v>45094.0</v>
      </c>
      <c r="D77" s="3">
        <v>11.0</v>
      </c>
      <c r="E77" s="3">
        <v>6.0</v>
      </c>
      <c r="F77" s="75">
        <v>22000.0</v>
      </c>
      <c r="G77" s="71">
        <v>10000.0</v>
      </c>
    </row>
    <row r="78">
      <c r="A78" s="3" t="s">
        <v>3099</v>
      </c>
      <c r="B78" s="73">
        <v>45089.0</v>
      </c>
      <c r="C78" s="74">
        <v>45093.0</v>
      </c>
      <c r="D78" s="3">
        <v>13.0</v>
      </c>
      <c r="E78" s="3">
        <v>9.0</v>
      </c>
      <c r="F78" s="75">
        <v>28000.0</v>
      </c>
      <c r="G78" s="71">
        <v>10000.0</v>
      </c>
    </row>
    <row r="79">
      <c r="A79" s="3" t="s">
        <v>3123</v>
      </c>
      <c r="B79" s="73">
        <v>45090.0</v>
      </c>
      <c r="C79" s="74">
        <v>45093.0</v>
      </c>
      <c r="D79" s="3">
        <v>13.0</v>
      </c>
      <c r="E79" s="3">
        <v>5.0</v>
      </c>
      <c r="F79" s="75">
        <v>20000.0</v>
      </c>
      <c r="G79" s="71">
        <v>10000.0</v>
      </c>
    </row>
    <row r="80">
      <c r="A80" s="3" t="s">
        <v>3125</v>
      </c>
      <c r="B80" s="73">
        <v>45090.0</v>
      </c>
      <c r="C80" s="74">
        <v>45095.0</v>
      </c>
      <c r="D80" s="3">
        <v>10.0</v>
      </c>
      <c r="E80" s="3">
        <v>5.0</v>
      </c>
      <c r="F80" s="75">
        <v>20000.0</v>
      </c>
      <c r="G80" s="71">
        <v>10000.0</v>
      </c>
    </row>
    <row r="81">
      <c r="A81" s="3" t="s">
        <v>3128</v>
      </c>
      <c r="B81" s="73">
        <v>45090.0</v>
      </c>
      <c r="C81" s="74">
        <v>45091.0</v>
      </c>
      <c r="D81" s="3">
        <v>11.0</v>
      </c>
      <c r="E81" s="3">
        <v>5.0</v>
      </c>
      <c r="F81" s="75">
        <v>20000.0</v>
      </c>
      <c r="G81" s="71">
        <v>10000.0</v>
      </c>
    </row>
    <row r="82">
      <c r="A82" s="3" t="s">
        <v>3136</v>
      </c>
      <c r="B82" s="73">
        <v>45090.0</v>
      </c>
      <c r="C82" s="74">
        <v>45092.0</v>
      </c>
      <c r="D82" s="3">
        <v>10.0</v>
      </c>
      <c r="E82" s="3">
        <v>6.0</v>
      </c>
      <c r="F82" s="75">
        <v>22000.0</v>
      </c>
      <c r="G82" s="71">
        <v>10000.0</v>
      </c>
    </row>
    <row r="83">
      <c r="A83" s="3" t="s">
        <v>3138</v>
      </c>
      <c r="B83" s="73">
        <v>45090.0</v>
      </c>
      <c r="C83" s="74">
        <v>45092.0</v>
      </c>
      <c r="D83" s="3">
        <v>10.0</v>
      </c>
      <c r="E83" s="3">
        <v>10.0</v>
      </c>
      <c r="F83" s="75">
        <v>30000.0</v>
      </c>
      <c r="G83" s="71">
        <v>10000.0</v>
      </c>
    </row>
    <row r="84">
      <c r="A84" s="3" t="s">
        <v>3140</v>
      </c>
      <c r="B84" s="73">
        <v>45090.0</v>
      </c>
      <c r="C84" s="74">
        <v>45093.0</v>
      </c>
      <c r="D84" s="3">
        <v>13.0</v>
      </c>
      <c r="E84" s="3">
        <v>4.0</v>
      </c>
      <c r="F84" s="75">
        <v>18000.0</v>
      </c>
      <c r="G84" s="71">
        <v>10000.0</v>
      </c>
    </row>
    <row r="85">
      <c r="A85" s="3" t="s">
        <v>3143</v>
      </c>
      <c r="B85" s="73">
        <v>45091.0</v>
      </c>
      <c r="C85" s="74">
        <v>45094.0</v>
      </c>
      <c r="D85" s="3">
        <v>13.0</v>
      </c>
      <c r="E85" s="3">
        <v>9.0</v>
      </c>
      <c r="F85" s="75">
        <v>28000.0</v>
      </c>
      <c r="G85" s="71">
        <v>10000.0</v>
      </c>
    </row>
    <row r="86">
      <c r="A86" s="3" t="s">
        <v>3144</v>
      </c>
      <c r="B86" s="73">
        <v>45091.0</v>
      </c>
      <c r="C86" s="74">
        <v>45096.0</v>
      </c>
      <c r="D86" s="3">
        <v>11.0</v>
      </c>
      <c r="E86" s="3">
        <v>4.0</v>
      </c>
      <c r="F86" s="75">
        <v>18000.0</v>
      </c>
      <c r="G86" s="71">
        <v>10000.0</v>
      </c>
    </row>
    <row r="87">
      <c r="A87" s="3" t="s">
        <v>3149</v>
      </c>
      <c r="B87" s="73">
        <v>45091.0</v>
      </c>
      <c r="C87" s="74">
        <v>45092.0</v>
      </c>
      <c r="D87" s="3">
        <v>9.0</v>
      </c>
      <c r="E87" s="3">
        <v>5.0</v>
      </c>
      <c r="F87" s="75">
        <v>20000.0</v>
      </c>
      <c r="G87" s="71">
        <v>10000.0</v>
      </c>
    </row>
    <row r="88">
      <c r="A88" s="3" t="s">
        <v>3151</v>
      </c>
      <c r="B88" s="73">
        <v>45091.0</v>
      </c>
      <c r="C88" s="74">
        <v>45093.0</v>
      </c>
      <c r="D88" s="3">
        <v>14.0</v>
      </c>
      <c r="E88" s="3">
        <v>4.0</v>
      </c>
      <c r="F88" s="75">
        <v>18000.0</v>
      </c>
      <c r="G88" s="71">
        <v>10000.0</v>
      </c>
    </row>
    <row r="89">
      <c r="A89" s="3" t="s">
        <v>3161</v>
      </c>
      <c r="B89" s="73">
        <v>45091.0</v>
      </c>
      <c r="C89" s="74">
        <v>45096.0</v>
      </c>
      <c r="D89" s="3">
        <v>10.0</v>
      </c>
      <c r="E89" s="3">
        <v>10.0</v>
      </c>
      <c r="F89" s="75">
        <v>30000.0</v>
      </c>
      <c r="G89" s="71">
        <v>10000.0</v>
      </c>
    </row>
    <row r="90">
      <c r="A90" s="3" t="s">
        <v>3164</v>
      </c>
      <c r="B90" s="73">
        <v>45091.0</v>
      </c>
      <c r="C90" s="74">
        <v>45094.0</v>
      </c>
      <c r="D90" s="3">
        <v>12.0</v>
      </c>
      <c r="E90" s="3">
        <v>8.0</v>
      </c>
      <c r="F90" s="75">
        <v>26000.0</v>
      </c>
      <c r="G90" s="71">
        <v>10000.0</v>
      </c>
    </row>
    <row r="91">
      <c r="A91" s="3" t="s">
        <v>3168</v>
      </c>
      <c r="B91" s="73">
        <v>45091.0</v>
      </c>
      <c r="C91" s="74">
        <v>45093.0</v>
      </c>
      <c r="D91" s="3">
        <v>11.0</v>
      </c>
      <c r="E91" s="3">
        <v>6.0</v>
      </c>
      <c r="F91" s="75">
        <v>22000.0</v>
      </c>
      <c r="G91" s="71">
        <v>10000.0</v>
      </c>
    </row>
    <row r="92">
      <c r="A92" s="3" t="s">
        <v>3170</v>
      </c>
      <c r="B92" s="73">
        <v>45091.0</v>
      </c>
      <c r="C92" s="74">
        <v>45094.0</v>
      </c>
      <c r="D92" s="3">
        <v>7.0</v>
      </c>
      <c r="E92" s="3">
        <v>10.0</v>
      </c>
      <c r="F92" s="75">
        <v>30000.0</v>
      </c>
      <c r="G92" s="71">
        <v>10000.0</v>
      </c>
    </row>
    <row r="93">
      <c r="A93" s="3" t="s">
        <v>3177</v>
      </c>
      <c r="B93" s="69">
        <v>45092.0</v>
      </c>
      <c r="C93" s="70">
        <v>45093.0</v>
      </c>
      <c r="D93" s="68">
        <v>8.0</v>
      </c>
      <c r="E93" s="68">
        <v>4.0</v>
      </c>
      <c r="F93" s="71">
        <v>18000.0</v>
      </c>
      <c r="G93" s="71">
        <v>10000.0</v>
      </c>
    </row>
    <row r="94">
      <c r="A94" s="68" t="s">
        <v>3190</v>
      </c>
      <c r="B94" s="69">
        <v>45092.0</v>
      </c>
      <c r="C94" s="70">
        <v>45093.0</v>
      </c>
      <c r="D94" s="68">
        <v>7.0</v>
      </c>
      <c r="E94" s="68">
        <v>6.0</v>
      </c>
      <c r="F94" s="71">
        <v>22000.0</v>
      </c>
      <c r="G94" s="71">
        <v>10000.0</v>
      </c>
    </row>
    <row r="95">
      <c r="A95" s="3" t="s">
        <v>3194</v>
      </c>
      <c r="B95" s="73">
        <v>45092.0</v>
      </c>
      <c r="C95" s="74">
        <v>45097.0</v>
      </c>
      <c r="D95" s="3">
        <v>7.0</v>
      </c>
      <c r="E95" s="3">
        <v>9.0</v>
      </c>
      <c r="F95" s="75">
        <v>28000.0</v>
      </c>
      <c r="G95" s="71">
        <v>10000.0</v>
      </c>
    </row>
    <row r="96">
      <c r="A96" s="3" t="s">
        <v>3197</v>
      </c>
      <c r="B96" s="73">
        <v>45092.0</v>
      </c>
      <c r="C96" s="74">
        <v>45093.0</v>
      </c>
      <c r="D96" s="3">
        <v>8.0</v>
      </c>
      <c r="E96" s="3">
        <v>4.0</v>
      </c>
      <c r="F96" s="75">
        <v>18000.0</v>
      </c>
      <c r="G96" s="71">
        <v>10000.0</v>
      </c>
    </row>
    <row r="97">
      <c r="A97" s="3" t="s">
        <v>3207</v>
      </c>
      <c r="B97" s="73">
        <v>45092.0</v>
      </c>
      <c r="C97" s="74">
        <v>45097.0</v>
      </c>
      <c r="D97" s="3">
        <v>14.0</v>
      </c>
      <c r="E97" s="3">
        <v>8.0</v>
      </c>
      <c r="F97" s="75">
        <v>26000.0</v>
      </c>
      <c r="G97" s="71">
        <v>10000.0</v>
      </c>
    </row>
    <row r="98">
      <c r="A98" s="3" t="s">
        <v>3221</v>
      </c>
      <c r="B98" s="73">
        <v>45093.0</v>
      </c>
      <c r="C98" s="74">
        <v>45098.0</v>
      </c>
      <c r="D98" s="3">
        <v>8.0</v>
      </c>
      <c r="E98" s="3">
        <v>8.0</v>
      </c>
      <c r="F98" s="75">
        <v>26000.0</v>
      </c>
      <c r="G98" s="71">
        <v>10000.0</v>
      </c>
    </row>
    <row r="99">
      <c r="A99" s="3" t="s">
        <v>3226</v>
      </c>
      <c r="B99" s="73">
        <v>45093.0</v>
      </c>
      <c r="C99" s="74">
        <v>45094.0</v>
      </c>
      <c r="D99" s="3">
        <v>10.0</v>
      </c>
      <c r="E99" s="3">
        <v>5.0</v>
      </c>
      <c r="F99" s="75">
        <v>20000.0</v>
      </c>
      <c r="G99" s="71">
        <v>10000.0</v>
      </c>
    </row>
    <row r="100">
      <c r="A100" s="68" t="s">
        <v>3232</v>
      </c>
      <c r="B100" s="69">
        <v>45093.0</v>
      </c>
      <c r="C100" s="70">
        <v>45097.0</v>
      </c>
      <c r="D100" s="68">
        <v>10.0</v>
      </c>
      <c r="E100" s="68">
        <v>7.0</v>
      </c>
      <c r="F100" s="71">
        <v>24000.0</v>
      </c>
      <c r="G100" s="71">
        <v>10000.0</v>
      </c>
    </row>
    <row r="101">
      <c r="A101" s="68" t="s">
        <v>3235</v>
      </c>
      <c r="B101" s="69">
        <v>45093.0</v>
      </c>
      <c r="C101" s="70">
        <v>45097.0</v>
      </c>
      <c r="D101" s="68">
        <v>14.0</v>
      </c>
      <c r="E101" s="68">
        <v>4.0</v>
      </c>
      <c r="F101" s="71">
        <v>18000.0</v>
      </c>
      <c r="G101" s="71">
        <v>10000.0</v>
      </c>
    </row>
    <row r="102">
      <c r="A102" s="3" t="s">
        <v>3236</v>
      </c>
      <c r="B102" s="73">
        <v>45093.0</v>
      </c>
      <c r="C102" s="74">
        <v>45095.0</v>
      </c>
      <c r="D102" s="3">
        <v>8.0</v>
      </c>
      <c r="E102" s="3">
        <v>7.0</v>
      </c>
      <c r="F102" s="75">
        <v>24000.0</v>
      </c>
      <c r="G102" s="71">
        <v>10000.0</v>
      </c>
    </row>
    <row r="103">
      <c r="A103" s="3" t="s">
        <v>3255</v>
      </c>
      <c r="B103" s="73">
        <v>45094.0</v>
      </c>
      <c r="C103" s="74">
        <v>45098.0</v>
      </c>
      <c r="D103" s="3">
        <v>9.0</v>
      </c>
      <c r="E103" s="3">
        <v>7.0</v>
      </c>
      <c r="F103" s="75">
        <v>24000.0</v>
      </c>
      <c r="G103" s="71">
        <v>10000.0</v>
      </c>
    </row>
    <row r="104">
      <c r="A104" s="3" t="s">
        <v>3262</v>
      </c>
      <c r="B104" s="73">
        <v>45094.0</v>
      </c>
      <c r="C104" s="74">
        <v>45095.0</v>
      </c>
      <c r="D104" s="3">
        <v>12.0</v>
      </c>
      <c r="E104" s="3">
        <v>4.0</v>
      </c>
      <c r="F104" s="75">
        <v>18000.0</v>
      </c>
      <c r="G104" s="71">
        <v>10000.0</v>
      </c>
    </row>
    <row r="105">
      <c r="A105" s="3" t="s">
        <v>3271</v>
      </c>
      <c r="B105" s="73">
        <v>45094.0</v>
      </c>
      <c r="C105" s="74">
        <v>45095.0</v>
      </c>
      <c r="D105" s="3">
        <v>14.0</v>
      </c>
      <c r="E105" s="3">
        <v>7.0</v>
      </c>
      <c r="F105" s="75">
        <v>24000.0</v>
      </c>
      <c r="G105" s="71">
        <v>10000.0</v>
      </c>
    </row>
    <row r="106">
      <c r="A106" s="3" t="s">
        <v>3272</v>
      </c>
      <c r="B106" s="73">
        <v>45094.0</v>
      </c>
      <c r="C106" s="74">
        <v>45096.0</v>
      </c>
      <c r="D106" s="3">
        <v>14.0</v>
      </c>
      <c r="E106" s="3">
        <v>8.0</v>
      </c>
      <c r="F106" s="75">
        <v>26000.0</v>
      </c>
      <c r="G106" s="71">
        <v>10000.0</v>
      </c>
    </row>
    <row r="107">
      <c r="A107" s="3" t="s">
        <v>3285</v>
      </c>
      <c r="B107" s="73">
        <v>45095.0</v>
      </c>
      <c r="C107" s="74">
        <v>45099.0</v>
      </c>
      <c r="D107" s="3">
        <v>14.0</v>
      </c>
      <c r="E107" s="3">
        <v>4.0</v>
      </c>
      <c r="F107" s="75">
        <v>18000.0</v>
      </c>
      <c r="G107" s="71">
        <v>10000.0</v>
      </c>
    </row>
    <row r="108">
      <c r="A108" s="3" t="s">
        <v>3289</v>
      </c>
      <c r="B108" s="73">
        <v>45095.0</v>
      </c>
      <c r="C108" s="74">
        <v>45099.0</v>
      </c>
      <c r="D108" s="3">
        <v>9.0</v>
      </c>
      <c r="E108" s="3">
        <v>8.0</v>
      </c>
      <c r="F108" s="75">
        <v>26000.0</v>
      </c>
      <c r="G108" s="71">
        <v>10000.0</v>
      </c>
    </row>
    <row r="109">
      <c r="A109" s="3" t="s">
        <v>3290</v>
      </c>
      <c r="B109" s="73">
        <v>45095.0</v>
      </c>
      <c r="C109" s="74">
        <v>45098.0</v>
      </c>
      <c r="D109" s="3">
        <v>8.0</v>
      </c>
      <c r="E109" s="3">
        <v>5.0</v>
      </c>
      <c r="F109" s="75">
        <v>20000.0</v>
      </c>
      <c r="G109" s="71">
        <v>10000.0</v>
      </c>
    </row>
    <row r="110">
      <c r="A110" s="68" t="s">
        <v>3293</v>
      </c>
      <c r="B110" s="69">
        <v>45095.0</v>
      </c>
      <c r="C110" s="70">
        <v>45097.0</v>
      </c>
      <c r="D110" s="68">
        <v>13.0</v>
      </c>
      <c r="E110" s="68">
        <v>6.0</v>
      </c>
      <c r="F110" s="71">
        <v>22000.0</v>
      </c>
      <c r="G110" s="71">
        <v>10000.0</v>
      </c>
    </row>
    <row r="111">
      <c r="A111" s="68" t="s">
        <v>3295</v>
      </c>
      <c r="B111" s="69">
        <v>45095.0</v>
      </c>
      <c r="C111" s="70">
        <v>45096.0</v>
      </c>
      <c r="D111" s="68">
        <v>10.0</v>
      </c>
      <c r="E111" s="68">
        <v>4.0</v>
      </c>
      <c r="F111" s="71">
        <v>18000.0</v>
      </c>
      <c r="G111" s="71">
        <v>10000.0</v>
      </c>
    </row>
    <row r="112">
      <c r="A112" s="68" t="s">
        <v>3296</v>
      </c>
      <c r="B112" s="69">
        <v>45095.0</v>
      </c>
      <c r="C112" s="70">
        <v>45099.0</v>
      </c>
      <c r="D112" s="68">
        <v>11.0</v>
      </c>
      <c r="E112" s="68">
        <v>4.0</v>
      </c>
      <c r="F112" s="71">
        <v>18000.0</v>
      </c>
      <c r="G112" s="71">
        <v>10000.0</v>
      </c>
    </row>
    <row r="113">
      <c r="A113" s="68" t="s">
        <v>3305</v>
      </c>
      <c r="B113" s="69">
        <v>45095.0</v>
      </c>
      <c r="C113" s="70">
        <v>45099.0</v>
      </c>
      <c r="D113" s="68">
        <v>13.0</v>
      </c>
      <c r="E113" s="68">
        <v>4.0</v>
      </c>
      <c r="F113" s="71">
        <v>18000.0</v>
      </c>
      <c r="G113" s="71">
        <v>10000.0</v>
      </c>
    </row>
    <row r="114">
      <c r="A114" s="68" t="s">
        <v>3318</v>
      </c>
      <c r="B114" s="69">
        <v>45096.0</v>
      </c>
      <c r="C114" s="70">
        <v>45100.0</v>
      </c>
      <c r="D114" s="68">
        <v>8.0</v>
      </c>
      <c r="E114" s="68">
        <v>6.0</v>
      </c>
      <c r="F114" s="71">
        <v>22000.0</v>
      </c>
      <c r="G114" s="71">
        <v>10000.0</v>
      </c>
    </row>
    <row r="115">
      <c r="A115" s="68" t="s">
        <v>3323</v>
      </c>
      <c r="B115" s="69">
        <v>45096.0</v>
      </c>
      <c r="C115" s="70">
        <v>45099.0</v>
      </c>
      <c r="D115" s="68">
        <v>14.0</v>
      </c>
      <c r="E115" s="68">
        <v>4.0</v>
      </c>
      <c r="F115" s="71">
        <v>18000.0</v>
      </c>
      <c r="G115" s="71">
        <v>10000.0</v>
      </c>
    </row>
    <row r="116">
      <c r="A116" s="68" t="s">
        <v>3330</v>
      </c>
      <c r="B116" s="69">
        <v>45096.0</v>
      </c>
      <c r="C116" s="70">
        <v>45097.0</v>
      </c>
      <c r="D116" s="68">
        <v>9.0</v>
      </c>
      <c r="E116" s="68">
        <v>10.0</v>
      </c>
      <c r="F116" s="71">
        <v>30000.0</v>
      </c>
      <c r="G116" s="71">
        <v>10000.0</v>
      </c>
    </row>
    <row r="117">
      <c r="A117" s="68" t="s">
        <v>3332</v>
      </c>
      <c r="B117" s="69">
        <v>45096.0</v>
      </c>
      <c r="C117" s="70">
        <v>45100.0</v>
      </c>
      <c r="D117" s="68">
        <v>13.0</v>
      </c>
      <c r="E117" s="68">
        <v>7.0</v>
      </c>
      <c r="F117" s="71">
        <v>24000.0</v>
      </c>
      <c r="G117" s="71">
        <v>10000.0</v>
      </c>
    </row>
    <row r="118">
      <c r="A118" s="3" t="s">
        <v>3352</v>
      </c>
      <c r="B118" s="73">
        <v>45097.0</v>
      </c>
      <c r="C118" s="74">
        <v>45100.0</v>
      </c>
      <c r="D118" s="3">
        <v>13.0</v>
      </c>
      <c r="E118" s="3">
        <v>10.0</v>
      </c>
      <c r="F118" s="75">
        <v>30000.0</v>
      </c>
      <c r="G118" s="71">
        <v>10000.0</v>
      </c>
    </row>
    <row r="119">
      <c r="A119" s="3" t="s">
        <v>3353</v>
      </c>
      <c r="B119" s="73">
        <v>45097.0</v>
      </c>
      <c r="C119" s="74">
        <v>45102.0</v>
      </c>
      <c r="D119" s="3">
        <v>7.0</v>
      </c>
      <c r="E119" s="3">
        <v>8.0</v>
      </c>
      <c r="F119" s="75">
        <v>26000.0</v>
      </c>
      <c r="G119" s="71">
        <v>10000.0</v>
      </c>
    </row>
    <row r="120">
      <c r="A120" s="3" t="s">
        <v>3367</v>
      </c>
      <c r="B120" s="73">
        <v>45097.0</v>
      </c>
      <c r="C120" s="74">
        <v>45098.0</v>
      </c>
      <c r="D120" s="3">
        <v>12.0</v>
      </c>
      <c r="E120" s="3">
        <v>6.0</v>
      </c>
      <c r="F120" s="75">
        <v>22000.0</v>
      </c>
      <c r="G120" s="71">
        <v>10000.0</v>
      </c>
    </row>
    <row r="121">
      <c r="A121" s="68" t="s">
        <v>3371</v>
      </c>
      <c r="B121" s="69">
        <v>45097.0</v>
      </c>
      <c r="C121" s="70">
        <v>45100.0</v>
      </c>
      <c r="D121" s="68">
        <v>12.0</v>
      </c>
      <c r="E121" s="68">
        <v>8.0</v>
      </c>
      <c r="F121" s="71">
        <v>26000.0</v>
      </c>
      <c r="G121" s="71">
        <v>10000.0</v>
      </c>
    </row>
    <row r="122">
      <c r="A122" s="68" t="s">
        <v>3376</v>
      </c>
      <c r="B122" s="69">
        <v>45098.0</v>
      </c>
      <c r="C122" s="70">
        <v>45099.0</v>
      </c>
      <c r="D122" s="68">
        <v>12.0</v>
      </c>
      <c r="E122" s="68">
        <v>5.0</v>
      </c>
      <c r="F122" s="71">
        <v>20000.0</v>
      </c>
      <c r="G122" s="71">
        <v>10000.0</v>
      </c>
    </row>
    <row r="123">
      <c r="A123" s="68" t="s">
        <v>3382</v>
      </c>
      <c r="B123" s="69">
        <v>45098.0</v>
      </c>
      <c r="C123" s="70">
        <v>45101.0</v>
      </c>
      <c r="D123" s="68">
        <v>12.0</v>
      </c>
      <c r="E123" s="68">
        <v>4.0</v>
      </c>
      <c r="F123" s="71">
        <v>18000.0</v>
      </c>
      <c r="G123" s="71">
        <v>10000.0</v>
      </c>
    </row>
    <row r="124">
      <c r="A124" s="68" t="s">
        <v>3385</v>
      </c>
      <c r="B124" s="69">
        <v>45098.0</v>
      </c>
      <c r="C124" s="70">
        <v>45100.0</v>
      </c>
      <c r="D124" s="68">
        <v>12.0</v>
      </c>
      <c r="E124" s="68">
        <v>5.0</v>
      </c>
      <c r="F124" s="71">
        <v>20000.0</v>
      </c>
      <c r="G124" s="71">
        <v>10000.0</v>
      </c>
    </row>
    <row r="125">
      <c r="A125" s="3" t="s">
        <v>3390</v>
      </c>
      <c r="B125" s="73">
        <v>45098.0</v>
      </c>
      <c r="C125" s="74">
        <v>45099.0</v>
      </c>
      <c r="D125" s="3">
        <v>8.0</v>
      </c>
      <c r="E125" s="3">
        <v>8.0</v>
      </c>
      <c r="F125" s="75">
        <v>26000.0</v>
      </c>
      <c r="G125" s="71">
        <v>10000.0</v>
      </c>
    </row>
    <row r="126">
      <c r="A126" s="3" t="s">
        <v>3423</v>
      </c>
      <c r="B126" s="73">
        <v>45099.0</v>
      </c>
      <c r="C126" s="74">
        <v>45103.0</v>
      </c>
      <c r="D126" s="3">
        <v>7.0</v>
      </c>
      <c r="E126" s="3">
        <v>6.0</v>
      </c>
      <c r="F126" s="75">
        <v>22000.0</v>
      </c>
      <c r="G126" s="71">
        <v>10000.0</v>
      </c>
    </row>
    <row r="127">
      <c r="A127" s="68" t="s">
        <v>3429</v>
      </c>
      <c r="B127" s="69">
        <v>45099.0</v>
      </c>
      <c r="C127" s="70">
        <v>45103.0</v>
      </c>
      <c r="D127" s="68">
        <v>14.0</v>
      </c>
      <c r="E127" s="68">
        <v>5.0</v>
      </c>
      <c r="F127" s="71">
        <v>20000.0</v>
      </c>
      <c r="G127" s="71">
        <v>10000.0</v>
      </c>
    </row>
    <row r="128">
      <c r="A128" s="68" t="s">
        <v>3435</v>
      </c>
      <c r="B128" s="69">
        <v>45099.0</v>
      </c>
      <c r="C128" s="70">
        <v>45101.0</v>
      </c>
      <c r="D128" s="68">
        <v>9.0</v>
      </c>
      <c r="E128" s="68">
        <v>10.0</v>
      </c>
      <c r="F128" s="71">
        <v>30000.0</v>
      </c>
      <c r="G128" s="71">
        <v>10000.0</v>
      </c>
    </row>
    <row r="129">
      <c r="A129" s="68" t="s">
        <v>3445</v>
      </c>
      <c r="B129" s="69">
        <v>45100.0</v>
      </c>
      <c r="C129" s="70">
        <v>45102.0</v>
      </c>
      <c r="D129" s="68">
        <v>10.0</v>
      </c>
      <c r="E129" s="68">
        <v>10.0</v>
      </c>
      <c r="F129" s="71">
        <v>30000.0</v>
      </c>
      <c r="G129" s="71">
        <v>10000.0</v>
      </c>
    </row>
    <row r="130">
      <c r="A130" s="3" t="s">
        <v>3453</v>
      </c>
      <c r="B130" s="73">
        <v>45100.0</v>
      </c>
      <c r="C130" s="74">
        <v>45101.0</v>
      </c>
      <c r="D130" s="3">
        <v>10.0</v>
      </c>
      <c r="E130" s="3">
        <v>6.0</v>
      </c>
      <c r="F130" s="75">
        <v>22000.0</v>
      </c>
      <c r="G130" s="71">
        <v>10000.0</v>
      </c>
    </row>
    <row r="131">
      <c r="A131" s="3" t="s">
        <v>3472</v>
      </c>
      <c r="B131" s="73">
        <v>45100.0</v>
      </c>
      <c r="C131" s="74">
        <v>45103.0</v>
      </c>
      <c r="D131" s="3">
        <v>12.0</v>
      </c>
      <c r="E131" s="3">
        <v>8.0</v>
      </c>
      <c r="F131" s="75">
        <v>26000.0</v>
      </c>
      <c r="G131" s="71">
        <v>10000.0</v>
      </c>
    </row>
    <row r="132">
      <c r="A132" s="3" t="s">
        <v>3477</v>
      </c>
      <c r="B132" s="73">
        <v>45101.0</v>
      </c>
      <c r="C132" s="74">
        <v>45105.0</v>
      </c>
      <c r="D132" s="3">
        <v>12.0</v>
      </c>
      <c r="E132" s="3">
        <v>7.0</v>
      </c>
      <c r="F132" s="75">
        <v>24000.0</v>
      </c>
      <c r="G132" s="71">
        <v>10000.0</v>
      </c>
    </row>
    <row r="133">
      <c r="A133" s="3" t="s">
        <v>3478</v>
      </c>
      <c r="B133" s="73">
        <v>45101.0</v>
      </c>
      <c r="C133" s="74">
        <v>45103.0</v>
      </c>
      <c r="D133" s="3">
        <v>14.0</v>
      </c>
      <c r="E133" s="3">
        <v>10.0</v>
      </c>
      <c r="F133" s="75">
        <v>30000.0</v>
      </c>
      <c r="G133" s="71">
        <v>10000.0</v>
      </c>
    </row>
    <row r="134">
      <c r="A134" s="3" t="s">
        <v>3491</v>
      </c>
      <c r="B134" s="73">
        <v>45101.0</v>
      </c>
      <c r="C134" s="74">
        <v>45106.0</v>
      </c>
      <c r="D134" s="3">
        <v>13.0</v>
      </c>
      <c r="E134" s="3">
        <v>10.0</v>
      </c>
      <c r="F134" s="75">
        <v>30000.0</v>
      </c>
      <c r="G134" s="71">
        <v>10000.0</v>
      </c>
    </row>
    <row r="135">
      <c r="A135" s="3" t="s">
        <v>3500</v>
      </c>
      <c r="B135" s="73">
        <v>45101.0</v>
      </c>
      <c r="C135" s="74">
        <v>45102.0</v>
      </c>
      <c r="D135" s="3">
        <v>10.0</v>
      </c>
      <c r="E135" s="3">
        <v>9.0</v>
      </c>
      <c r="F135" s="75">
        <v>28000.0</v>
      </c>
      <c r="G135" s="71">
        <v>10000.0</v>
      </c>
    </row>
    <row r="136">
      <c r="A136" s="68" t="s">
        <v>3505</v>
      </c>
      <c r="B136" s="69">
        <v>45101.0</v>
      </c>
      <c r="C136" s="70">
        <v>45104.0</v>
      </c>
      <c r="D136" s="68">
        <v>10.0</v>
      </c>
      <c r="E136" s="68">
        <v>10.0</v>
      </c>
      <c r="F136" s="71">
        <v>30000.0</v>
      </c>
      <c r="G136" s="71">
        <v>10000.0</v>
      </c>
    </row>
    <row r="137">
      <c r="A137" s="68" t="s">
        <v>3507</v>
      </c>
      <c r="B137" s="69">
        <v>45101.0</v>
      </c>
      <c r="C137" s="70">
        <v>45106.0</v>
      </c>
      <c r="D137" s="68">
        <v>8.0</v>
      </c>
      <c r="E137" s="68">
        <v>10.0</v>
      </c>
      <c r="F137" s="71">
        <v>30000.0</v>
      </c>
      <c r="G137" s="71">
        <v>10000.0</v>
      </c>
    </row>
    <row r="138">
      <c r="A138" s="68" t="s">
        <v>3509</v>
      </c>
      <c r="B138" s="70">
        <v>45102.0</v>
      </c>
      <c r="C138" s="70">
        <v>45105.0</v>
      </c>
      <c r="D138" s="68">
        <v>9.0</v>
      </c>
      <c r="E138" s="68">
        <v>6.0</v>
      </c>
      <c r="F138" s="71">
        <v>22000.0</v>
      </c>
      <c r="G138" s="71">
        <v>10000.0</v>
      </c>
    </row>
    <row r="139">
      <c r="A139" s="68" t="s">
        <v>3512</v>
      </c>
      <c r="B139" s="69">
        <v>45102.0</v>
      </c>
      <c r="C139" s="70">
        <v>45105.0</v>
      </c>
      <c r="D139" s="68">
        <v>13.0</v>
      </c>
      <c r="E139" s="68">
        <v>4.0</v>
      </c>
      <c r="F139" s="71">
        <v>18000.0</v>
      </c>
      <c r="G139" s="71">
        <v>10000.0</v>
      </c>
    </row>
    <row r="140">
      <c r="A140" s="68" t="s">
        <v>3520</v>
      </c>
      <c r="B140" s="69">
        <v>45102.0</v>
      </c>
      <c r="C140" s="70">
        <v>45105.0</v>
      </c>
      <c r="D140" s="68">
        <v>12.0</v>
      </c>
      <c r="E140" s="68">
        <v>6.0</v>
      </c>
      <c r="F140" s="71">
        <v>22000.0</v>
      </c>
      <c r="G140" s="71">
        <v>10000.0</v>
      </c>
    </row>
    <row r="141">
      <c r="A141" s="68" t="s">
        <v>3523</v>
      </c>
      <c r="B141" s="69">
        <v>45102.0</v>
      </c>
      <c r="C141" s="70">
        <v>45104.0</v>
      </c>
      <c r="D141" s="68">
        <v>11.0</v>
      </c>
      <c r="E141" s="68">
        <v>7.0</v>
      </c>
      <c r="F141" s="71">
        <v>24000.0</v>
      </c>
      <c r="G141" s="71">
        <v>10000.0</v>
      </c>
    </row>
    <row r="142">
      <c r="A142" s="3" t="s">
        <v>3536</v>
      </c>
      <c r="B142" s="73">
        <v>45102.0</v>
      </c>
      <c r="C142" s="74">
        <v>45103.0</v>
      </c>
      <c r="D142" s="3">
        <v>12.0</v>
      </c>
      <c r="E142" s="3">
        <v>5.0</v>
      </c>
      <c r="F142" s="75">
        <v>20000.0</v>
      </c>
      <c r="G142" s="71">
        <v>10000.0</v>
      </c>
    </row>
    <row r="143">
      <c r="A143" s="3" t="s">
        <v>3537</v>
      </c>
      <c r="B143" s="74">
        <v>45103.0</v>
      </c>
      <c r="C143" s="74">
        <v>45105.0</v>
      </c>
      <c r="D143" s="3">
        <v>11.0</v>
      </c>
      <c r="E143" s="3">
        <v>4.0</v>
      </c>
      <c r="F143" s="75">
        <v>18000.0</v>
      </c>
      <c r="G143" s="71">
        <v>10000.0</v>
      </c>
    </row>
    <row r="144">
      <c r="A144" s="3" t="s">
        <v>3539</v>
      </c>
      <c r="B144" s="73">
        <v>45103.0</v>
      </c>
      <c r="C144" s="74">
        <v>45106.0</v>
      </c>
      <c r="D144" s="3">
        <v>13.0</v>
      </c>
      <c r="E144" s="3">
        <v>5.0</v>
      </c>
      <c r="F144" s="75">
        <v>20000.0</v>
      </c>
      <c r="G144" s="71">
        <v>10000.0</v>
      </c>
    </row>
    <row r="145">
      <c r="A145" s="3" t="s">
        <v>3540</v>
      </c>
      <c r="B145" s="73">
        <v>45103.0</v>
      </c>
      <c r="C145" s="74">
        <v>45106.0</v>
      </c>
      <c r="D145" s="3">
        <v>13.0</v>
      </c>
      <c r="E145" s="3">
        <v>7.0</v>
      </c>
      <c r="F145" s="75">
        <v>24000.0</v>
      </c>
      <c r="G145" s="71">
        <v>10000.0</v>
      </c>
    </row>
    <row r="146">
      <c r="A146" s="3" t="s">
        <v>3541</v>
      </c>
      <c r="B146" s="73">
        <v>45103.0</v>
      </c>
      <c r="C146" s="74">
        <v>45108.0</v>
      </c>
      <c r="D146" s="3">
        <v>10.0</v>
      </c>
      <c r="E146" s="3">
        <v>10.0</v>
      </c>
      <c r="F146" s="75">
        <v>30000.0</v>
      </c>
      <c r="G146" s="71">
        <v>10000.0</v>
      </c>
    </row>
    <row r="147">
      <c r="A147" s="3" t="s">
        <v>3546</v>
      </c>
      <c r="B147" s="73">
        <v>45103.0</v>
      </c>
      <c r="C147" s="74">
        <v>45105.0</v>
      </c>
      <c r="D147" s="3">
        <v>9.0</v>
      </c>
      <c r="E147" s="3">
        <v>5.0</v>
      </c>
      <c r="F147" s="75">
        <v>20000.0</v>
      </c>
      <c r="G147" s="71">
        <v>10000.0</v>
      </c>
    </row>
    <row r="148">
      <c r="A148" s="3" t="s">
        <v>3550</v>
      </c>
      <c r="B148" s="73">
        <v>45103.0</v>
      </c>
      <c r="C148" s="74">
        <v>45105.0</v>
      </c>
      <c r="D148" s="3">
        <v>14.0</v>
      </c>
      <c r="E148" s="3">
        <v>6.0</v>
      </c>
      <c r="F148" s="75">
        <v>22000.0</v>
      </c>
      <c r="G148" s="71">
        <v>10000.0</v>
      </c>
    </row>
    <row r="149">
      <c r="A149" s="3" t="s">
        <v>3551</v>
      </c>
      <c r="B149" s="73">
        <v>45103.0</v>
      </c>
      <c r="C149" s="74">
        <v>45104.0</v>
      </c>
      <c r="D149" s="3">
        <v>7.0</v>
      </c>
      <c r="E149" s="3">
        <v>8.0</v>
      </c>
      <c r="F149" s="75">
        <v>26000.0</v>
      </c>
      <c r="G149" s="71">
        <v>10000.0</v>
      </c>
    </row>
    <row r="150">
      <c r="A150" s="3" t="s">
        <v>3554</v>
      </c>
      <c r="B150" s="73">
        <v>45103.0</v>
      </c>
      <c r="C150" s="74">
        <v>45105.0</v>
      </c>
      <c r="D150" s="3">
        <v>13.0</v>
      </c>
      <c r="E150" s="3">
        <v>4.0</v>
      </c>
      <c r="F150" s="75">
        <v>18000.0</v>
      </c>
      <c r="G150" s="71">
        <v>10000.0</v>
      </c>
    </row>
    <row r="151">
      <c r="A151" s="68" t="s">
        <v>3565</v>
      </c>
      <c r="B151" s="69">
        <v>45103.0</v>
      </c>
      <c r="C151" s="70">
        <v>45104.0</v>
      </c>
      <c r="D151" s="68">
        <v>12.0</v>
      </c>
      <c r="E151" s="68">
        <v>7.0</v>
      </c>
      <c r="F151" s="71">
        <v>24000.0</v>
      </c>
      <c r="G151" s="71">
        <v>10000.0</v>
      </c>
    </row>
    <row r="152">
      <c r="A152" s="68" t="s">
        <v>3576</v>
      </c>
      <c r="B152" s="69">
        <v>45104.0</v>
      </c>
      <c r="C152" s="70">
        <v>45109.0</v>
      </c>
      <c r="D152" s="68">
        <v>14.0</v>
      </c>
      <c r="E152" s="68">
        <v>10.0</v>
      </c>
      <c r="F152" s="71">
        <v>30000.0</v>
      </c>
      <c r="G152" s="71">
        <v>10000.0</v>
      </c>
    </row>
    <row r="153">
      <c r="A153" s="3" t="s">
        <v>3580</v>
      </c>
      <c r="B153" s="73">
        <v>45104.0</v>
      </c>
      <c r="C153" s="74">
        <v>45105.0</v>
      </c>
      <c r="D153" s="3">
        <v>10.0</v>
      </c>
      <c r="E153" s="3">
        <v>10.0</v>
      </c>
      <c r="F153" s="75">
        <v>30000.0</v>
      </c>
      <c r="G153" s="71">
        <v>10000.0</v>
      </c>
    </row>
    <row r="154">
      <c r="A154" s="68" t="s">
        <v>3585</v>
      </c>
      <c r="B154" s="69">
        <v>45104.0</v>
      </c>
      <c r="C154" s="70">
        <v>45106.0</v>
      </c>
      <c r="D154" s="68">
        <v>10.0</v>
      </c>
      <c r="E154" s="68">
        <v>7.0</v>
      </c>
      <c r="F154" s="71">
        <v>24000.0</v>
      </c>
      <c r="G154" s="71">
        <v>10000.0</v>
      </c>
    </row>
    <row r="155">
      <c r="A155" s="68" t="s">
        <v>3586</v>
      </c>
      <c r="B155" s="69">
        <v>45104.0</v>
      </c>
      <c r="C155" s="70">
        <v>45107.0</v>
      </c>
      <c r="D155" s="68">
        <v>8.0</v>
      </c>
      <c r="E155" s="68">
        <v>5.0</v>
      </c>
      <c r="F155" s="71">
        <v>20000.0</v>
      </c>
      <c r="G155" s="71">
        <v>10000.0</v>
      </c>
    </row>
    <row r="156">
      <c r="A156" s="3" t="s">
        <v>3592</v>
      </c>
      <c r="B156" s="73">
        <v>45104.0</v>
      </c>
      <c r="C156" s="74">
        <v>45106.0</v>
      </c>
      <c r="D156" s="3">
        <v>14.0</v>
      </c>
      <c r="E156" s="3">
        <v>7.0</v>
      </c>
      <c r="F156" s="75">
        <v>24000.0</v>
      </c>
      <c r="G156" s="71">
        <v>10000.0</v>
      </c>
    </row>
    <row r="157">
      <c r="A157" s="3" t="s">
        <v>3610</v>
      </c>
      <c r="B157" s="73">
        <v>45105.0</v>
      </c>
      <c r="C157" s="74">
        <v>45107.0</v>
      </c>
      <c r="D157" s="3">
        <v>10.0</v>
      </c>
      <c r="E157" s="3">
        <v>4.0</v>
      </c>
      <c r="F157" s="75">
        <v>18000.0</v>
      </c>
      <c r="G157" s="71">
        <v>10000.0</v>
      </c>
    </row>
    <row r="158">
      <c r="A158" s="68" t="s">
        <v>3611</v>
      </c>
      <c r="B158" s="69">
        <v>45105.0</v>
      </c>
      <c r="C158" s="70">
        <v>45108.0</v>
      </c>
      <c r="D158" s="68">
        <v>8.0</v>
      </c>
      <c r="E158" s="68">
        <v>10.0</v>
      </c>
      <c r="F158" s="71">
        <v>30000.0</v>
      </c>
      <c r="G158" s="71">
        <v>10000.0</v>
      </c>
    </row>
    <row r="159">
      <c r="A159" s="68" t="s">
        <v>3614</v>
      </c>
      <c r="B159" s="69">
        <v>45105.0</v>
      </c>
      <c r="C159" s="70">
        <v>45108.0</v>
      </c>
      <c r="D159" s="68">
        <v>12.0</v>
      </c>
      <c r="E159" s="68">
        <v>9.0</v>
      </c>
      <c r="F159" s="71">
        <v>28000.0</v>
      </c>
      <c r="G159" s="71">
        <v>10000.0</v>
      </c>
    </row>
    <row r="160">
      <c r="A160" s="3" t="s">
        <v>3615</v>
      </c>
      <c r="B160" s="73">
        <v>45105.0</v>
      </c>
      <c r="C160" s="74">
        <v>45108.0</v>
      </c>
      <c r="D160" s="3">
        <v>13.0</v>
      </c>
      <c r="E160" s="3">
        <v>9.0</v>
      </c>
      <c r="F160" s="75">
        <v>28000.0</v>
      </c>
      <c r="G160" s="71">
        <v>10000.0</v>
      </c>
    </row>
    <row r="161">
      <c r="A161" s="68" t="s">
        <v>3626</v>
      </c>
      <c r="B161" s="69">
        <v>45105.0</v>
      </c>
      <c r="C161" s="70">
        <v>45109.0</v>
      </c>
      <c r="D161" s="68">
        <v>11.0</v>
      </c>
      <c r="E161" s="68">
        <v>7.0</v>
      </c>
      <c r="F161" s="71">
        <v>24000.0</v>
      </c>
      <c r="G161" s="71">
        <v>10000.0</v>
      </c>
    </row>
    <row r="162">
      <c r="A162" s="68" t="s">
        <v>3630</v>
      </c>
      <c r="B162" s="69">
        <v>45105.0</v>
      </c>
      <c r="C162" s="70">
        <v>45107.0</v>
      </c>
      <c r="D162" s="68">
        <v>8.0</v>
      </c>
      <c r="E162" s="68">
        <v>4.0</v>
      </c>
      <c r="F162" s="71">
        <v>18000.0</v>
      </c>
      <c r="G162" s="71">
        <v>10000.0</v>
      </c>
    </row>
    <row r="163">
      <c r="A163" s="3" t="s">
        <v>3638</v>
      </c>
      <c r="B163" s="73">
        <v>45106.0</v>
      </c>
      <c r="C163" s="74">
        <v>45107.0</v>
      </c>
      <c r="D163" s="3">
        <v>7.0</v>
      </c>
      <c r="E163" s="3">
        <v>8.0</v>
      </c>
      <c r="F163" s="75">
        <v>26000.0</v>
      </c>
      <c r="G163" s="71">
        <v>10000.0</v>
      </c>
    </row>
    <row r="164">
      <c r="A164" s="68" t="s">
        <v>3644</v>
      </c>
      <c r="B164" s="69">
        <v>45106.0</v>
      </c>
      <c r="C164" s="70">
        <v>45109.0</v>
      </c>
      <c r="D164" s="68">
        <v>9.0</v>
      </c>
      <c r="E164" s="68">
        <v>7.0</v>
      </c>
      <c r="F164" s="71">
        <v>24000.0</v>
      </c>
      <c r="G164" s="71">
        <v>10000.0</v>
      </c>
    </row>
    <row r="165">
      <c r="A165" s="3" t="s">
        <v>3655</v>
      </c>
      <c r="B165" s="73">
        <v>45106.0</v>
      </c>
      <c r="C165" s="74">
        <v>45107.0</v>
      </c>
      <c r="D165" s="3">
        <v>13.0</v>
      </c>
      <c r="E165" s="3">
        <v>7.0</v>
      </c>
      <c r="F165" s="75">
        <v>24000.0</v>
      </c>
      <c r="G165" s="71">
        <v>10000.0</v>
      </c>
    </row>
    <row r="166">
      <c r="A166" s="68" t="s">
        <v>3657</v>
      </c>
      <c r="B166" s="69">
        <v>45106.0</v>
      </c>
      <c r="C166" s="70">
        <v>45107.0</v>
      </c>
      <c r="D166" s="68">
        <v>11.0</v>
      </c>
      <c r="E166" s="68">
        <v>9.0</v>
      </c>
      <c r="F166" s="71">
        <v>28000.0</v>
      </c>
      <c r="G166" s="71">
        <v>10000.0</v>
      </c>
    </row>
    <row r="167">
      <c r="A167" s="3" t="s">
        <v>3670</v>
      </c>
      <c r="B167" s="73">
        <v>45107.0</v>
      </c>
      <c r="C167" s="74">
        <v>45108.0</v>
      </c>
      <c r="D167" s="3">
        <v>11.0</v>
      </c>
      <c r="E167" s="3">
        <v>9.0</v>
      </c>
      <c r="F167" s="75">
        <v>28000.0</v>
      </c>
      <c r="G167" s="71">
        <v>10000.0</v>
      </c>
    </row>
    <row r="168">
      <c r="A168" s="3" t="s">
        <v>3671</v>
      </c>
      <c r="B168" s="73">
        <v>45107.0</v>
      </c>
      <c r="C168" s="74">
        <v>45112.0</v>
      </c>
      <c r="D168" s="3">
        <v>9.0</v>
      </c>
      <c r="E168" s="3">
        <v>8.0</v>
      </c>
      <c r="F168" s="75">
        <v>26000.0</v>
      </c>
      <c r="G168" s="71">
        <v>10000.0</v>
      </c>
    </row>
    <row r="169">
      <c r="A169" s="3" t="s">
        <v>3674</v>
      </c>
      <c r="B169" s="73">
        <v>45107.0</v>
      </c>
      <c r="C169" s="74">
        <v>45112.0</v>
      </c>
      <c r="D169" s="3">
        <v>13.0</v>
      </c>
      <c r="E169" s="3">
        <v>9.0</v>
      </c>
      <c r="F169" s="75">
        <v>28000.0</v>
      </c>
      <c r="G169" s="71">
        <v>10000.0</v>
      </c>
    </row>
    <row r="170">
      <c r="A170" s="68" t="s">
        <v>3684</v>
      </c>
      <c r="B170" s="69">
        <v>45107.0</v>
      </c>
      <c r="C170" s="70">
        <v>45112.0</v>
      </c>
      <c r="D170" s="68">
        <v>7.0</v>
      </c>
      <c r="E170" s="68">
        <v>9.0</v>
      </c>
      <c r="F170" s="71">
        <v>28000.0</v>
      </c>
      <c r="G170" s="71">
        <v>10000.0</v>
      </c>
    </row>
    <row r="171">
      <c r="A171" s="68" t="s">
        <v>3685</v>
      </c>
      <c r="B171" s="69">
        <v>45107.0</v>
      </c>
      <c r="C171" s="70">
        <v>45110.0</v>
      </c>
      <c r="D171" s="68">
        <v>7.0</v>
      </c>
      <c r="E171" s="68">
        <v>9.0</v>
      </c>
      <c r="F171" s="71">
        <v>28000.0</v>
      </c>
      <c r="G171" s="71">
        <v>10000.0</v>
      </c>
    </row>
    <row r="172">
      <c r="A172" s="68" t="s">
        <v>3689</v>
      </c>
      <c r="B172" s="69">
        <v>45107.0</v>
      </c>
      <c r="C172" s="70">
        <v>45110.0</v>
      </c>
      <c r="D172" s="68">
        <v>10.0</v>
      </c>
      <c r="E172" s="68">
        <v>9.0</v>
      </c>
      <c r="F172" s="71">
        <v>28000.0</v>
      </c>
      <c r="G172" s="71">
        <v>10000.0</v>
      </c>
    </row>
    <row r="173">
      <c r="A173" s="3" t="s">
        <v>3692</v>
      </c>
      <c r="B173" s="73">
        <v>45107.0</v>
      </c>
      <c r="C173" s="74">
        <v>45109.0</v>
      </c>
      <c r="D173" s="3">
        <v>14.0</v>
      </c>
      <c r="E173" s="3">
        <v>6.0</v>
      </c>
      <c r="F173" s="75">
        <v>22000.0</v>
      </c>
      <c r="G173" s="71">
        <v>10000.0</v>
      </c>
    </row>
    <row r="174">
      <c r="A174" s="68" t="s">
        <v>2712</v>
      </c>
      <c r="B174" s="69">
        <v>45078.0</v>
      </c>
      <c r="C174" s="70">
        <v>45080.0</v>
      </c>
      <c r="D174" s="68">
        <v>15.0</v>
      </c>
      <c r="E174" s="68">
        <v>4.0</v>
      </c>
      <c r="F174" s="71">
        <v>22500.0</v>
      </c>
      <c r="G174" s="71">
        <v>14500.0</v>
      </c>
    </row>
    <row r="175">
      <c r="A175" s="68" t="s">
        <v>2764</v>
      </c>
      <c r="B175" s="69">
        <v>45079.0</v>
      </c>
      <c r="C175" s="70">
        <v>45083.0</v>
      </c>
      <c r="D175" s="68">
        <v>15.0</v>
      </c>
      <c r="E175" s="68">
        <v>5.0</v>
      </c>
      <c r="F175" s="71">
        <v>24500.0</v>
      </c>
      <c r="G175" s="71">
        <v>14500.0</v>
      </c>
    </row>
    <row r="176">
      <c r="A176" s="68" t="s">
        <v>2799</v>
      </c>
      <c r="B176" s="69">
        <v>45080.0</v>
      </c>
      <c r="C176" s="70">
        <v>45084.0</v>
      </c>
      <c r="D176" s="68">
        <v>15.0</v>
      </c>
      <c r="E176" s="68">
        <v>6.0</v>
      </c>
      <c r="F176" s="71">
        <v>26500.0</v>
      </c>
      <c r="G176" s="71">
        <v>14500.0</v>
      </c>
    </row>
    <row r="177">
      <c r="A177" s="68" t="s">
        <v>2809</v>
      </c>
      <c r="B177" s="69">
        <v>45080.0</v>
      </c>
      <c r="C177" s="70">
        <v>45084.0</v>
      </c>
      <c r="D177" s="68">
        <v>15.0</v>
      </c>
      <c r="E177" s="68">
        <v>10.0</v>
      </c>
      <c r="F177" s="71">
        <v>34500.0</v>
      </c>
      <c r="G177" s="71">
        <v>14500.0</v>
      </c>
    </row>
    <row r="178">
      <c r="A178" s="3" t="s">
        <v>2932</v>
      </c>
      <c r="B178" s="73">
        <v>45084.0</v>
      </c>
      <c r="C178" s="74">
        <v>45088.0</v>
      </c>
      <c r="D178" s="3">
        <v>15.0</v>
      </c>
      <c r="E178" s="3">
        <v>5.0</v>
      </c>
      <c r="F178" s="75">
        <v>24500.0</v>
      </c>
      <c r="G178" s="71">
        <v>14500.0</v>
      </c>
    </row>
    <row r="179">
      <c r="A179" s="3" t="s">
        <v>2966</v>
      </c>
      <c r="B179" s="73">
        <v>45085.0</v>
      </c>
      <c r="C179" s="74">
        <v>45089.0</v>
      </c>
      <c r="D179" s="3">
        <v>15.0</v>
      </c>
      <c r="E179" s="3">
        <v>8.0</v>
      </c>
      <c r="F179" s="75">
        <v>30500.0</v>
      </c>
      <c r="G179" s="71">
        <v>14500.0</v>
      </c>
    </row>
    <row r="180">
      <c r="A180" s="3" t="s">
        <v>2985</v>
      </c>
      <c r="B180" s="73">
        <v>45086.0</v>
      </c>
      <c r="C180" s="74">
        <v>45091.0</v>
      </c>
      <c r="D180" s="3">
        <v>15.0</v>
      </c>
      <c r="E180" s="3">
        <v>9.0</v>
      </c>
      <c r="F180" s="75">
        <v>32500.0</v>
      </c>
      <c r="G180" s="71">
        <v>14500.0</v>
      </c>
    </row>
    <row r="181">
      <c r="A181" s="3" t="s">
        <v>3043</v>
      </c>
      <c r="B181" s="73">
        <v>45087.0</v>
      </c>
      <c r="C181" s="74">
        <v>45088.0</v>
      </c>
      <c r="D181" s="3">
        <v>15.0</v>
      </c>
      <c r="E181" s="3">
        <v>7.0</v>
      </c>
      <c r="F181" s="75">
        <v>28500.0</v>
      </c>
      <c r="G181" s="71">
        <v>14500.0</v>
      </c>
    </row>
    <row r="182">
      <c r="A182" s="3" t="s">
        <v>3114</v>
      </c>
      <c r="B182" s="73">
        <v>45090.0</v>
      </c>
      <c r="C182" s="74">
        <v>45094.0</v>
      </c>
      <c r="D182" s="3">
        <v>15.0</v>
      </c>
      <c r="E182" s="3">
        <v>6.0</v>
      </c>
      <c r="F182" s="75">
        <v>26500.0</v>
      </c>
      <c r="G182" s="71">
        <v>14500.0</v>
      </c>
    </row>
    <row r="183">
      <c r="A183" s="3" t="s">
        <v>3171</v>
      </c>
      <c r="B183" s="73">
        <v>45091.0</v>
      </c>
      <c r="C183" s="74">
        <v>45096.0</v>
      </c>
      <c r="D183" s="3">
        <v>15.0</v>
      </c>
      <c r="E183" s="3">
        <v>4.0</v>
      </c>
      <c r="F183" s="75">
        <v>22500.0</v>
      </c>
      <c r="G183" s="71">
        <v>14500.0</v>
      </c>
    </row>
    <row r="184">
      <c r="A184" s="68" t="s">
        <v>3180</v>
      </c>
      <c r="B184" s="69">
        <v>45092.0</v>
      </c>
      <c r="C184" s="70">
        <v>45096.0</v>
      </c>
      <c r="D184" s="68">
        <v>15.0</v>
      </c>
      <c r="E184" s="68">
        <v>10.0</v>
      </c>
      <c r="F184" s="71">
        <v>34500.0</v>
      </c>
      <c r="G184" s="71">
        <v>14500.0</v>
      </c>
    </row>
    <row r="185">
      <c r="A185" s="3" t="s">
        <v>3220</v>
      </c>
      <c r="B185" s="73">
        <v>45093.0</v>
      </c>
      <c r="C185" s="74">
        <v>45094.0</v>
      </c>
      <c r="D185" s="3">
        <v>15.0</v>
      </c>
      <c r="E185" s="3">
        <v>10.0</v>
      </c>
      <c r="F185" s="75">
        <v>34500.0</v>
      </c>
      <c r="G185" s="71">
        <v>14500.0</v>
      </c>
    </row>
    <row r="186">
      <c r="A186" s="3" t="s">
        <v>3399</v>
      </c>
      <c r="B186" s="73">
        <v>45098.0</v>
      </c>
      <c r="C186" s="74">
        <v>45101.0</v>
      </c>
      <c r="D186" s="3">
        <v>15.0</v>
      </c>
      <c r="E186" s="3">
        <v>7.0</v>
      </c>
      <c r="F186" s="75">
        <v>28500.0</v>
      </c>
      <c r="G186" s="71">
        <v>14500.0</v>
      </c>
    </row>
    <row r="187">
      <c r="A187" s="3" t="s">
        <v>3419</v>
      </c>
      <c r="B187" s="73">
        <v>45099.0</v>
      </c>
      <c r="C187" s="74">
        <v>45103.0</v>
      </c>
      <c r="D187" s="3">
        <v>15.0</v>
      </c>
      <c r="E187" s="3">
        <v>7.0</v>
      </c>
      <c r="F187" s="75">
        <v>28500.0</v>
      </c>
      <c r="G187" s="71">
        <v>14500.0</v>
      </c>
    </row>
    <row r="188">
      <c r="A188" s="3" t="s">
        <v>3428</v>
      </c>
      <c r="B188" s="73">
        <v>45099.0</v>
      </c>
      <c r="C188" s="74">
        <v>45100.0</v>
      </c>
      <c r="D188" s="3">
        <v>15.0</v>
      </c>
      <c r="E188" s="3">
        <v>7.0</v>
      </c>
      <c r="F188" s="75">
        <v>28500.0</v>
      </c>
      <c r="G188" s="71">
        <v>14500.0</v>
      </c>
    </row>
    <row r="189">
      <c r="A189" s="68" t="s">
        <v>3446</v>
      </c>
      <c r="B189" s="69">
        <v>45100.0</v>
      </c>
      <c r="C189" s="70">
        <v>45105.0</v>
      </c>
      <c r="D189" s="68">
        <v>15.0</v>
      </c>
      <c r="E189" s="68">
        <v>5.0</v>
      </c>
      <c r="F189" s="71">
        <v>24500.0</v>
      </c>
      <c r="G189" s="71">
        <v>14500.0</v>
      </c>
    </row>
    <row r="190">
      <c r="A190" s="3" t="s">
        <v>3471</v>
      </c>
      <c r="B190" s="73">
        <v>45100.0</v>
      </c>
      <c r="C190" s="74">
        <v>45103.0</v>
      </c>
      <c r="D190" s="3">
        <v>15.0</v>
      </c>
      <c r="E190" s="3">
        <v>10.0</v>
      </c>
      <c r="F190" s="75">
        <v>34500.0</v>
      </c>
      <c r="G190" s="71">
        <v>14500.0</v>
      </c>
    </row>
    <row r="191">
      <c r="A191" s="3" t="s">
        <v>3474</v>
      </c>
      <c r="B191" s="73">
        <v>45101.0</v>
      </c>
      <c r="C191" s="74">
        <v>45102.0</v>
      </c>
      <c r="D191" s="3">
        <v>15.0</v>
      </c>
      <c r="E191" s="3">
        <v>6.0</v>
      </c>
      <c r="F191" s="75">
        <v>26500.0</v>
      </c>
      <c r="G191" s="71">
        <v>14500.0</v>
      </c>
    </row>
    <row r="192">
      <c r="A192" s="3" t="s">
        <v>3533</v>
      </c>
      <c r="B192" s="73">
        <v>45102.0</v>
      </c>
      <c r="C192" s="74">
        <v>45103.0</v>
      </c>
      <c r="D192" s="3">
        <v>15.0</v>
      </c>
      <c r="E192" s="3">
        <v>8.0</v>
      </c>
      <c r="F192" s="75">
        <v>30500.0</v>
      </c>
      <c r="G192" s="71">
        <v>14500.0</v>
      </c>
    </row>
    <row r="193">
      <c r="A193" s="3" t="s">
        <v>3574</v>
      </c>
      <c r="B193" s="73">
        <v>45103.0</v>
      </c>
      <c r="C193" s="74">
        <v>45105.0</v>
      </c>
      <c r="D193" s="3">
        <v>15.0</v>
      </c>
      <c r="E193" s="3">
        <v>9.0</v>
      </c>
      <c r="F193" s="75">
        <v>32500.0</v>
      </c>
      <c r="G193" s="71">
        <v>14500.0</v>
      </c>
    </row>
    <row r="194">
      <c r="A194" s="68" t="s">
        <v>3579</v>
      </c>
      <c r="B194" s="69">
        <v>45104.0</v>
      </c>
      <c r="C194" s="70">
        <v>45105.0</v>
      </c>
      <c r="D194" s="68">
        <v>15.0</v>
      </c>
      <c r="E194" s="68">
        <v>5.0</v>
      </c>
      <c r="F194" s="71">
        <v>24500.0</v>
      </c>
      <c r="G194" s="71">
        <v>14500.0</v>
      </c>
    </row>
    <row r="195">
      <c r="A195" s="3" t="s">
        <v>3628</v>
      </c>
      <c r="B195" s="73">
        <v>45105.0</v>
      </c>
      <c r="C195" s="74">
        <v>45110.0</v>
      </c>
      <c r="D195" s="3">
        <v>15.0</v>
      </c>
      <c r="E195" s="3">
        <v>6.0</v>
      </c>
      <c r="F195" s="75">
        <v>26500.0</v>
      </c>
      <c r="G195" s="71">
        <v>14500.0</v>
      </c>
    </row>
    <row r="196">
      <c r="A196" s="68" t="s">
        <v>3667</v>
      </c>
      <c r="B196" s="69">
        <v>45107.0</v>
      </c>
      <c r="C196" s="70">
        <v>45111.0</v>
      </c>
      <c r="D196" s="68">
        <v>15.0</v>
      </c>
      <c r="E196" s="68">
        <v>9.0</v>
      </c>
      <c r="F196" s="71">
        <v>32500.0</v>
      </c>
      <c r="G196" s="71">
        <v>14500.0</v>
      </c>
    </row>
    <row r="197">
      <c r="A197" s="3" t="s">
        <v>3680</v>
      </c>
      <c r="B197" s="73">
        <v>45107.0</v>
      </c>
      <c r="C197" s="74">
        <v>45112.0</v>
      </c>
      <c r="D197" s="3">
        <v>15.0</v>
      </c>
      <c r="E197" s="3">
        <v>4.0</v>
      </c>
      <c r="F197" s="75">
        <v>22500.0</v>
      </c>
      <c r="G197" s="71">
        <v>14500.0</v>
      </c>
    </row>
    <row r="198">
      <c r="A198" s="68" t="s">
        <v>2839</v>
      </c>
      <c r="B198" s="69">
        <v>45081.0</v>
      </c>
      <c r="C198" s="70">
        <v>45082.0</v>
      </c>
      <c r="D198" s="68">
        <v>16.0</v>
      </c>
      <c r="E198" s="68">
        <v>4.0</v>
      </c>
      <c r="F198" s="71">
        <v>22800.0</v>
      </c>
      <c r="G198" s="71">
        <v>14800.0</v>
      </c>
    </row>
    <row r="199">
      <c r="A199" s="68" t="s">
        <v>2849</v>
      </c>
      <c r="B199" s="69">
        <v>45081.0</v>
      </c>
      <c r="C199" s="70">
        <v>45083.0</v>
      </c>
      <c r="D199" s="68">
        <v>16.0</v>
      </c>
      <c r="E199" s="68">
        <v>4.0</v>
      </c>
      <c r="F199" s="71">
        <v>22800.0</v>
      </c>
      <c r="G199" s="71">
        <v>14800.0</v>
      </c>
    </row>
    <row r="200">
      <c r="A200" s="3" t="s">
        <v>3039</v>
      </c>
      <c r="B200" s="73">
        <v>45087.0</v>
      </c>
      <c r="C200" s="74">
        <v>45092.0</v>
      </c>
      <c r="D200" s="3">
        <v>16.0</v>
      </c>
      <c r="E200" s="3">
        <v>5.0</v>
      </c>
      <c r="F200" s="75">
        <v>24800.0</v>
      </c>
      <c r="G200" s="71">
        <v>14800.0</v>
      </c>
    </row>
    <row r="201">
      <c r="A201" s="3" t="s">
        <v>3154</v>
      </c>
      <c r="B201" s="73">
        <v>45091.0</v>
      </c>
      <c r="C201" s="74">
        <v>45095.0</v>
      </c>
      <c r="D201" s="3">
        <v>16.0</v>
      </c>
      <c r="E201" s="3">
        <v>8.0</v>
      </c>
      <c r="F201" s="75">
        <v>30800.0</v>
      </c>
      <c r="G201" s="71">
        <v>14800.0</v>
      </c>
    </row>
    <row r="202">
      <c r="A202" s="3" t="s">
        <v>3157</v>
      </c>
      <c r="B202" s="73">
        <v>45091.0</v>
      </c>
      <c r="C202" s="74">
        <v>45096.0</v>
      </c>
      <c r="D202" s="3">
        <v>16.0</v>
      </c>
      <c r="E202" s="3">
        <v>8.0</v>
      </c>
      <c r="F202" s="75">
        <v>30800.0</v>
      </c>
      <c r="G202" s="71">
        <v>14800.0</v>
      </c>
    </row>
    <row r="203">
      <c r="A203" s="3" t="s">
        <v>3199</v>
      </c>
      <c r="B203" s="73">
        <v>45092.0</v>
      </c>
      <c r="C203" s="74">
        <v>45093.0</v>
      </c>
      <c r="D203" s="3">
        <v>16.0</v>
      </c>
      <c r="E203" s="3">
        <v>8.0</v>
      </c>
      <c r="F203" s="75">
        <v>30800.0</v>
      </c>
      <c r="G203" s="71">
        <v>14800.0</v>
      </c>
    </row>
    <row r="204">
      <c r="A204" s="68" t="s">
        <v>3229</v>
      </c>
      <c r="B204" s="69">
        <v>45093.0</v>
      </c>
      <c r="C204" s="70">
        <v>45096.0</v>
      </c>
      <c r="D204" s="68">
        <v>16.0</v>
      </c>
      <c r="E204" s="68">
        <v>6.0</v>
      </c>
      <c r="F204" s="71">
        <v>26800.0</v>
      </c>
      <c r="G204" s="71">
        <v>14800.0</v>
      </c>
    </row>
    <row r="205">
      <c r="A205" s="3" t="s">
        <v>3242</v>
      </c>
      <c r="B205" s="73">
        <v>45094.0</v>
      </c>
      <c r="C205" s="74">
        <v>45097.0</v>
      </c>
      <c r="D205" s="3">
        <v>16.0</v>
      </c>
      <c r="E205" s="3">
        <v>4.0</v>
      </c>
      <c r="F205" s="75">
        <v>22800.0</v>
      </c>
      <c r="G205" s="71">
        <v>14800.0</v>
      </c>
    </row>
    <row r="206">
      <c r="A206" s="3" t="s">
        <v>3245</v>
      </c>
      <c r="B206" s="73">
        <v>45094.0</v>
      </c>
      <c r="C206" s="74">
        <v>45096.0</v>
      </c>
      <c r="D206" s="3">
        <v>16.0</v>
      </c>
      <c r="E206" s="3">
        <v>7.0</v>
      </c>
      <c r="F206" s="75">
        <v>28800.0</v>
      </c>
      <c r="G206" s="71">
        <v>14800.0</v>
      </c>
    </row>
    <row r="207">
      <c r="A207" s="3" t="s">
        <v>3344</v>
      </c>
      <c r="B207" s="73">
        <v>45097.0</v>
      </c>
      <c r="C207" s="74">
        <v>45101.0</v>
      </c>
      <c r="D207" s="3">
        <v>16.0</v>
      </c>
      <c r="E207" s="3">
        <v>5.0</v>
      </c>
      <c r="F207" s="75">
        <v>24800.0</v>
      </c>
      <c r="G207" s="71">
        <v>14800.0</v>
      </c>
    </row>
    <row r="208">
      <c r="A208" s="3" t="s">
        <v>3349</v>
      </c>
      <c r="B208" s="73">
        <v>45097.0</v>
      </c>
      <c r="C208" s="74">
        <v>45102.0</v>
      </c>
      <c r="D208" s="3">
        <v>16.0</v>
      </c>
      <c r="E208" s="3">
        <v>9.0</v>
      </c>
      <c r="F208" s="75">
        <v>32800.0</v>
      </c>
      <c r="G208" s="71">
        <v>14800.0</v>
      </c>
    </row>
    <row r="209">
      <c r="A209" s="3" t="s">
        <v>3402</v>
      </c>
      <c r="B209" s="73">
        <v>45098.0</v>
      </c>
      <c r="C209" s="74">
        <v>45100.0</v>
      </c>
      <c r="D209" s="3">
        <v>16.0</v>
      </c>
      <c r="E209" s="3">
        <v>10.0</v>
      </c>
      <c r="F209" s="75">
        <v>34800.0</v>
      </c>
      <c r="G209" s="71">
        <v>14800.0</v>
      </c>
    </row>
    <row r="210">
      <c r="A210" s="3" t="s">
        <v>3458</v>
      </c>
      <c r="B210" s="73">
        <v>45100.0</v>
      </c>
      <c r="C210" s="74">
        <v>45101.0</v>
      </c>
      <c r="D210" s="3">
        <v>16.0</v>
      </c>
      <c r="E210" s="3">
        <v>10.0</v>
      </c>
      <c r="F210" s="75">
        <v>34800.0</v>
      </c>
      <c r="G210" s="71">
        <v>14800.0</v>
      </c>
    </row>
    <row r="211">
      <c r="A211" s="3" t="s">
        <v>3483</v>
      </c>
      <c r="B211" s="73">
        <v>45101.0</v>
      </c>
      <c r="C211" s="74">
        <v>45102.0</v>
      </c>
      <c r="D211" s="3">
        <v>16.0</v>
      </c>
      <c r="E211" s="3">
        <v>10.0</v>
      </c>
      <c r="F211" s="75">
        <v>34800.0</v>
      </c>
      <c r="G211" s="71">
        <v>14800.0</v>
      </c>
    </row>
    <row r="212">
      <c r="A212" s="68" t="s">
        <v>3595</v>
      </c>
      <c r="B212" s="69">
        <v>45104.0</v>
      </c>
      <c r="C212" s="70">
        <v>45107.0</v>
      </c>
      <c r="D212" s="68">
        <v>16.0</v>
      </c>
      <c r="E212" s="68">
        <v>4.0</v>
      </c>
      <c r="F212" s="71">
        <v>22800.0</v>
      </c>
      <c r="G212" s="71">
        <v>14800.0</v>
      </c>
    </row>
    <row r="213">
      <c r="A213" s="68" t="s">
        <v>3627</v>
      </c>
      <c r="B213" s="69">
        <v>45105.0</v>
      </c>
      <c r="C213" s="70">
        <v>45109.0</v>
      </c>
      <c r="D213" s="68">
        <v>16.0</v>
      </c>
      <c r="E213" s="68">
        <v>7.0</v>
      </c>
      <c r="F213" s="71">
        <v>28800.0</v>
      </c>
      <c r="G213" s="71">
        <v>14800.0</v>
      </c>
    </row>
    <row r="214">
      <c r="A214" s="68" t="s">
        <v>3636</v>
      </c>
      <c r="B214" s="69">
        <v>45106.0</v>
      </c>
      <c r="C214" s="70">
        <v>45110.0</v>
      </c>
      <c r="D214" s="68">
        <v>16.0</v>
      </c>
      <c r="E214" s="68">
        <v>8.0</v>
      </c>
      <c r="F214" s="71">
        <v>30800.0</v>
      </c>
      <c r="G214" s="71">
        <v>14800.0</v>
      </c>
    </row>
    <row r="215">
      <c r="A215" s="68" t="s">
        <v>3642</v>
      </c>
      <c r="B215" s="69">
        <v>45106.0</v>
      </c>
      <c r="C215" s="70">
        <v>45108.0</v>
      </c>
      <c r="D215" s="68">
        <v>16.0</v>
      </c>
      <c r="E215" s="68">
        <v>6.0</v>
      </c>
      <c r="F215" s="71">
        <v>26800.0</v>
      </c>
      <c r="G215" s="71">
        <v>14800.0</v>
      </c>
    </row>
    <row r="216">
      <c r="A216" s="68" t="s">
        <v>2717</v>
      </c>
      <c r="B216" s="69">
        <v>45078.0</v>
      </c>
      <c r="C216" s="70">
        <v>45081.0</v>
      </c>
      <c r="D216" s="68">
        <v>17.0</v>
      </c>
      <c r="E216" s="68">
        <v>4.0</v>
      </c>
      <c r="F216" s="71">
        <v>23100.0</v>
      </c>
      <c r="G216" s="71">
        <v>15100.0</v>
      </c>
    </row>
    <row r="217">
      <c r="A217" s="68" t="s">
        <v>2734</v>
      </c>
      <c r="B217" s="69">
        <v>45078.0</v>
      </c>
      <c r="C217" s="70">
        <v>45081.0</v>
      </c>
      <c r="D217" s="68">
        <v>17.0</v>
      </c>
      <c r="E217" s="68">
        <v>8.0</v>
      </c>
      <c r="F217" s="71">
        <v>31100.0</v>
      </c>
      <c r="G217" s="71">
        <v>15100.0</v>
      </c>
    </row>
    <row r="218">
      <c r="A218" s="68" t="s">
        <v>2818</v>
      </c>
      <c r="B218" s="69">
        <v>45080.0</v>
      </c>
      <c r="C218" s="70">
        <v>45083.0</v>
      </c>
      <c r="D218" s="68">
        <v>17.0</v>
      </c>
      <c r="E218" s="68">
        <v>9.0</v>
      </c>
      <c r="F218" s="71">
        <v>33100.0</v>
      </c>
      <c r="G218" s="71">
        <v>15100.0</v>
      </c>
    </row>
    <row r="219">
      <c r="A219" s="68" t="s">
        <v>2844</v>
      </c>
      <c r="B219" s="69">
        <v>45081.0</v>
      </c>
      <c r="C219" s="70">
        <v>45084.0</v>
      </c>
      <c r="D219" s="68">
        <v>17.0</v>
      </c>
      <c r="E219" s="68">
        <v>5.0</v>
      </c>
      <c r="F219" s="71">
        <v>25100.0</v>
      </c>
      <c r="G219" s="71">
        <v>15100.0</v>
      </c>
    </row>
    <row r="220">
      <c r="A220" s="3" t="s">
        <v>2898</v>
      </c>
      <c r="B220" s="73">
        <v>45083.0</v>
      </c>
      <c r="C220" s="74">
        <v>45085.0</v>
      </c>
      <c r="D220" s="3">
        <v>17.0</v>
      </c>
      <c r="E220" s="3">
        <v>5.0</v>
      </c>
      <c r="F220" s="75">
        <v>25100.0</v>
      </c>
      <c r="G220" s="71">
        <v>15100.0</v>
      </c>
    </row>
    <row r="221">
      <c r="A221" s="3" t="s">
        <v>2929</v>
      </c>
      <c r="B221" s="73">
        <v>45084.0</v>
      </c>
      <c r="C221" s="74">
        <v>45086.0</v>
      </c>
      <c r="D221" s="3">
        <v>17.0</v>
      </c>
      <c r="E221" s="3">
        <v>7.0</v>
      </c>
      <c r="F221" s="75">
        <v>29100.0</v>
      </c>
      <c r="G221" s="71">
        <v>15100.0</v>
      </c>
    </row>
    <row r="222">
      <c r="A222" s="3" t="s">
        <v>3004</v>
      </c>
      <c r="B222" s="73">
        <v>45086.0</v>
      </c>
      <c r="C222" s="74">
        <v>45088.0</v>
      </c>
      <c r="D222" s="3">
        <v>17.0</v>
      </c>
      <c r="E222" s="3">
        <v>5.0</v>
      </c>
      <c r="F222" s="75">
        <v>25100.0</v>
      </c>
      <c r="G222" s="71">
        <v>15100.0</v>
      </c>
    </row>
    <row r="223">
      <c r="A223" s="3" t="s">
        <v>3014</v>
      </c>
      <c r="B223" s="74">
        <v>45087.0</v>
      </c>
      <c r="C223" s="74">
        <v>45090.0</v>
      </c>
      <c r="D223" s="3">
        <v>17.0</v>
      </c>
      <c r="E223" s="3">
        <v>4.0</v>
      </c>
      <c r="F223" s="75">
        <v>23100.0</v>
      </c>
      <c r="G223" s="71">
        <v>15100.0</v>
      </c>
    </row>
    <row r="224">
      <c r="A224" s="3" t="s">
        <v>3016</v>
      </c>
      <c r="B224" s="73">
        <v>45087.0</v>
      </c>
      <c r="C224" s="74">
        <v>45090.0</v>
      </c>
      <c r="D224" s="3">
        <v>17.0</v>
      </c>
      <c r="E224" s="3">
        <v>9.0</v>
      </c>
      <c r="F224" s="75">
        <v>33100.0</v>
      </c>
      <c r="G224" s="71">
        <v>15100.0</v>
      </c>
    </row>
    <row r="225">
      <c r="A225" s="3" t="s">
        <v>3037</v>
      </c>
      <c r="B225" s="73">
        <v>45087.0</v>
      </c>
      <c r="C225" s="74">
        <v>45092.0</v>
      </c>
      <c r="D225" s="3">
        <v>17.0</v>
      </c>
      <c r="E225" s="3">
        <v>4.0</v>
      </c>
      <c r="F225" s="75">
        <v>23100.0</v>
      </c>
      <c r="G225" s="71">
        <v>15100.0</v>
      </c>
    </row>
    <row r="226">
      <c r="A226" s="3" t="s">
        <v>3096</v>
      </c>
      <c r="B226" s="73">
        <v>45089.0</v>
      </c>
      <c r="C226" s="74">
        <v>45091.0</v>
      </c>
      <c r="D226" s="3">
        <v>17.0</v>
      </c>
      <c r="E226" s="3">
        <v>7.0</v>
      </c>
      <c r="F226" s="75">
        <v>29100.0</v>
      </c>
      <c r="G226" s="71">
        <v>15100.0</v>
      </c>
    </row>
    <row r="227">
      <c r="A227" s="3" t="s">
        <v>3103</v>
      </c>
      <c r="B227" s="73">
        <v>45089.0</v>
      </c>
      <c r="C227" s="74">
        <v>45091.0</v>
      </c>
      <c r="D227" s="3">
        <v>17.0</v>
      </c>
      <c r="E227" s="3">
        <v>7.0</v>
      </c>
      <c r="F227" s="75">
        <v>29100.0</v>
      </c>
      <c r="G227" s="71">
        <v>15100.0</v>
      </c>
    </row>
    <row r="228">
      <c r="A228" s="68" t="s">
        <v>3179</v>
      </c>
      <c r="B228" s="69">
        <v>45092.0</v>
      </c>
      <c r="C228" s="70">
        <v>45094.0</v>
      </c>
      <c r="D228" s="68">
        <v>17.0</v>
      </c>
      <c r="E228" s="68">
        <v>6.0</v>
      </c>
      <c r="F228" s="71">
        <v>27100.0</v>
      </c>
      <c r="G228" s="71">
        <v>15100.0</v>
      </c>
    </row>
    <row r="229">
      <c r="A229" s="3" t="s">
        <v>3205</v>
      </c>
      <c r="B229" s="73">
        <v>45092.0</v>
      </c>
      <c r="C229" s="74">
        <v>45093.0</v>
      </c>
      <c r="D229" s="3">
        <v>17.0</v>
      </c>
      <c r="E229" s="3">
        <v>6.0</v>
      </c>
      <c r="F229" s="75">
        <v>27100.0</v>
      </c>
      <c r="G229" s="71">
        <v>15100.0</v>
      </c>
    </row>
    <row r="230">
      <c r="A230" s="3" t="s">
        <v>3228</v>
      </c>
      <c r="B230" s="73">
        <v>45093.0</v>
      </c>
      <c r="C230" s="74">
        <v>45094.0</v>
      </c>
      <c r="D230" s="3">
        <v>17.0</v>
      </c>
      <c r="E230" s="3">
        <v>4.0</v>
      </c>
      <c r="F230" s="75">
        <v>23100.0</v>
      </c>
      <c r="G230" s="71">
        <v>15100.0</v>
      </c>
    </row>
    <row r="231">
      <c r="A231" s="3" t="s">
        <v>3261</v>
      </c>
      <c r="B231" s="73">
        <v>45094.0</v>
      </c>
      <c r="C231" s="74">
        <v>45096.0</v>
      </c>
      <c r="D231" s="3">
        <v>17.0</v>
      </c>
      <c r="E231" s="3">
        <v>10.0</v>
      </c>
      <c r="F231" s="75">
        <v>35100.0</v>
      </c>
      <c r="G231" s="71">
        <v>15100.0</v>
      </c>
    </row>
    <row r="232">
      <c r="A232" s="68" t="s">
        <v>3327</v>
      </c>
      <c r="B232" s="69">
        <v>45096.0</v>
      </c>
      <c r="C232" s="70">
        <v>45097.0</v>
      </c>
      <c r="D232" s="68">
        <v>17.0</v>
      </c>
      <c r="E232" s="68">
        <v>7.0</v>
      </c>
      <c r="F232" s="71">
        <v>29100.0</v>
      </c>
      <c r="G232" s="71">
        <v>15100.0</v>
      </c>
    </row>
    <row r="233">
      <c r="A233" s="3" t="s">
        <v>3343</v>
      </c>
      <c r="B233" s="73">
        <v>45097.0</v>
      </c>
      <c r="C233" s="74">
        <v>45098.0</v>
      </c>
      <c r="D233" s="3">
        <v>17.0</v>
      </c>
      <c r="E233" s="3">
        <v>7.0</v>
      </c>
      <c r="F233" s="75">
        <v>29100.0</v>
      </c>
      <c r="G233" s="71">
        <v>15100.0</v>
      </c>
    </row>
    <row r="234">
      <c r="A234" s="3" t="s">
        <v>3418</v>
      </c>
      <c r="B234" s="73">
        <v>45099.0</v>
      </c>
      <c r="C234" s="74">
        <v>45102.0</v>
      </c>
      <c r="D234" s="3">
        <v>17.0</v>
      </c>
      <c r="E234" s="3">
        <v>5.0</v>
      </c>
      <c r="F234" s="75">
        <v>25100.0</v>
      </c>
      <c r="G234" s="71">
        <v>15100.0</v>
      </c>
    </row>
    <row r="235">
      <c r="A235" s="3" t="s">
        <v>3421</v>
      </c>
      <c r="B235" s="73">
        <v>45099.0</v>
      </c>
      <c r="C235" s="74">
        <v>45101.0</v>
      </c>
      <c r="D235" s="3">
        <v>17.0</v>
      </c>
      <c r="E235" s="3">
        <v>4.0</v>
      </c>
      <c r="F235" s="75">
        <v>23100.0</v>
      </c>
      <c r="G235" s="71">
        <v>15100.0</v>
      </c>
    </row>
    <row r="236">
      <c r="A236" s="3" t="s">
        <v>3660</v>
      </c>
      <c r="B236" s="73">
        <v>45106.0</v>
      </c>
      <c r="C236" s="74">
        <v>45110.0</v>
      </c>
      <c r="D236" s="3">
        <v>17.0</v>
      </c>
      <c r="E236" s="3">
        <v>10.0</v>
      </c>
      <c r="F236" s="75">
        <v>35100.0</v>
      </c>
      <c r="G236" s="71">
        <v>15100.0</v>
      </c>
    </row>
    <row r="237">
      <c r="A237" s="68" t="s">
        <v>2858</v>
      </c>
      <c r="B237" s="69">
        <v>45081.0</v>
      </c>
      <c r="C237" s="70">
        <v>45084.0</v>
      </c>
      <c r="D237" s="68">
        <v>18.0</v>
      </c>
      <c r="E237" s="68">
        <v>9.0</v>
      </c>
      <c r="F237" s="71">
        <v>33400.0</v>
      </c>
      <c r="G237" s="71">
        <v>15400.0</v>
      </c>
    </row>
    <row r="238">
      <c r="A238" s="68" t="s">
        <v>2889</v>
      </c>
      <c r="B238" s="69">
        <v>45083.0</v>
      </c>
      <c r="C238" s="70">
        <v>45085.0</v>
      </c>
      <c r="D238" s="68">
        <v>18.0</v>
      </c>
      <c r="E238" s="68">
        <v>9.0</v>
      </c>
      <c r="F238" s="71">
        <v>33400.0</v>
      </c>
      <c r="G238" s="71">
        <v>15400.0</v>
      </c>
    </row>
    <row r="239">
      <c r="A239" s="3" t="s">
        <v>2921</v>
      </c>
      <c r="B239" s="73">
        <v>45084.0</v>
      </c>
      <c r="C239" s="74">
        <v>45086.0</v>
      </c>
      <c r="D239" s="3">
        <v>18.0</v>
      </c>
      <c r="E239" s="3">
        <v>7.0</v>
      </c>
      <c r="F239" s="75">
        <v>29400.0</v>
      </c>
      <c r="G239" s="71">
        <v>15400.0</v>
      </c>
    </row>
    <row r="240">
      <c r="A240" s="3" t="s">
        <v>2955</v>
      </c>
      <c r="B240" s="73">
        <v>45085.0</v>
      </c>
      <c r="C240" s="74">
        <v>45086.0</v>
      </c>
      <c r="D240" s="3">
        <v>18.0</v>
      </c>
      <c r="E240" s="3">
        <v>4.0</v>
      </c>
      <c r="F240" s="75">
        <v>23400.0</v>
      </c>
      <c r="G240" s="71">
        <v>15400.0</v>
      </c>
    </row>
    <row r="241">
      <c r="A241" s="3" t="s">
        <v>2956</v>
      </c>
      <c r="B241" s="73">
        <v>45085.0</v>
      </c>
      <c r="C241" s="74">
        <v>45088.0</v>
      </c>
      <c r="D241" s="3">
        <v>18.0</v>
      </c>
      <c r="E241" s="3">
        <v>5.0</v>
      </c>
      <c r="F241" s="75">
        <v>25400.0</v>
      </c>
      <c r="G241" s="71">
        <v>15400.0</v>
      </c>
    </row>
    <row r="242">
      <c r="A242" s="3" t="s">
        <v>2971</v>
      </c>
      <c r="B242" s="73">
        <v>45085.0</v>
      </c>
      <c r="C242" s="74">
        <v>45088.0</v>
      </c>
      <c r="D242" s="3">
        <v>18.0</v>
      </c>
      <c r="E242" s="3">
        <v>4.0</v>
      </c>
      <c r="F242" s="75">
        <v>23400.0</v>
      </c>
      <c r="G242" s="71">
        <v>15400.0</v>
      </c>
    </row>
    <row r="243">
      <c r="A243" s="3" t="s">
        <v>3166</v>
      </c>
      <c r="B243" s="73">
        <v>45091.0</v>
      </c>
      <c r="C243" s="74">
        <v>45093.0</v>
      </c>
      <c r="D243" s="3">
        <v>18.0</v>
      </c>
      <c r="E243" s="3">
        <v>6.0</v>
      </c>
      <c r="F243" s="75">
        <v>27400.0</v>
      </c>
      <c r="G243" s="71">
        <v>15400.0</v>
      </c>
    </row>
    <row r="244">
      <c r="A244" s="3" t="s">
        <v>3252</v>
      </c>
      <c r="B244" s="73">
        <v>45094.0</v>
      </c>
      <c r="C244" s="74">
        <v>45098.0</v>
      </c>
      <c r="D244" s="3">
        <v>18.0</v>
      </c>
      <c r="E244" s="3">
        <v>9.0</v>
      </c>
      <c r="F244" s="75">
        <v>33400.0</v>
      </c>
      <c r="G244" s="71">
        <v>15400.0</v>
      </c>
    </row>
    <row r="245">
      <c r="A245" s="68" t="s">
        <v>3377</v>
      </c>
      <c r="B245" s="69">
        <v>45098.0</v>
      </c>
      <c r="C245" s="70">
        <v>45101.0</v>
      </c>
      <c r="D245" s="68">
        <v>18.0</v>
      </c>
      <c r="E245" s="68">
        <v>8.0</v>
      </c>
      <c r="F245" s="71">
        <v>31400.0</v>
      </c>
      <c r="G245" s="71">
        <v>15400.0</v>
      </c>
    </row>
    <row r="246">
      <c r="A246" s="3" t="s">
        <v>3489</v>
      </c>
      <c r="B246" s="73">
        <v>45101.0</v>
      </c>
      <c r="C246" s="74">
        <v>45102.0</v>
      </c>
      <c r="D246" s="3">
        <v>18.0</v>
      </c>
      <c r="E246" s="3">
        <v>9.0</v>
      </c>
      <c r="F246" s="75">
        <v>33400.0</v>
      </c>
      <c r="G246" s="71">
        <v>15400.0</v>
      </c>
    </row>
    <row r="247">
      <c r="A247" s="3" t="s">
        <v>3496</v>
      </c>
      <c r="B247" s="73">
        <v>45101.0</v>
      </c>
      <c r="C247" s="74">
        <v>45105.0</v>
      </c>
      <c r="D247" s="3">
        <v>18.0</v>
      </c>
      <c r="E247" s="3">
        <v>4.0</v>
      </c>
      <c r="F247" s="75">
        <v>23400.0</v>
      </c>
      <c r="G247" s="71">
        <v>15400.0</v>
      </c>
    </row>
    <row r="248">
      <c r="A248" s="68" t="s">
        <v>3529</v>
      </c>
      <c r="B248" s="69">
        <v>45102.0</v>
      </c>
      <c r="C248" s="70">
        <v>45106.0</v>
      </c>
      <c r="D248" s="68">
        <v>18.0</v>
      </c>
      <c r="E248" s="68">
        <v>4.0</v>
      </c>
      <c r="F248" s="71">
        <v>23400.0</v>
      </c>
      <c r="G248" s="71">
        <v>15400.0</v>
      </c>
    </row>
    <row r="249">
      <c r="A249" s="3" t="s">
        <v>3532</v>
      </c>
      <c r="B249" s="73">
        <v>45102.0</v>
      </c>
      <c r="C249" s="74">
        <v>45106.0</v>
      </c>
      <c r="D249" s="3">
        <v>18.0</v>
      </c>
      <c r="E249" s="3">
        <v>7.0</v>
      </c>
      <c r="F249" s="75">
        <v>29400.0</v>
      </c>
      <c r="G249" s="71">
        <v>15400.0</v>
      </c>
    </row>
    <row r="250">
      <c r="A250" s="68" t="s">
        <v>3575</v>
      </c>
      <c r="B250" s="69">
        <v>45103.0</v>
      </c>
      <c r="C250" s="70">
        <v>45105.0</v>
      </c>
      <c r="D250" s="68">
        <v>18.0</v>
      </c>
      <c r="E250" s="68">
        <v>9.0</v>
      </c>
      <c r="F250" s="71">
        <v>33400.0</v>
      </c>
      <c r="G250" s="71">
        <v>15400.0</v>
      </c>
    </row>
    <row r="251">
      <c r="A251" s="3" t="s">
        <v>3653</v>
      </c>
      <c r="B251" s="73">
        <v>45106.0</v>
      </c>
      <c r="C251" s="74">
        <v>45110.0</v>
      </c>
      <c r="D251" s="3">
        <v>18.0</v>
      </c>
      <c r="E251" s="3">
        <v>6.0</v>
      </c>
      <c r="F251" s="75">
        <v>27400.0</v>
      </c>
      <c r="G251" s="71">
        <v>15400.0</v>
      </c>
    </row>
    <row r="252">
      <c r="A252" s="3" t="s">
        <v>3664</v>
      </c>
      <c r="B252" s="73">
        <v>45106.0</v>
      </c>
      <c r="C252" s="74">
        <v>45107.0</v>
      </c>
      <c r="D252" s="3">
        <v>18.0</v>
      </c>
      <c r="E252" s="3">
        <v>7.0</v>
      </c>
      <c r="F252" s="75">
        <v>29400.0</v>
      </c>
      <c r="G252" s="71">
        <v>15400.0</v>
      </c>
    </row>
    <row r="253">
      <c r="A253" s="3" t="s">
        <v>3672</v>
      </c>
      <c r="B253" s="73">
        <v>45107.0</v>
      </c>
      <c r="C253" s="74">
        <v>45112.0</v>
      </c>
      <c r="D253" s="3">
        <v>18.0</v>
      </c>
      <c r="E253" s="3">
        <v>4.0</v>
      </c>
      <c r="F253" s="75">
        <v>23400.0</v>
      </c>
      <c r="G253" s="71">
        <v>15400.0</v>
      </c>
    </row>
    <row r="254">
      <c r="A254" s="68" t="s">
        <v>2756</v>
      </c>
      <c r="B254" s="69">
        <v>45079.0</v>
      </c>
      <c r="C254" s="70">
        <v>45082.0</v>
      </c>
      <c r="D254" s="68">
        <v>19.0</v>
      </c>
      <c r="E254" s="68">
        <v>5.0</v>
      </c>
      <c r="F254" s="71">
        <v>25700.0</v>
      </c>
      <c r="G254" s="71">
        <v>15700.0</v>
      </c>
    </row>
    <row r="255">
      <c r="A255" s="68" t="s">
        <v>2808</v>
      </c>
      <c r="B255" s="69">
        <v>45080.0</v>
      </c>
      <c r="C255" s="70">
        <v>45084.0</v>
      </c>
      <c r="D255" s="68">
        <v>19.0</v>
      </c>
      <c r="E255" s="68">
        <v>6.0</v>
      </c>
      <c r="F255" s="71">
        <v>27700.0</v>
      </c>
      <c r="G255" s="71">
        <v>15700.0</v>
      </c>
    </row>
    <row r="256">
      <c r="A256" s="3" t="s">
        <v>2978</v>
      </c>
      <c r="B256" s="73">
        <v>45085.0</v>
      </c>
      <c r="C256" s="74">
        <v>45089.0</v>
      </c>
      <c r="D256" s="3">
        <v>19.0</v>
      </c>
      <c r="E256" s="3">
        <v>4.0</v>
      </c>
      <c r="F256" s="75">
        <v>23700.0</v>
      </c>
      <c r="G256" s="71">
        <v>15700.0</v>
      </c>
    </row>
    <row r="257">
      <c r="A257" s="3" t="s">
        <v>2989</v>
      </c>
      <c r="B257" s="73">
        <v>45086.0</v>
      </c>
      <c r="C257" s="74">
        <v>45087.0</v>
      </c>
      <c r="D257" s="3">
        <v>19.0</v>
      </c>
      <c r="E257" s="3">
        <v>10.0</v>
      </c>
      <c r="F257" s="75">
        <v>35700.0</v>
      </c>
      <c r="G257" s="71">
        <v>15700.0</v>
      </c>
    </row>
    <row r="258">
      <c r="A258" s="3" t="s">
        <v>3027</v>
      </c>
      <c r="B258" s="73">
        <v>45087.0</v>
      </c>
      <c r="C258" s="74">
        <v>45090.0</v>
      </c>
      <c r="D258" s="3">
        <v>19.0</v>
      </c>
      <c r="E258" s="3">
        <v>8.0</v>
      </c>
      <c r="F258" s="75">
        <v>31700.0</v>
      </c>
      <c r="G258" s="71">
        <v>15700.0</v>
      </c>
    </row>
    <row r="259">
      <c r="A259" s="3" t="s">
        <v>3095</v>
      </c>
      <c r="B259" s="73">
        <v>45089.0</v>
      </c>
      <c r="C259" s="74">
        <v>45090.0</v>
      </c>
      <c r="D259" s="3">
        <v>19.0</v>
      </c>
      <c r="E259" s="3">
        <v>6.0</v>
      </c>
      <c r="F259" s="75">
        <v>27700.0</v>
      </c>
      <c r="G259" s="71">
        <v>15700.0</v>
      </c>
    </row>
    <row r="260">
      <c r="A260" s="3" t="s">
        <v>3145</v>
      </c>
      <c r="B260" s="73">
        <v>45091.0</v>
      </c>
      <c r="C260" s="74">
        <v>45095.0</v>
      </c>
      <c r="D260" s="3">
        <v>19.0</v>
      </c>
      <c r="E260" s="3">
        <v>6.0</v>
      </c>
      <c r="F260" s="75">
        <v>27700.0</v>
      </c>
      <c r="G260" s="71">
        <v>15700.0</v>
      </c>
    </row>
    <row r="261">
      <c r="A261" s="3" t="s">
        <v>3163</v>
      </c>
      <c r="B261" s="73">
        <v>45091.0</v>
      </c>
      <c r="C261" s="74">
        <v>45092.0</v>
      </c>
      <c r="D261" s="3">
        <v>19.0</v>
      </c>
      <c r="E261" s="3">
        <v>10.0</v>
      </c>
      <c r="F261" s="75">
        <v>35700.0</v>
      </c>
      <c r="G261" s="71">
        <v>15700.0</v>
      </c>
    </row>
    <row r="262">
      <c r="A262" s="3" t="s">
        <v>3165</v>
      </c>
      <c r="B262" s="73">
        <v>45091.0</v>
      </c>
      <c r="C262" s="74">
        <v>45096.0</v>
      </c>
      <c r="D262" s="3">
        <v>19.0</v>
      </c>
      <c r="E262" s="3">
        <v>7.0</v>
      </c>
      <c r="F262" s="75">
        <v>29700.0</v>
      </c>
      <c r="G262" s="71">
        <v>15700.0</v>
      </c>
    </row>
    <row r="263">
      <c r="A263" s="3" t="s">
        <v>3269</v>
      </c>
      <c r="B263" s="73">
        <v>45094.0</v>
      </c>
      <c r="C263" s="74">
        <v>45097.0</v>
      </c>
      <c r="D263" s="3">
        <v>19.0</v>
      </c>
      <c r="E263" s="3">
        <v>9.0</v>
      </c>
      <c r="F263" s="75">
        <v>33700.0</v>
      </c>
      <c r="G263" s="71">
        <v>15700.0</v>
      </c>
    </row>
    <row r="264">
      <c r="A264" s="3" t="s">
        <v>3281</v>
      </c>
      <c r="B264" s="73">
        <v>45095.0</v>
      </c>
      <c r="C264" s="74">
        <v>45097.0</v>
      </c>
      <c r="D264" s="3">
        <v>19.0</v>
      </c>
      <c r="E264" s="3">
        <v>4.0</v>
      </c>
      <c r="F264" s="75">
        <v>23700.0</v>
      </c>
      <c r="G264" s="71">
        <v>15700.0</v>
      </c>
    </row>
    <row r="265">
      <c r="A265" s="68" t="s">
        <v>3304</v>
      </c>
      <c r="B265" s="69">
        <v>45095.0</v>
      </c>
      <c r="C265" s="70">
        <v>45096.0</v>
      </c>
      <c r="D265" s="68">
        <v>19.0</v>
      </c>
      <c r="E265" s="68">
        <v>9.0</v>
      </c>
      <c r="F265" s="71">
        <v>33700.0</v>
      </c>
      <c r="G265" s="71">
        <v>15700.0</v>
      </c>
    </row>
    <row r="266">
      <c r="A266" s="3" t="s">
        <v>3366</v>
      </c>
      <c r="B266" s="73">
        <v>45097.0</v>
      </c>
      <c r="C266" s="74">
        <v>45099.0</v>
      </c>
      <c r="D266" s="3">
        <v>19.0</v>
      </c>
      <c r="E266" s="3">
        <v>6.0</v>
      </c>
      <c r="F266" s="75">
        <v>27700.0</v>
      </c>
      <c r="G266" s="71">
        <v>15700.0</v>
      </c>
    </row>
    <row r="267">
      <c r="A267" s="3" t="s">
        <v>3392</v>
      </c>
      <c r="B267" s="73">
        <v>45098.0</v>
      </c>
      <c r="C267" s="74">
        <v>45103.0</v>
      </c>
      <c r="D267" s="3">
        <v>19.0</v>
      </c>
      <c r="E267" s="3">
        <v>4.0</v>
      </c>
      <c r="F267" s="75">
        <v>23700.0</v>
      </c>
      <c r="G267" s="71">
        <v>15700.0</v>
      </c>
    </row>
    <row r="268">
      <c r="A268" s="3" t="s">
        <v>3394</v>
      </c>
      <c r="B268" s="73">
        <v>45098.0</v>
      </c>
      <c r="C268" s="74">
        <v>45099.0</v>
      </c>
      <c r="D268" s="3">
        <v>19.0</v>
      </c>
      <c r="E268" s="3">
        <v>8.0</v>
      </c>
      <c r="F268" s="75">
        <v>31700.0</v>
      </c>
      <c r="G268" s="71">
        <v>15700.0</v>
      </c>
    </row>
    <row r="269">
      <c r="A269" s="68" t="s">
        <v>3437</v>
      </c>
      <c r="B269" s="69">
        <v>45099.0</v>
      </c>
      <c r="C269" s="70">
        <v>45101.0</v>
      </c>
      <c r="D269" s="68">
        <v>19.0</v>
      </c>
      <c r="E269" s="68">
        <v>6.0</v>
      </c>
      <c r="F269" s="71">
        <v>27700.0</v>
      </c>
      <c r="G269" s="71">
        <v>15700.0</v>
      </c>
    </row>
    <row r="270">
      <c r="A270" s="3" t="s">
        <v>3454</v>
      </c>
      <c r="B270" s="73">
        <v>45100.0</v>
      </c>
      <c r="C270" s="74">
        <v>45105.0</v>
      </c>
      <c r="D270" s="3">
        <v>19.0</v>
      </c>
      <c r="E270" s="3">
        <v>8.0</v>
      </c>
      <c r="F270" s="75">
        <v>31700.0</v>
      </c>
      <c r="G270" s="71">
        <v>15700.0</v>
      </c>
    </row>
    <row r="271">
      <c r="A271" s="68" t="s">
        <v>3522</v>
      </c>
      <c r="B271" s="69">
        <v>45102.0</v>
      </c>
      <c r="C271" s="70">
        <v>45106.0</v>
      </c>
      <c r="D271" s="68">
        <v>19.0</v>
      </c>
      <c r="E271" s="68">
        <v>5.0</v>
      </c>
      <c r="F271" s="71">
        <v>25700.0</v>
      </c>
      <c r="G271" s="71">
        <v>15700.0</v>
      </c>
    </row>
    <row r="272">
      <c r="A272" s="3" t="s">
        <v>3535</v>
      </c>
      <c r="B272" s="73">
        <v>45102.0</v>
      </c>
      <c r="C272" s="74">
        <v>45103.0</v>
      </c>
      <c r="D272" s="3">
        <v>19.0</v>
      </c>
      <c r="E272" s="3">
        <v>7.0</v>
      </c>
      <c r="F272" s="75">
        <v>29700.0</v>
      </c>
      <c r="G272" s="71">
        <v>15700.0</v>
      </c>
    </row>
    <row r="273">
      <c r="A273" s="68" t="s">
        <v>3559</v>
      </c>
      <c r="B273" s="69">
        <v>45103.0</v>
      </c>
      <c r="C273" s="70">
        <v>45107.0</v>
      </c>
      <c r="D273" s="68">
        <v>19.0</v>
      </c>
      <c r="E273" s="68">
        <v>5.0</v>
      </c>
      <c r="F273" s="71">
        <v>25700.0</v>
      </c>
      <c r="G273" s="71">
        <v>15700.0</v>
      </c>
    </row>
    <row r="274">
      <c r="A274" s="3" t="s">
        <v>3639</v>
      </c>
      <c r="B274" s="73">
        <v>45106.0</v>
      </c>
      <c r="C274" s="74">
        <v>45107.0</v>
      </c>
      <c r="D274" s="3">
        <v>19.0</v>
      </c>
      <c r="E274" s="3">
        <v>8.0</v>
      </c>
      <c r="F274" s="75">
        <v>31700.0</v>
      </c>
      <c r="G274" s="71">
        <v>15700.0</v>
      </c>
    </row>
    <row r="275">
      <c r="A275" s="68" t="s">
        <v>2819</v>
      </c>
      <c r="B275" s="69">
        <v>45080.0</v>
      </c>
      <c r="C275" s="70">
        <v>45083.0</v>
      </c>
      <c r="D275" s="68">
        <v>20.0</v>
      </c>
      <c r="E275" s="68">
        <v>5.0</v>
      </c>
      <c r="F275" s="71">
        <v>26000.0</v>
      </c>
      <c r="G275" s="71">
        <v>16000.0</v>
      </c>
    </row>
    <row r="276">
      <c r="A276" s="68" t="s">
        <v>2827</v>
      </c>
      <c r="B276" s="69">
        <v>45081.0</v>
      </c>
      <c r="C276" s="70">
        <v>45083.0</v>
      </c>
      <c r="D276" s="68">
        <v>20.0</v>
      </c>
      <c r="E276" s="68">
        <v>8.0</v>
      </c>
      <c r="F276" s="71">
        <v>32000.0</v>
      </c>
      <c r="G276" s="71">
        <v>16000.0</v>
      </c>
    </row>
    <row r="277">
      <c r="A277" s="68" t="s">
        <v>2838</v>
      </c>
      <c r="B277" s="69">
        <v>45081.0</v>
      </c>
      <c r="C277" s="70">
        <v>45085.0</v>
      </c>
      <c r="D277" s="68">
        <v>20.0</v>
      </c>
      <c r="E277" s="68">
        <v>8.0</v>
      </c>
      <c r="F277" s="71">
        <v>32000.0</v>
      </c>
      <c r="G277" s="71">
        <v>16000.0</v>
      </c>
    </row>
    <row r="278">
      <c r="A278" s="68" t="s">
        <v>2870</v>
      </c>
      <c r="B278" s="69">
        <v>45082.0</v>
      </c>
      <c r="C278" s="70">
        <v>45083.0</v>
      </c>
      <c r="D278" s="68">
        <v>20.0</v>
      </c>
      <c r="E278" s="68">
        <v>4.0</v>
      </c>
      <c r="F278" s="71">
        <v>24000.0</v>
      </c>
      <c r="G278" s="71">
        <v>16000.0</v>
      </c>
    </row>
    <row r="279">
      <c r="A279" s="68" t="s">
        <v>2873</v>
      </c>
      <c r="B279" s="69">
        <v>45082.0</v>
      </c>
      <c r="C279" s="70">
        <v>45086.0</v>
      </c>
      <c r="D279" s="68">
        <v>20.0</v>
      </c>
      <c r="E279" s="68">
        <v>6.0</v>
      </c>
      <c r="F279" s="71">
        <v>28000.0</v>
      </c>
      <c r="G279" s="71">
        <v>16000.0</v>
      </c>
    </row>
    <row r="280">
      <c r="A280" s="3" t="s">
        <v>2908</v>
      </c>
      <c r="B280" s="73">
        <v>45083.0</v>
      </c>
      <c r="C280" s="74">
        <v>45085.0</v>
      </c>
      <c r="D280" s="3">
        <v>20.0</v>
      </c>
      <c r="E280" s="3">
        <v>5.0</v>
      </c>
      <c r="F280" s="75">
        <v>26000.0</v>
      </c>
      <c r="G280" s="71">
        <v>16000.0</v>
      </c>
    </row>
    <row r="281">
      <c r="A281" s="3" t="s">
        <v>2909</v>
      </c>
      <c r="B281" s="73">
        <v>45083.0</v>
      </c>
      <c r="C281" s="74">
        <v>45087.0</v>
      </c>
      <c r="D281" s="3">
        <v>20.0</v>
      </c>
      <c r="E281" s="3">
        <v>10.0</v>
      </c>
      <c r="F281" s="75">
        <v>36000.0</v>
      </c>
      <c r="G281" s="71">
        <v>16000.0</v>
      </c>
    </row>
    <row r="282">
      <c r="A282" s="3" t="s">
        <v>2946</v>
      </c>
      <c r="B282" s="73">
        <v>45084.0</v>
      </c>
      <c r="C282" s="74">
        <v>45086.0</v>
      </c>
      <c r="D282" s="3">
        <v>20.0</v>
      </c>
      <c r="E282" s="3">
        <v>4.0</v>
      </c>
      <c r="F282" s="75">
        <v>24000.0</v>
      </c>
      <c r="G282" s="71">
        <v>16000.0</v>
      </c>
    </row>
    <row r="283">
      <c r="A283" s="3" t="s">
        <v>3036</v>
      </c>
      <c r="B283" s="73">
        <v>45087.0</v>
      </c>
      <c r="C283" s="74">
        <v>45092.0</v>
      </c>
      <c r="D283" s="3">
        <v>20.0</v>
      </c>
      <c r="E283" s="3">
        <v>7.0</v>
      </c>
      <c r="F283" s="75">
        <v>30000.0</v>
      </c>
      <c r="G283" s="71">
        <v>16000.0</v>
      </c>
    </row>
    <row r="284">
      <c r="A284" s="3" t="s">
        <v>3101</v>
      </c>
      <c r="B284" s="73">
        <v>45089.0</v>
      </c>
      <c r="C284" s="74">
        <v>45090.0</v>
      </c>
      <c r="D284" s="3">
        <v>20.0</v>
      </c>
      <c r="E284" s="3">
        <v>9.0</v>
      </c>
      <c r="F284" s="75">
        <v>34000.0</v>
      </c>
      <c r="G284" s="71">
        <v>16000.0</v>
      </c>
    </row>
    <row r="285">
      <c r="A285" s="3" t="s">
        <v>3126</v>
      </c>
      <c r="B285" s="73">
        <v>45090.0</v>
      </c>
      <c r="C285" s="74">
        <v>45092.0</v>
      </c>
      <c r="D285" s="3">
        <v>20.0</v>
      </c>
      <c r="E285" s="3">
        <v>5.0</v>
      </c>
      <c r="F285" s="75">
        <v>26000.0</v>
      </c>
      <c r="G285" s="71">
        <v>16000.0</v>
      </c>
    </row>
    <row r="286">
      <c r="A286" s="3" t="s">
        <v>3139</v>
      </c>
      <c r="B286" s="73">
        <v>45090.0</v>
      </c>
      <c r="C286" s="74">
        <v>45093.0</v>
      </c>
      <c r="D286" s="3">
        <v>20.0</v>
      </c>
      <c r="E286" s="3">
        <v>5.0</v>
      </c>
      <c r="F286" s="75">
        <v>26000.0</v>
      </c>
      <c r="G286" s="71">
        <v>16000.0</v>
      </c>
    </row>
    <row r="287">
      <c r="A287" s="3" t="s">
        <v>3270</v>
      </c>
      <c r="B287" s="73">
        <v>45094.0</v>
      </c>
      <c r="C287" s="74">
        <v>45097.0</v>
      </c>
      <c r="D287" s="3">
        <v>20.0</v>
      </c>
      <c r="E287" s="3">
        <v>10.0</v>
      </c>
      <c r="F287" s="75">
        <v>36000.0</v>
      </c>
      <c r="G287" s="71">
        <v>16000.0</v>
      </c>
    </row>
    <row r="288">
      <c r="A288" s="3" t="s">
        <v>3334</v>
      </c>
      <c r="B288" s="73">
        <v>45096.0</v>
      </c>
      <c r="C288" s="74">
        <v>45100.0</v>
      </c>
      <c r="D288" s="3">
        <v>20.0</v>
      </c>
      <c r="E288" s="3">
        <v>10.0</v>
      </c>
      <c r="F288" s="75">
        <v>36000.0</v>
      </c>
      <c r="G288" s="71">
        <v>16000.0</v>
      </c>
    </row>
    <row r="289">
      <c r="A289" s="3" t="s">
        <v>3387</v>
      </c>
      <c r="B289" s="73">
        <v>45098.0</v>
      </c>
      <c r="C289" s="74">
        <v>45100.0</v>
      </c>
      <c r="D289" s="3">
        <v>20.0</v>
      </c>
      <c r="E289" s="3">
        <v>5.0</v>
      </c>
      <c r="F289" s="75">
        <v>26000.0</v>
      </c>
      <c r="G289" s="71">
        <v>16000.0</v>
      </c>
    </row>
    <row r="290">
      <c r="A290" s="3" t="s">
        <v>3449</v>
      </c>
      <c r="B290" s="73">
        <v>45100.0</v>
      </c>
      <c r="C290" s="74">
        <v>45103.0</v>
      </c>
      <c r="D290" s="3">
        <v>20.0</v>
      </c>
      <c r="E290" s="3">
        <v>6.0</v>
      </c>
      <c r="F290" s="75">
        <v>28000.0</v>
      </c>
      <c r="G290" s="71">
        <v>16000.0</v>
      </c>
    </row>
    <row r="291">
      <c r="A291" s="3" t="s">
        <v>3456</v>
      </c>
      <c r="B291" s="73">
        <v>45100.0</v>
      </c>
      <c r="C291" s="74">
        <v>45101.0</v>
      </c>
      <c r="D291" s="3">
        <v>20.0</v>
      </c>
      <c r="E291" s="3">
        <v>4.0</v>
      </c>
      <c r="F291" s="75">
        <v>24000.0</v>
      </c>
      <c r="G291" s="71">
        <v>16000.0</v>
      </c>
    </row>
    <row r="292">
      <c r="A292" s="3" t="s">
        <v>3498</v>
      </c>
      <c r="B292" s="73">
        <v>45101.0</v>
      </c>
      <c r="C292" s="74">
        <v>45104.0</v>
      </c>
      <c r="D292" s="3">
        <v>20.0</v>
      </c>
      <c r="E292" s="3">
        <v>4.0</v>
      </c>
      <c r="F292" s="75">
        <v>24000.0</v>
      </c>
      <c r="G292" s="71">
        <v>16000.0</v>
      </c>
    </row>
    <row r="293">
      <c r="A293" s="68" t="s">
        <v>3515</v>
      </c>
      <c r="B293" s="69">
        <v>45102.0</v>
      </c>
      <c r="C293" s="70">
        <v>45104.0</v>
      </c>
      <c r="D293" s="68">
        <v>20.0</v>
      </c>
      <c r="E293" s="68">
        <v>10.0</v>
      </c>
      <c r="F293" s="71">
        <v>36000.0</v>
      </c>
      <c r="G293" s="71">
        <v>16000.0</v>
      </c>
    </row>
    <row r="294">
      <c r="A294" s="3" t="s">
        <v>3544</v>
      </c>
      <c r="B294" s="73">
        <v>45103.0</v>
      </c>
      <c r="C294" s="74">
        <v>45105.0</v>
      </c>
      <c r="D294" s="3">
        <v>20.0</v>
      </c>
      <c r="E294" s="3">
        <v>9.0</v>
      </c>
      <c r="F294" s="75">
        <v>34000.0</v>
      </c>
      <c r="G294" s="71">
        <v>16000.0</v>
      </c>
    </row>
    <row r="295">
      <c r="A295" s="3" t="s">
        <v>3662</v>
      </c>
      <c r="B295" s="73">
        <v>45106.0</v>
      </c>
      <c r="C295" s="74">
        <v>45108.0</v>
      </c>
      <c r="D295" s="3">
        <v>20.0</v>
      </c>
      <c r="E295" s="3">
        <v>9.0</v>
      </c>
      <c r="F295" s="75">
        <v>34000.0</v>
      </c>
      <c r="G295" s="71">
        <v>16000.0</v>
      </c>
    </row>
    <row r="296">
      <c r="A296" s="3" t="s">
        <v>3690</v>
      </c>
      <c r="B296" s="73">
        <v>45107.0</v>
      </c>
      <c r="C296" s="74">
        <v>45111.0</v>
      </c>
      <c r="D296" s="3">
        <v>20.0</v>
      </c>
      <c r="E296" s="3">
        <v>7.0</v>
      </c>
      <c r="F296" s="75">
        <v>30000.0</v>
      </c>
      <c r="G296" s="71">
        <v>16000.0</v>
      </c>
    </row>
    <row r="297">
      <c r="A297" s="68" t="s">
        <v>2723</v>
      </c>
      <c r="B297" s="69">
        <v>45078.0</v>
      </c>
      <c r="C297" s="70">
        <v>45080.0</v>
      </c>
      <c r="D297" s="68">
        <v>21.0</v>
      </c>
      <c r="E297" s="68">
        <v>20.0</v>
      </c>
      <c r="F297" s="71">
        <v>56300.0</v>
      </c>
      <c r="G297" s="71">
        <v>16300.0</v>
      </c>
    </row>
    <row r="298">
      <c r="A298" s="68" t="s">
        <v>2797</v>
      </c>
      <c r="B298" s="69">
        <v>45080.0</v>
      </c>
      <c r="C298" s="70">
        <v>45082.0</v>
      </c>
      <c r="D298" s="68">
        <v>21.0</v>
      </c>
      <c r="E298" s="68">
        <v>26.0</v>
      </c>
      <c r="F298" s="71">
        <v>68300.0</v>
      </c>
      <c r="G298" s="71">
        <v>16300.0</v>
      </c>
    </row>
    <row r="299">
      <c r="A299" s="3" t="s">
        <v>3193</v>
      </c>
      <c r="B299" s="73">
        <v>45092.0</v>
      </c>
      <c r="C299" s="74">
        <v>45094.0</v>
      </c>
      <c r="D299" s="3">
        <v>21.0</v>
      </c>
      <c r="E299" s="3">
        <v>24.0</v>
      </c>
      <c r="F299" s="75">
        <v>64300.0</v>
      </c>
      <c r="G299" s="71">
        <v>16300.0</v>
      </c>
    </row>
    <row r="300">
      <c r="A300" s="68" t="s">
        <v>2790</v>
      </c>
      <c r="B300" s="69">
        <v>45080.0</v>
      </c>
      <c r="C300" s="70">
        <v>45081.0</v>
      </c>
      <c r="D300" s="68">
        <v>22.0</v>
      </c>
      <c r="E300" s="68">
        <v>19.0</v>
      </c>
      <c r="F300" s="71">
        <v>54600.0</v>
      </c>
      <c r="G300" s="71">
        <v>16600.0</v>
      </c>
    </row>
    <row r="301">
      <c r="A301" s="68" t="s">
        <v>2793</v>
      </c>
      <c r="B301" s="69">
        <v>45080.0</v>
      </c>
      <c r="C301" s="70">
        <v>45085.0</v>
      </c>
      <c r="D301" s="68">
        <v>22.0</v>
      </c>
      <c r="E301" s="68">
        <v>11.0</v>
      </c>
      <c r="F301" s="71">
        <v>38600.0</v>
      </c>
      <c r="G301" s="71">
        <v>16600.0</v>
      </c>
    </row>
    <row r="302">
      <c r="A302" s="3" t="s">
        <v>2974</v>
      </c>
      <c r="B302" s="73">
        <v>45085.0</v>
      </c>
      <c r="C302" s="74">
        <v>45089.0</v>
      </c>
      <c r="D302" s="3">
        <v>24.0</v>
      </c>
      <c r="E302" s="3">
        <v>11.0</v>
      </c>
      <c r="F302" s="75">
        <v>39200.0</v>
      </c>
      <c r="G302" s="71">
        <v>17200.0</v>
      </c>
    </row>
    <row r="303">
      <c r="A303" s="3" t="s">
        <v>3369</v>
      </c>
      <c r="B303" s="73">
        <v>45097.0</v>
      </c>
      <c r="C303" s="74">
        <v>45100.0</v>
      </c>
      <c r="D303" s="3">
        <v>25.0</v>
      </c>
      <c r="E303" s="3">
        <v>27.0</v>
      </c>
      <c r="F303" s="75">
        <v>71500.0</v>
      </c>
      <c r="G303" s="71">
        <v>17500.0</v>
      </c>
    </row>
    <row r="304">
      <c r="A304" s="68" t="s">
        <v>3374</v>
      </c>
      <c r="B304" s="69">
        <v>45097.0</v>
      </c>
      <c r="C304" s="70">
        <v>45098.0</v>
      </c>
      <c r="D304" s="68">
        <v>27.0</v>
      </c>
      <c r="E304" s="68">
        <v>18.0</v>
      </c>
      <c r="F304" s="71">
        <v>54100.0</v>
      </c>
      <c r="G304" s="71">
        <v>18100.0</v>
      </c>
    </row>
    <row r="305">
      <c r="A305" s="68" t="s">
        <v>2795</v>
      </c>
      <c r="B305" s="69">
        <v>45080.0</v>
      </c>
      <c r="C305" s="70">
        <v>45082.0</v>
      </c>
      <c r="D305" s="68">
        <v>28.0</v>
      </c>
      <c r="E305" s="68">
        <v>24.0</v>
      </c>
      <c r="F305" s="71">
        <v>66400.0</v>
      </c>
      <c r="G305" s="71">
        <v>18400.0</v>
      </c>
    </row>
    <row r="306">
      <c r="A306" s="68" t="s">
        <v>2796</v>
      </c>
      <c r="B306" s="69">
        <v>45080.0</v>
      </c>
      <c r="C306" s="70">
        <v>45081.0</v>
      </c>
      <c r="D306" s="68">
        <v>29.0</v>
      </c>
      <c r="E306" s="68">
        <v>19.0</v>
      </c>
      <c r="F306" s="71">
        <v>56700.0</v>
      </c>
      <c r="G306" s="71">
        <v>18700.0</v>
      </c>
    </row>
    <row r="307">
      <c r="A307" s="68" t="s">
        <v>2728</v>
      </c>
      <c r="B307" s="69">
        <v>45078.0</v>
      </c>
      <c r="C307" s="70">
        <v>45082.0</v>
      </c>
      <c r="D307" s="68">
        <v>33.0</v>
      </c>
      <c r="E307" s="68">
        <v>22.0</v>
      </c>
      <c r="F307" s="71">
        <v>63900.0</v>
      </c>
      <c r="G307" s="71">
        <v>19900.0</v>
      </c>
    </row>
    <row r="308">
      <c r="A308" s="68" t="s">
        <v>3597</v>
      </c>
      <c r="B308" s="69">
        <v>45104.0</v>
      </c>
      <c r="C308" s="70">
        <v>45108.0</v>
      </c>
      <c r="D308" s="68">
        <v>33.0</v>
      </c>
      <c r="E308" s="68">
        <v>12.0</v>
      </c>
      <c r="F308" s="71">
        <v>43900.0</v>
      </c>
      <c r="G308" s="71">
        <v>19900.0</v>
      </c>
    </row>
    <row r="309">
      <c r="A309" s="68" t="s">
        <v>2792</v>
      </c>
      <c r="B309" s="69">
        <v>45080.0</v>
      </c>
      <c r="C309" s="70">
        <v>45083.0</v>
      </c>
      <c r="D309" s="68">
        <v>34.0</v>
      </c>
      <c r="E309" s="68">
        <v>22.0</v>
      </c>
      <c r="F309" s="71">
        <v>64200.0</v>
      </c>
      <c r="G309" s="71">
        <v>20200.0</v>
      </c>
    </row>
    <row r="310">
      <c r="A310" s="3" t="s">
        <v>3362</v>
      </c>
      <c r="B310" s="73">
        <v>45097.0</v>
      </c>
      <c r="C310" s="74">
        <v>45099.0</v>
      </c>
      <c r="D310" s="3">
        <v>34.0</v>
      </c>
      <c r="E310" s="3">
        <v>16.0</v>
      </c>
      <c r="F310" s="75">
        <v>52200.0</v>
      </c>
      <c r="G310" s="71">
        <v>20200.0</v>
      </c>
    </row>
    <row r="311">
      <c r="A311" s="3" t="s">
        <v>2953</v>
      </c>
      <c r="B311" s="73">
        <v>45085.0</v>
      </c>
      <c r="C311" s="74">
        <v>45090.0</v>
      </c>
      <c r="D311" s="3">
        <v>35.0</v>
      </c>
      <c r="E311" s="3">
        <v>22.0</v>
      </c>
      <c r="F311" s="75">
        <v>64500.0</v>
      </c>
      <c r="G311" s="71">
        <v>20500.0</v>
      </c>
    </row>
    <row r="312">
      <c r="A312" s="68" t="s">
        <v>2718</v>
      </c>
      <c r="B312" s="69">
        <v>45078.0</v>
      </c>
      <c r="C312" s="70">
        <v>45082.0</v>
      </c>
      <c r="D312" s="68">
        <v>36.0</v>
      </c>
      <c r="E312" s="68">
        <v>17.0</v>
      </c>
      <c r="F312" s="71">
        <v>54800.0</v>
      </c>
      <c r="G312" s="71">
        <v>20800.0</v>
      </c>
    </row>
    <row r="313">
      <c r="A313" s="68" t="s">
        <v>2770</v>
      </c>
      <c r="B313" s="69">
        <v>45079.0</v>
      </c>
      <c r="C313" s="70">
        <v>45084.0</v>
      </c>
      <c r="D313" s="68">
        <v>38.0</v>
      </c>
      <c r="E313" s="68">
        <v>17.0</v>
      </c>
      <c r="F313" s="71">
        <v>55400.0</v>
      </c>
      <c r="G313" s="71">
        <v>21400.0</v>
      </c>
    </row>
    <row r="314">
      <c r="A314" s="68" t="s">
        <v>2772</v>
      </c>
      <c r="B314" s="69">
        <v>45079.0</v>
      </c>
      <c r="C314" s="70">
        <v>45080.0</v>
      </c>
      <c r="D314" s="68">
        <v>39.0</v>
      </c>
      <c r="E314" s="68">
        <v>17.0</v>
      </c>
      <c r="F314" s="71">
        <v>55700.0</v>
      </c>
      <c r="G314" s="71">
        <v>21700.0</v>
      </c>
    </row>
    <row r="315">
      <c r="A315" s="3" t="s">
        <v>3584</v>
      </c>
      <c r="B315" s="73">
        <v>45104.0</v>
      </c>
      <c r="C315" s="74">
        <v>45105.0</v>
      </c>
      <c r="D315" s="3">
        <v>41.0</v>
      </c>
      <c r="E315" s="3">
        <v>12.0</v>
      </c>
      <c r="F315" s="75">
        <v>46300.0</v>
      </c>
      <c r="G315" s="71">
        <v>22300.0</v>
      </c>
    </row>
    <row r="316">
      <c r="A316" s="3" t="s">
        <v>2961</v>
      </c>
      <c r="B316" s="73">
        <v>45085.0</v>
      </c>
      <c r="C316" s="74">
        <v>45088.0</v>
      </c>
      <c r="D316" s="3">
        <v>43.0</v>
      </c>
      <c r="E316" s="3">
        <v>16.0</v>
      </c>
      <c r="F316" s="75">
        <v>54900.0</v>
      </c>
      <c r="G316" s="71">
        <v>22900.0</v>
      </c>
    </row>
    <row r="317">
      <c r="A317" s="3" t="s">
        <v>2980</v>
      </c>
      <c r="B317" s="73">
        <v>45085.0</v>
      </c>
      <c r="C317" s="74">
        <v>45089.0</v>
      </c>
      <c r="D317" s="3">
        <v>43.0</v>
      </c>
      <c r="E317" s="3">
        <v>22.0</v>
      </c>
      <c r="F317" s="75">
        <v>66900.0</v>
      </c>
      <c r="G317" s="71">
        <v>22900.0</v>
      </c>
    </row>
    <row r="318">
      <c r="A318" s="68" t="s">
        <v>3189</v>
      </c>
      <c r="B318" s="69">
        <v>45092.0</v>
      </c>
      <c r="C318" s="70">
        <v>45096.0</v>
      </c>
      <c r="D318" s="68">
        <v>43.0</v>
      </c>
      <c r="E318" s="68">
        <v>14.0</v>
      </c>
      <c r="F318" s="71">
        <v>50900.0</v>
      </c>
      <c r="G318" s="71">
        <v>22900.0</v>
      </c>
    </row>
    <row r="319">
      <c r="A319" s="3" t="s">
        <v>3364</v>
      </c>
      <c r="B319" s="73">
        <v>45097.0</v>
      </c>
      <c r="C319" s="74">
        <v>45099.0</v>
      </c>
      <c r="D319" s="3">
        <v>43.0</v>
      </c>
      <c r="E319" s="3">
        <v>20.0</v>
      </c>
      <c r="F319" s="75">
        <v>62900.0</v>
      </c>
      <c r="G319" s="71">
        <v>22900.0</v>
      </c>
    </row>
    <row r="320">
      <c r="A320" s="68" t="s">
        <v>2794</v>
      </c>
      <c r="B320" s="69">
        <v>45080.0</v>
      </c>
      <c r="C320" s="70">
        <v>45081.0</v>
      </c>
      <c r="D320" s="68">
        <v>48.0</v>
      </c>
      <c r="E320" s="68">
        <v>20.0</v>
      </c>
      <c r="F320" s="71">
        <v>64400.0</v>
      </c>
      <c r="G320" s="71">
        <v>24400.0</v>
      </c>
    </row>
    <row r="321">
      <c r="A321" s="68" t="s">
        <v>2766</v>
      </c>
      <c r="B321" s="69">
        <v>45079.0</v>
      </c>
      <c r="C321" s="70">
        <v>45081.0</v>
      </c>
      <c r="D321" s="68">
        <v>49.0</v>
      </c>
      <c r="E321" s="68">
        <v>15.0</v>
      </c>
      <c r="F321" s="71">
        <v>54700.0</v>
      </c>
      <c r="G321" s="71">
        <v>24700.0</v>
      </c>
    </row>
    <row r="322">
      <c r="A322" s="68" t="s">
        <v>3590</v>
      </c>
      <c r="B322" s="69">
        <v>45104.0</v>
      </c>
      <c r="C322" s="70">
        <v>45107.0</v>
      </c>
      <c r="D322" s="68">
        <v>54.0</v>
      </c>
      <c r="E322" s="68">
        <v>20.0</v>
      </c>
      <c r="F322" s="71">
        <v>66200.0</v>
      </c>
      <c r="G322" s="71">
        <v>26200.0</v>
      </c>
    </row>
    <row r="323">
      <c r="A323" s="68" t="s">
        <v>2751</v>
      </c>
      <c r="B323" s="69">
        <v>45079.0</v>
      </c>
      <c r="C323" s="70">
        <v>45080.0</v>
      </c>
      <c r="D323" s="68">
        <v>56.0</v>
      </c>
      <c r="E323" s="68">
        <v>12.0</v>
      </c>
      <c r="F323" s="71">
        <v>50800.0</v>
      </c>
      <c r="G323" s="71">
        <v>26800.0</v>
      </c>
    </row>
    <row r="324">
      <c r="A324" s="3" t="s">
        <v>2964</v>
      </c>
      <c r="B324" s="73">
        <v>45085.0</v>
      </c>
      <c r="C324" s="74">
        <v>45090.0</v>
      </c>
      <c r="D324" s="3">
        <v>58.0</v>
      </c>
      <c r="E324" s="3">
        <v>12.0</v>
      </c>
      <c r="F324" s="75">
        <v>51400.0</v>
      </c>
      <c r="G324" s="71">
        <v>27400.0</v>
      </c>
    </row>
    <row r="325">
      <c r="A325" s="3" t="s">
        <v>3192</v>
      </c>
      <c r="B325" s="73">
        <v>45092.0</v>
      </c>
      <c r="C325" s="74">
        <v>45093.0</v>
      </c>
      <c r="D325" s="3">
        <v>58.0</v>
      </c>
      <c r="E325" s="3">
        <v>16.0</v>
      </c>
      <c r="F325" s="75">
        <v>59400.0</v>
      </c>
      <c r="G325" s="71">
        <v>27400.0</v>
      </c>
    </row>
    <row r="326">
      <c r="A326" s="68" t="s">
        <v>3191</v>
      </c>
      <c r="B326" s="69">
        <v>45092.0</v>
      </c>
      <c r="C326" s="70">
        <v>45096.0</v>
      </c>
      <c r="D326" s="68">
        <v>59.0</v>
      </c>
      <c r="E326" s="68">
        <v>20.0</v>
      </c>
      <c r="F326" s="71">
        <v>67700.0</v>
      </c>
      <c r="G326" s="71">
        <v>27700.0</v>
      </c>
    </row>
    <row r="327">
      <c r="A327" s="68" t="s">
        <v>2715</v>
      </c>
      <c r="B327" s="69">
        <v>45078.0</v>
      </c>
      <c r="C327" s="70">
        <v>45079.0</v>
      </c>
      <c r="D327" s="68">
        <v>60.0</v>
      </c>
      <c r="E327" s="68">
        <v>24.0</v>
      </c>
      <c r="F327" s="71">
        <v>76000.0</v>
      </c>
      <c r="G327" s="71">
        <v>28000.0</v>
      </c>
    </row>
    <row r="328">
      <c r="A328" s="68" t="s">
        <v>2730</v>
      </c>
      <c r="B328" s="69">
        <v>45078.0</v>
      </c>
      <c r="C328" s="70">
        <v>45081.0</v>
      </c>
      <c r="D328" s="68">
        <v>60.0</v>
      </c>
      <c r="E328" s="68">
        <v>18.0</v>
      </c>
      <c r="F328" s="71">
        <v>64000.0</v>
      </c>
      <c r="G328" s="71">
        <v>28000.0</v>
      </c>
    </row>
    <row r="329">
      <c r="A329" s="68" t="s">
        <v>3181</v>
      </c>
      <c r="B329" s="69">
        <v>45092.0</v>
      </c>
      <c r="C329" s="70">
        <v>45096.0</v>
      </c>
      <c r="D329" s="68">
        <v>60.0</v>
      </c>
      <c r="E329" s="68">
        <v>27.0</v>
      </c>
      <c r="F329" s="71">
        <v>82000.0</v>
      </c>
      <c r="G329" s="71">
        <v>28000.0</v>
      </c>
    </row>
    <row r="330">
      <c r="A330" s="3" t="s">
        <v>3589</v>
      </c>
      <c r="B330" s="73">
        <v>45104.0</v>
      </c>
      <c r="C330" s="74">
        <v>45105.0</v>
      </c>
      <c r="D330" s="3">
        <v>60.0</v>
      </c>
      <c r="E330" s="3">
        <v>11.0</v>
      </c>
      <c r="F330" s="75">
        <v>50000.0</v>
      </c>
      <c r="G330" s="71">
        <v>28000.0</v>
      </c>
    </row>
    <row r="331">
      <c r="A331" s="68" t="s">
        <v>2725</v>
      </c>
      <c r="B331" s="69">
        <v>45078.0</v>
      </c>
      <c r="C331" s="70">
        <v>45081.0</v>
      </c>
      <c r="D331" s="68">
        <v>61.0</v>
      </c>
      <c r="E331" s="68">
        <v>12.0</v>
      </c>
      <c r="F331" s="71">
        <v>52300.0</v>
      </c>
      <c r="G331" s="71">
        <v>28300.0</v>
      </c>
    </row>
    <row r="332">
      <c r="A332" s="3" t="s">
        <v>3616</v>
      </c>
      <c r="B332" s="73">
        <v>45105.0</v>
      </c>
      <c r="C332" s="74">
        <v>45106.0</v>
      </c>
      <c r="D332" s="3">
        <v>61.0</v>
      </c>
      <c r="E332" s="3">
        <v>17.0</v>
      </c>
      <c r="F332" s="75">
        <v>62300.0</v>
      </c>
      <c r="G332" s="71">
        <v>28300.0</v>
      </c>
    </row>
    <row r="333">
      <c r="A333" s="3" t="s">
        <v>3198</v>
      </c>
      <c r="B333" s="73">
        <v>45092.0</v>
      </c>
      <c r="C333" s="74">
        <v>45093.0</v>
      </c>
      <c r="D333" s="3">
        <v>63.0</v>
      </c>
      <c r="E333" s="3">
        <v>21.0</v>
      </c>
      <c r="F333" s="75">
        <v>70900.0</v>
      </c>
      <c r="G333" s="71">
        <v>28900.0</v>
      </c>
    </row>
    <row r="334">
      <c r="A334" s="68" t="s">
        <v>3608</v>
      </c>
      <c r="B334" s="69">
        <v>45105.0</v>
      </c>
      <c r="C334" s="70">
        <v>45106.0</v>
      </c>
      <c r="D334" s="68">
        <v>64.0</v>
      </c>
      <c r="E334" s="68">
        <v>13.0</v>
      </c>
      <c r="F334" s="71">
        <v>55200.0</v>
      </c>
      <c r="G334" s="71">
        <v>29200.0</v>
      </c>
    </row>
    <row r="335">
      <c r="A335" s="68" t="s">
        <v>2768</v>
      </c>
      <c r="B335" s="69">
        <v>45079.0</v>
      </c>
      <c r="C335" s="70">
        <v>45082.0</v>
      </c>
      <c r="D335" s="68">
        <v>65.0</v>
      </c>
      <c r="E335" s="68">
        <v>24.0</v>
      </c>
      <c r="F335" s="71">
        <v>77500.0</v>
      </c>
      <c r="G335" s="71">
        <v>29500.0</v>
      </c>
    </row>
    <row r="336">
      <c r="A336" s="3" t="s">
        <v>3195</v>
      </c>
      <c r="B336" s="73">
        <v>45092.0</v>
      </c>
      <c r="C336" s="74">
        <v>45095.0</v>
      </c>
      <c r="D336" s="3">
        <v>65.0</v>
      </c>
      <c r="E336" s="3">
        <v>16.0</v>
      </c>
      <c r="F336" s="75">
        <v>61500.0</v>
      </c>
      <c r="G336" s="71">
        <v>29500.0</v>
      </c>
    </row>
    <row r="337">
      <c r="A337" s="3" t="s">
        <v>3196</v>
      </c>
      <c r="B337" s="73">
        <v>45092.0</v>
      </c>
      <c r="C337" s="74">
        <v>45097.0</v>
      </c>
      <c r="D337" s="3">
        <v>70.0</v>
      </c>
      <c r="E337" s="3">
        <v>20.0</v>
      </c>
      <c r="F337" s="75">
        <v>71000.0</v>
      </c>
      <c r="G337" s="71">
        <v>31000.0</v>
      </c>
    </row>
    <row r="338">
      <c r="A338" s="3" t="s">
        <v>3200</v>
      </c>
      <c r="B338" s="73">
        <v>45092.0</v>
      </c>
      <c r="C338" s="74">
        <v>45096.0</v>
      </c>
      <c r="D338" s="3">
        <v>72.0</v>
      </c>
      <c r="E338" s="3">
        <v>17.0</v>
      </c>
      <c r="F338" s="75">
        <v>65600.0</v>
      </c>
      <c r="G338" s="71">
        <v>31600.0</v>
      </c>
    </row>
    <row r="339">
      <c r="A339" s="3" t="s">
        <v>3206</v>
      </c>
      <c r="B339" s="73">
        <v>45092.0</v>
      </c>
      <c r="C339" s="74">
        <v>45097.0</v>
      </c>
      <c r="D339" s="3">
        <v>72.0</v>
      </c>
      <c r="E339" s="3">
        <v>18.0</v>
      </c>
      <c r="F339" s="75">
        <v>67600.0</v>
      </c>
      <c r="G339" s="71">
        <v>31600.0</v>
      </c>
    </row>
    <row r="340">
      <c r="A340" s="68" t="s">
        <v>3183</v>
      </c>
      <c r="B340" s="69">
        <v>45092.0</v>
      </c>
      <c r="C340" s="70">
        <v>45094.0</v>
      </c>
      <c r="D340" s="68">
        <v>73.0</v>
      </c>
      <c r="E340" s="68">
        <v>17.0</v>
      </c>
      <c r="F340" s="71">
        <v>65900.0</v>
      </c>
      <c r="G340" s="71">
        <v>31900.0</v>
      </c>
    </row>
    <row r="341">
      <c r="A341" s="68" t="s">
        <v>2721</v>
      </c>
      <c r="B341" s="69">
        <v>45078.0</v>
      </c>
      <c r="C341" s="70">
        <v>45082.0</v>
      </c>
      <c r="D341" s="68">
        <v>76.0</v>
      </c>
      <c r="E341" s="68">
        <v>24.0</v>
      </c>
      <c r="F341" s="71">
        <v>80800.0</v>
      </c>
      <c r="G341" s="71">
        <v>32800.0</v>
      </c>
    </row>
    <row r="342">
      <c r="A342" s="68" t="s">
        <v>2791</v>
      </c>
      <c r="B342" s="69">
        <v>45080.0</v>
      </c>
      <c r="C342" s="70">
        <v>45082.0</v>
      </c>
      <c r="D342" s="68">
        <v>76.0</v>
      </c>
      <c r="E342" s="68">
        <v>22.0</v>
      </c>
      <c r="F342" s="71">
        <v>76800.0</v>
      </c>
      <c r="G342" s="71">
        <v>32800.0</v>
      </c>
    </row>
    <row r="343">
      <c r="A343" s="3" t="s">
        <v>3051</v>
      </c>
      <c r="B343" s="73">
        <v>45088.0</v>
      </c>
      <c r="C343" s="74">
        <v>45089.0</v>
      </c>
      <c r="D343" s="3">
        <v>77.0</v>
      </c>
      <c r="E343" s="3">
        <v>11.0</v>
      </c>
      <c r="F343" s="75">
        <v>55100.0</v>
      </c>
      <c r="G343" s="71">
        <v>33100.0</v>
      </c>
    </row>
    <row r="344">
      <c r="A344" s="68" t="s">
        <v>3587</v>
      </c>
      <c r="B344" s="69">
        <v>45104.0</v>
      </c>
      <c r="C344" s="70">
        <v>45108.0</v>
      </c>
      <c r="D344" s="68">
        <v>78.0</v>
      </c>
      <c r="E344" s="68">
        <v>16.0</v>
      </c>
      <c r="F344" s="71">
        <v>65400.0</v>
      </c>
      <c r="G344" s="71">
        <v>33400.0</v>
      </c>
    </row>
    <row r="345">
      <c r="A345" s="68" t="s">
        <v>3596</v>
      </c>
      <c r="B345" s="69">
        <v>45104.0</v>
      </c>
      <c r="C345" s="70">
        <v>45107.0</v>
      </c>
      <c r="D345" s="68">
        <v>78.0</v>
      </c>
      <c r="E345" s="68">
        <v>22.0</v>
      </c>
      <c r="F345" s="71">
        <v>77400.0</v>
      </c>
      <c r="G345" s="71">
        <v>33400.0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25"/>
    <col customWidth="1" min="4" max="4" width="15.75"/>
  </cols>
  <sheetData>
    <row r="1">
      <c r="A1" s="76" t="s">
        <v>3723</v>
      </c>
    </row>
    <row r="2">
      <c r="A2" s="72" t="s">
        <v>3724</v>
      </c>
      <c r="E2" s="72" t="s">
        <v>3725</v>
      </c>
      <c r="I2" s="72" t="s">
        <v>3726</v>
      </c>
      <c r="M2" s="72" t="s">
        <v>3727</v>
      </c>
    </row>
    <row r="3">
      <c r="A3" s="3" t="str">
        <f>driver_dataset!$B$1</f>
        <v>driver_name</v>
      </c>
      <c r="E3" s="3" t="str">
        <f>driver_dataset!$B$1</f>
        <v>driver_name</v>
      </c>
      <c r="I3" s="3" t="str">
        <f>driver_dataset!$B$1</f>
        <v>driver_name</v>
      </c>
      <c r="M3" s="77" t="str">
        <f>IFERROR(__xludf.DUMMYFUNCTION("QUERY({B3:B9;B13:B17;F4:F8;F13:F17;J4:J8;J13:J17},""SELECT Col1"")"),"driver_id")</f>
        <v>driver_id</v>
      </c>
    </row>
    <row r="4">
      <c r="A4" s="3" t="str">
        <f t="array" ref="A4">INDEX(driver_dataset!B:B,MATCH(B4,driver_dataset!A:A,0))</f>
        <v>Ferriday</v>
      </c>
      <c r="E4" s="3" t="str">
        <f t="array" ref="E4">INDEX(driver_dataset!$B:$B,MATCH(F4,driver_dataset!$A:$A,0))</f>
        <v>Adan</v>
      </c>
      <c r="I4" s="3" t="str">
        <f t="array" ref="I4">INDEX(driver_dataset!B:B,MATCH(J4,driver_dataset!A:A,0))</f>
        <v>Guillou</v>
      </c>
      <c r="M4" s="77" t="str">
        <f>IFERROR(__xludf.DUMMYFUNCTION("""COMPUTED_VALUE"""),"d263cc82")</f>
        <v>d263cc82</v>
      </c>
    </row>
    <row r="5">
      <c r="A5" s="3" t="str">
        <f t="array" ref="A5">INDEX(driver_dataset!B:B,MATCH(B5,driver_dataset!A:A,0))</f>
        <v>Adney</v>
      </c>
      <c r="E5" s="3" t="str">
        <f t="array" ref="E5">INDEX(driver_dataset!B:B,MATCH(F5,driver_dataset!A:A,0))</f>
        <v>Orrom</v>
      </c>
      <c r="I5" s="3" t="str">
        <f t="array" ref="I5">INDEX(driver_dataset!B:B,MATCH(J5,driver_dataset!A:A,0))</f>
        <v>Ferriday</v>
      </c>
      <c r="M5" s="77" t="str">
        <f>IFERROR(__xludf.DUMMYFUNCTION("""COMPUTED_VALUE"""),"d963f392")</f>
        <v>d963f392</v>
      </c>
    </row>
    <row r="6">
      <c r="A6" s="3" t="str">
        <f t="array" ref="A6">INDEX(driver_dataset!B:B,MATCH(B6,driver_dataset!A:A,0))</f>
        <v>Ezzell</v>
      </c>
      <c r="E6" s="3" t="str">
        <f t="array" ref="E6">INDEX(driver_dataset!B:B,MATCH(F6,driver_dataset!A:A,0))</f>
        <v>Ferriday</v>
      </c>
      <c r="I6" s="3" t="str">
        <f t="array" ref="I6">INDEX(driver_dataset!B:B,MATCH(J6,driver_dataset!A:A,0))</f>
        <v>Engley</v>
      </c>
      <c r="M6" s="77" t="str">
        <f>IFERROR(__xludf.DUMMYFUNCTION("""COMPUTED_VALUE"""),"d689vb78")</f>
        <v>d689vb78</v>
      </c>
    </row>
    <row r="7">
      <c r="A7" s="3" t="str">
        <f t="array" ref="A7">INDEX(driver_dataset!B:B,MATCH(B7,driver_dataset!A:A,0))</f>
        <v>Christaeas</v>
      </c>
      <c r="E7" s="3" t="str">
        <f t="array" ref="E7">INDEX(driver_dataset!B:B,MATCH(F7,driver_dataset!A:A,0))</f>
        <v>Germain</v>
      </c>
      <c r="I7" s="3" t="str">
        <f t="array" ref="I7">INDEX(driver_dataset!B:B,MATCH(J7,driver_dataset!A:A,0))</f>
        <v>Ezzell</v>
      </c>
      <c r="M7" s="77" t="str">
        <f>IFERROR(__xludf.DUMMYFUNCTION("""COMPUTED_VALUE"""),"d961zz31")</f>
        <v>d961zz31</v>
      </c>
    </row>
    <row r="8">
      <c r="A8" s="3" t="str">
        <f t="array" ref="A8">INDEX(driver_dataset!B:B,MATCH(B8,driver_dataset!A:A,0))</f>
        <v>Orrom</v>
      </c>
      <c r="E8" s="3" t="str">
        <f t="array" ref="E8">INDEX(driver_dataset!B:B,MATCH(F8,driver_dataset!A:A,0))</f>
        <v>Onyon</v>
      </c>
      <c r="I8" s="3" t="str">
        <f t="array" ref="I8">INDEX(driver_dataset!B:B,MATCH(J8,driver_dataset!A:A,0))</f>
        <v>Windmill</v>
      </c>
      <c r="M8" s="77" t="str">
        <f>IFERROR(__xludf.DUMMYFUNCTION("""COMPUTED_VALUE"""),"d874jz12")</f>
        <v>d874jz12</v>
      </c>
    </row>
    <row r="9">
      <c r="A9" s="3" t="str">
        <f t="array" ref="A9">INDEX(driver_dataset!B:B,MATCH(B9,driver_dataset!A:A,0))</f>
        <v>Windmill</v>
      </c>
      <c r="M9" s="77" t="str">
        <f>IFERROR(__xludf.DUMMYFUNCTION("""COMPUTED_VALUE"""),"d682x946")</f>
        <v>d682x946</v>
      </c>
    </row>
    <row r="10">
      <c r="M10" s="77" t="str">
        <f>IFERROR(__xludf.DUMMYFUNCTION("""COMPUTED_VALUE"""),"d332xt54")</f>
        <v>d332xt54</v>
      </c>
    </row>
    <row r="11">
      <c r="A11" s="72" t="s">
        <v>3731</v>
      </c>
      <c r="E11" s="72" t="s">
        <v>3732</v>
      </c>
      <c r="I11" s="79" t="s">
        <v>3733</v>
      </c>
      <c r="M11" s="77" t="str">
        <f>IFERROR(__xludf.DUMMYFUNCTION("""COMPUTED_VALUE"""),"d064jh48")</f>
        <v>d064jh48</v>
      </c>
    </row>
    <row r="12">
      <c r="A12" s="3" t="str">
        <f>driver_dataset!$B$1</f>
        <v>driver_name</v>
      </c>
      <c r="E12" s="3" t="str">
        <f>driver_dataset!$B$1</f>
        <v>driver_name</v>
      </c>
      <c r="I12" s="3" t="str">
        <f>driver_dataset!$B$1</f>
        <v>driver_name</v>
      </c>
      <c r="M12" s="77" t="str">
        <f>IFERROR(__xludf.DUMMYFUNCTION("""COMPUTED_VALUE"""),"d669p400")</f>
        <v>d669p400</v>
      </c>
    </row>
    <row r="13">
      <c r="A13" s="3" t="str">
        <f t="array" ref="A13">INDEX(driver_dataset!B:B,MATCH(B13,driver_dataset!A:A,0))</f>
        <v>Baysting</v>
      </c>
      <c r="E13" s="3" t="str">
        <f t="array" ref="E13">INDEX(driver_dataset!$B:$B,MATCH(F13,driver_dataset!$A:$A,0))</f>
        <v>Guillou</v>
      </c>
      <c r="I13" s="3" t="str">
        <f t="array" ref="I13">INDEX(driver_dataset!$B:$B,MATCH(J13,driver_dataset!$A:$A,0))</f>
        <v>Guillou</v>
      </c>
      <c r="M13" s="77" t="str">
        <f>IFERROR(__xludf.DUMMYFUNCTION("""COMPUTED_VALUE"""),"d058da71")</f>
        <v>d058da71</v>
      </c>
    </row>
    <row r="14">
      <c r="A14" s="3" t="str">
        <f t="array" ref="A14">INDEX(driver_dataset!B:B,MATCH(B14,driver_dataset!A:A,0))</f>
        <v>Engley</v>
      </c>
      <c r="E14" s="3" t="str">
        <f t="array" ref="E14">INDEX(driver_dataset!$B:$B,MATCH(F14,driver_dataset!$A:$A,0))</f>
        <v>Engley</v>
      </c>
      <c r="I14" s="3" t="str">
        <f t="array" ref="I14">INDEX(driver_dataset!$B:$B,MATCH(J14,driver_dataset!$A:$A,0))</f>
        <v>Engley</v>
      </c>
      <c r="M14" s="77" t="str">
        <f>IFERROR(__xludf.DUMMYFUNCTION("""COMPUTED_VALUE"""),"d532pn52")</f>
        <v>d532pn52</v>
      </c>
    </row>
    <row r="15">
      <c r="A15" s="3" t="str">
        <f t="array" ref="A15">INDEX(driver_dataset!B:B,MATCH(B15,driver_dataset!A:A,0))</f>
        <v>Guillou</v>
      </c>
      <c r="D15" s="80"/>
      <c r="E15" s="3" t="str">
        <f t="array" ref="E15">INDEX(driver_dataset!$B:$B,MATCH(F15,driver_dataset!$A:$A,0))</f>
        <v>Ferriday</v>
      </c>
      <c r="I15" s="3" t="str">
        <f t="array" ref="I15">INDEX(driver_dataset!$B:$B,MATCH(J15,driver_dataset!$A:$A,0))</f>
        <v>Baysting</v>
      </c>
      <c r="M15" s="77" t="str">
        <f>IFERROR(__xludf.DUMMYFUNCTION("""COMPUTED_VALUE"""),"d630cs24")</f>
        <v>d630cs24</v>
      </c>
    </row>
    <row r="16">
      <c r="A16" s="3" t="str">
        <f t="array" ref="A16">INDEX(driver_dataset!B:B,MATCH(B16,driver_dataset!A:A,0))</f>
        <v>Lainton</v>
      </c>
      <c r="E16" s="3" t="str">
        <f t="array" ref="E16">INDEX(driver_dataset!$B:$B,MATCH(F16,driver_dataset!$A:$A,0))</f>
        <v>Ezzell</v>
      </c>
      <c r="I16" s="3" t="str">
        <f t="array" ref="I16">INDEX(driver_dataset!$B:$B,MATCH(J16,driver_dataset!$A:$A,0))</f>
        <v>Ezzell</v>
      </c>
      <c r="M16" s="77" t="str">
        <f>IFERROR(__xludf.DUMMYFUNCTION("""COMPUTED_VALUE"""),"d874jz12")</f>
        <v>d874jz12</v>
      </c>
    </row>
    <row r="17">
      <c r="A17" s="3" t="str">
        <f t="array" ref="A17">INDEX(driver_dataset!B:B,MATCH(B17,driver_dataset!A:A,0))</f>
        <v>Lotterington</v>
      </c>
      <c r="E17" s="3" t="str">
        <f t="array" ref="E17">INDEX(driver_dataset!$B:$B,MATCH(F17,driver_dataset!$A:$A,0))</f>
        <v>Windmill</v>
      </c>
      <c r="I17" s="3" t="str">
        <f t="array" ref="I17">INDEX(driver_dataset!$B:$B,MATCH(J17,driver_dataset!$A:$A,0))</f>
        <v>Ferriday</v>
      </c>
      <c r="M17" s="77" t="str">
        <f>IFERROR(__xludf.DUMMYFUNCTION("""COMPUTED_VALUE"""),"d263cc82")</f>
        <v>d263cc82</v>
      </c>
    </row>
    <row r="18">
      <c r="M18" s="77" t="str">
        <f>IFERROR(__xludf.DUMMYFUNCTION("""COMPUTED_VALUE"""),"d9198x07")</f>
        <v>d9198x07</v>
      </c>
    </row>
    <row r="19">
      <c r="A19" s="72" t="s">
        <v>3737</v>
      </c>
      <c r="D19" s="72" t="s">
        <v>3738</v>
      </c>
      <c r="I19" s="80"/>
      <c r="L19" s="80"/>
      <c r="M19" s="80" t="str">
        <f>IFERROR(__xludf.DUMMYFUNCTION("""COMPUTED_VALUE"""),"d418sm33")</f>
        <v>d418sm33</v>
      </c>
    </row>
    <row r="20">
      <c r="A20" s="3" t="str">
        <f>IFERROR(__xludf.DUMMYFUNCTION("UNIQUE(M3:M34)"),"driver_id")</f>
        <v>driver_id</v>
      </c>
      <c r="B20" s="81" t="s">
        <v>3739</v>
      </c>
      <c r="C20" s="80"/>
      <c r="D20" s="3" t="str">
        <f>driver_dataset!$B$1</f>
        <v>driver_name</v>
      </c>
      <c r="E20" s="3" t="s">
        <v>2477</v>
      </c>
      <c r="F20" s="81" t="s">
        <v>3739</v>
      </c>
      <c r="J20" s="82"/>
      <c r="L20" s="83"/>
      <c r="M20" s="77" t="str">
        <f>IFERROR(__xludf.DUMMYFUNCTION("""COMPUTED_VALUE"""),"d669p400")</f>
        <v>d669p400</v>
      </c>
    </row>
    <row r="21">
      <c r="A21" s="3" t="str">
        <f>IFERROR(__xludf.DUMMYFUNCTION("""COMPUTED_VALUE"""),"d263cc82")</f>
        <v>d263cc82</v>
      </c>
      <c r="B21" s="3">
        <f t="shared" ref="B21:B34" si="1">COUNTIF($B$4:$B$9,A21)+COUNTIF($F$4:$F$8,A21)+COUNTIF($J$4:$J$8,A21)+COUNTIF($B$13:$B$17,A21)+COUNTIF($F$13:$F$17,A21)+COUNTIF($J$13:$J$17,A21)</f>
        <v>5</v>
      </c>
      <c r="C21" s="80"/>
      <c r="D21" s="3" t="str">
        <f t="array" ref="D21">INDEX(driver_dataset!$B:$B,MATCH(E21,driver_dataset!$A:$A,0))</f>
        <v>Ferriday</v>
      </c>
      <c r="E21" s="3" t="s">
        <v>2662</v>
      </c>
      <c r="F21" s="3">
        <v>5.0</v>
      </c>
      <c r="J21" s="82"/>
      <c r="L21" s="83"/>
      <c r="M21" s="77" t="str">
        <f>IFERROR(__xludf.DUMMYFUNCTION("""COMPUTED_VALUE"""),"d064jh48")</f>
        <v>d064jh48</v>
      </c>
    </row>
    <row r="22">
      <c r="A22" s="3" t="str">
        <f>IFERROR(__xludf.DUMMYFUNCTION("""COMPUTED_VALUE"""),"d963f392")</f>
        <v>d963f392</v>
      </c>
      <c r="B22" s="3">
        <f t="shared" si="1"/>
        <v>1</v>
      </c>
      <c r="C22" s="80"/>
      <c r="D22" s="3" t="str">
        <f t="array" ref="D22">INDEX(driver_dataset!$B:$B,MATCH(E22,driver_dataset!$A:$A,0))</f>
        <v>Ezzell</v>
      </c>
      <c r="E22" s="3" t="s">
        <v>2537</v>
      </c>
      <c r="F22" s="3">
        <v>4.0</v>
      </c>
      <c r="J22" s="82"/>
      <c r="L22" s="83"/>
      <c r="M22" s="77" t="str">
        <f>IFERROR(__xludf.DUMMYFUNCTION("""COMPUTED_VALUE"""),"d263cc82")</f>
        <v>d263cc82</v>
      </c>
    </row>
    <row r="23">
      <c r="A23" s="3" t="str">
        <f>IFERROR(__xludf.DUMMYFUNCTION("""COMPUTED_VALUE"""),"d689vb78")</f>
        <v>d689vb78</v>
      </c>
      <c r="B23" s="3">
        <f t="shared" si="1"/>
        <v>4</v>
      </c>
      <c r="C23" s="80"/>
      <c r="D23" s="3" t="str">
        <f t="array" ref="D23">INDEX(driver_dataset!$B:$B,MATCH(E23,driver_dataset!$A:$A,0))</f>
        <v>Guillou</v>
      </c>
      <c r="E23" s="3" t="s">
        <v>2521</v>
      </c>
      <c r="F23" s="3">
        <v>4.0</v>
      </c>
      <c r="M23" s="77" t="str">
        <f>IFERROR(__xludf.DUMMYFUNCTION("""COMPUTED_VALUE"""),"d689vb78")</f>
        <v>d689vb78</v>
      </c>
    </row>
    <row r="24">
      <c r="A24" s="3" t="str">
        <f>IFERROR(__xludf.DUMMYFUNCTION("""COMPUTED_VALUE"""),"d961zz31")</f>
        <v>d961zz31</v>
      </c>
      <c r="B24" s="3">
        <f t="shared" si="1"/>
        <v>1</v>
      </c>
      <c r="C24" s="80"/>
      <c r="D24" s="3" t="str">
        <f t="array" ref="D24">INDEX(driver_dataset!$B:$B,MATCH(E24,driver_dataset!$A:$A,0))</f>
        <v>Engley</v>
      </c>
      <c r="E24" s="3" t="s">
        <v>2552</v>
      </c>
      <c r="F24" s="3">
        <v>4.0</v>
      </c>
      <c r="M24" s="77" t="str">
        <f>IFERROR(__xludf.DUMMYFUNCTION("""COMPUTED_VALUE"""),"d682x946")</f>
        <v>d682x946</v>
      </c>
    </row>
    <row r="25">
      <c r="A25" s="3" t="str">
        <f>IFERROR(__xludf.DUMMYFUNCTION("""COMPUTED_VALUE"""),"d874jz12")</f>
        <v>d874jz12</v>
      </c>
      <c r="B25" s="3">
        <f t="shared" si="1"/>
        <v>2</v>
      </c>
      <c r="C25" s="80"/>
      <c r="D25" s="3" t="str">
        <f t="array" ref="D25">INDEX(driver_dataset!$B:$B,MATCH(E25,driver_dataset!$A:$A,0))</f>
        <v>Windmill</v>
      </c>
      <c r="E25" s="3" t="s">
        <v>2627</v>
      </c>
      <c r="F25" s="3">
        <v>3.0</v>
      </c>
      <c r="I25" s="80"/>
      <c r="K25" s="80"/>
      <c r="L25" s="80"/>
      <c r="M25" s="80" t="str">
        <f>IFERROR(__xludf.DUMMYFUNCTION("""COMPUTED_VALUE"""),"d669p400")</f>
        <v>d669p400</v>
      </c>
    </row>
    <row r="26">
      <c r="A26" s="3" t="str">
        <f>IFERROR(__xludf.DUMMYFUNCTION("""COMPUTED_VALUE"""),"d682x946")</f>
        <v>d682x946</v>
      </c>
      <c r="B26" s="3">
        <f t="shared" si="1"/>
        <v>3</v>
      </c>
      <c r="D26" s="3" t="str">
        <f t="array" ref="D26">INDEX(driver_dataset!$B:$B,MATCH(E26,driver_dataset!$A:$A,0))</f>
        <v>Orrom</v>
      </c>
      <c r="E26" s="3" t="s">
        <v>2602</v>
      </c>
      <c r="F26" s="3">
        <v>2.0</v>
      </c>
      <c r="J26" s="82"/>
      <c r="K26" s="83"/>
      <c r="M26" s="77" t="str">
        <f>IFERROR(__xludf.DUMMYFUNCTION("""COMPUTED_VALUE"""),"d263cc82")</f>
        <v>d263cc82</v>
      </c>
    </row>
    <row r="27">
      <c r="A27" s="3" t="str">
        <f>IFERROR(__xludf.DUMMYFUNCTION("""COMPUTED_VALUE"""),"d332xt54")</f>
        <v>d332xt54</v>
      </c>
      <c r="B27" s="3">
        <f t="shared" si="1"/>
        <v>2</v>
      </c>
      <c r="D27" s="3" t="str">
        <f t="array" ref="D27">INDEX(driver_dataset!$B:$B,MATCH(E27,driver_dataset!$A:$A,0))</f>
        <v>Baysting</v>
      </c>
      <c r="E27" s="3" t="s">
        <v>2657</v>
      </c>
      <c r="F27" s="3">
        <v>2.0</v>
      </c>
      <c r="J27" s="82"/>
      <c r="K27" s="83"/>
      <c r="M27" s="77" t="str">
        <f>IFERROR(__xludf.DUMMYFUNCTION("""COMPUTED_VALUE"""),"d064jh48")</f>
        <v>d064jh48</v>
      </c>
    </row>
    <row r="28">
      <c r="A28" s="3" t="str">
        <f>IFERROR(__xludf.DUMMYFUNCTION("""COMPUTED_VALUE"""),"d064jh48")</f>
        <v>d064jh48</v>
      </c>
      <c r="B28" s="3">
        <f t="shared" si="1"/>
        <v>4</v>
      </c>
      <c r="D28" s="3" t="str">
        <f t="array" ref="D28">INDEX(driver_dataset!$B:$B,MATCH(E28,driver_dataset!$A:$A,0))</f>
        <v>Adney</v>
      </c>
      <c r="E28" s="3" t="s">
        <v>2506</v>
      </c>
      <c r="F28" s="3">
        <v>1.0</v>
      </c>
      <c r="J28" s="82"/>
      <c r="K28" s="83"/>
      <c r="M28" s="77" t="str">
        <f>IFERROR(__xludf.DUMMYFUNCTION("""COMPUTED_VALUE"""),"d689vb78")</f>
        <v>d689vb78</v>
      </c>
    </row>
    <row r="29">
      <c r="A29" s="3" t="str">
        <f>IFERROR(__xludf.DUMMYFUNCTION("""COMPUTED_VALUE"""),"d669p400")</f>
        <v>d669p400</v>
      </c>
      <c r="B29" s="3">
        <f t="shared" si="1"/>
        <v>4</v>
      </c>
      <c r="D29" s="3" t="str">
        <f t="array" ref="D29">INDEX(driver_dataset!$B:$B,MATCH(E29,driver_dataset!$A:$A,0))</f>
        <v>Christaeas</v>
      </c>
      <c r="E29" s="3" t="s">
        <v>2622</v>
      </c>
      <c r="F29" s="3">
        <v>1.0</v>
      </c>
      <c r="M29" s="77" t="str">
        <f>IFERROR(__xludf.DUMMYFUNCTION("""COMPUTED_VALUE"""),"d682x946")</f>
        <v>d682x946</v>
      </c>
    </row>
    <row r="30">
      <c r="A30" s="3" t="str">
        <f>IFERROR(__xludf.DUMMYFUNCTION("""COMPUTED_VALUE"""),"d058da71")</f>
        <v>d058da71</v>
      </c>
      <c r="B30" s="3">
        <f t="shared" si="1"/>
        <v>1</v>
      </c>
      <c r="D30" s="3" t="str">
        <f t="array" ref="D30">INDEX(driver_dataset!$B:$B,MATCH(E30,driver_dataset!$A:$A,0))</f>
        <v>Germain</v>
      </c>
      <c r="E30" s="3" t="s">
        <v>2612</v>
      </c>
      <c r="F30" s="3">
        <v>1.0</v>
      </c>
      <c r="M30" s="77" t="str">
        <f>IFERROR(__xludf.DUMMYFUNCTION("""COMPUTED_VALUE"""),"d669p400")</f>
        <v>d669p400</v>
      </c>
    </row>
    <row r="31">
      <c r="A31" s="3" t="str">
        <f>IFERROR(__xludf.DUMMYFUNCTION("""COMPUTED_VALUE"""),"d532pn52")</f>
        <v>d532pn52</v>
      </c>
      <c r="B31" s="3">
        <f t="shared" si="1"/>
        <v>1</v>
      </c>
      <c r="D31" s="3" t="str">
        <f t="array" ref="D31">INDEX(driver_dataset!$B:$B,MATCH(E31,driver_dataset!$A:$A,0))</f>
        <v>Adan</v>
      </c>
      <c r="E31" s="3" t="s">
        <v>2516</v>
      </c>
      <c r="F31" s="3">
        <v>1.0</v>
      </c>
      <c r="H31" s="72" t="s">
        <v>3740</v>
      </c>
      <c r="M31" s="77" t="str">
        <f>IFERROR(__xludf.DUMMYFUNCTION("""COMPUTED_VALUE"""),"d064jh48")</f>
        <v>d064jh48</v>
      </c>
    </row>
    <row r="32">
      <c r="A32" s="3" t="str">
        <f>IFERROR(__xludf.DUMMYFUNCTION("""COMPUTED_VALUE"""),"d630cs24")</f>
        <v>d630cs24</v>
      </c>
      <c r="B32" s="3">
        <f t="shared" si="1"/>
        <v>1</v>
      </c>
      <c r="D32" s="3" t="str">
        <f t="array" ref="D32">INDEX(driver_dataset!$B:$B,MATCH(E32,driver_dataset!$A:$A,0))</f>
        <v>Lotterington</v>
      </c>
      <c r="E32" s="3" t="s">
        <v>2667</v>
      </c>
      <c r="F32" s="3">
        <v>1.0</v>
      </c>
      <c r="M32" s="77" t="str">
        <f>IFERROR(__xludf.DUMMYFUNCTION("""COMPUTED_VALUE"""),"d332xt54")</f>
        <v>d332xt54</v>
      </c>
    </row>
    <row r="33">
      <c r="A33" s="3" t="str">
        <f>IFERROR(__xludf.DUMMYFUNCTION("""COMPUTED_VALUE"""),"d9198x07")</f>
        <v>d9198x07</v>
      </c>
      <c r="B33" s="3">
        <f t="shared" si="1"/>
        <v>1</v>
      </c>
      <c r="D33" s="3" t="str">
        <f t="array" ref="D33">INDEX(driver_dataset!$B:$B,MATCH(E33,driver_dataset!$A:$A,0))</f>
        <v>Onyon</v>
      </c>
      <c r="E33" s="3" t="s">
        <v>2647</v>
      </c>
      <c r="F33" s="3">
        <v>1.0</v>
      </c>
      <c r="M33" s="77" t="str">
        <f>IFERROR(__xludf.DUMMYFUNCTION("""COMPUTED_VALUE"""),"d689vb78")</f>
        <v>d689vb78</v>
      </c>
    </row>
    <row r="34">
      <c r="A34" s="3" t="str">
        <f>IFERROR(__xludf.DUMMYFUNCTION("""COMPUTED_VALUE"""),"d418sm33")</f>
        <v>d418sm33</v>
      </c>
      <c r="B34" s="3">
        <f t="shared" si="1"/>
        <v>1</v>
      </c>
      <c r="D34" s="3" t="str">
        <f t="array" ref="D34">INDEX(driver_dataset!$B:$B,MATCH(E34,driver_dataset!$A:$A,0))</f>
        <v>Lainton</v>
      </c>
      <c r="E34" s="3" t="s">
        <v>2697</v>
      </c>
      <c r="F34" s="3">
        <v>1.0</v>
      </c>
      <c r="M34" s="77" t="str">
        <f>IFERROR(__xludf.DUMMYFUNCTION("""COMPUTED_VALUE"""),"d263cc82")</f>
        <v>d263cc82</v>
      </c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</row>
    <row r="37">
      <c r="A37" s="76" t="s">
        <v>3741</v>
      </c>
    </row>
    <row r="39">
      <c r="A39" s="72" t="s">
        <v>3742</v>
      </c>
      <c r="E39" s="85" t="s">
        <v>3743</v>
      </c>
      <c r="I39" s="85" t="s">
        <v>3744</v>
      </c>
      <c r="M39" s="72" t="s">
        <v>3745</v>
      </c>
    </row>
    <row r="40">
      <c r="A40" s="81" t="s">
        <v>2478</v>
      </c>
      <c r="E40" s="81" t="s">
        <v>2478</v>
      </c>
      <c r="I40" s="81" t="s">
        <v>2478</v>
      </c>
      <c r="M40" s="77" t="str">
        <f>IFERROR(__xludf.DUMMYFUNCTION("QUERY({B40:B45;B50:B54;F41:F45;F50:F56;J41:J45;J50:J54},""SELECT Col1"")"),"driver_id")</f>
        <v>driver_id</v>
      </c>
    </row>
    <row r="41">
      <c r="A41" s="86" t="str">
        <f t="array" ref="A41">INDEX(driver_dataset!B:B,MATCH(B41,driver_dataset!A:A,0))</f>
        <v>Slegg</v>
      </c>
      <c r="E41" s="3" t="str">
        <f t="array" ref="E41">INDEX(driver_dataset!B:B,MATCH(F41,driver_dataset!A:A,0))</f>
        <v>Adney</v>
      </c>
      <c r="I41" s="3" t="str">
        <f t="array" ref="I41">INDEX(driver_dataset!B:B,MATCH(J41,driver_dataset!A:A,0))</f>
        <v>Wooffinden</v>
      </c>
      <c r="M41" s="77" t="str">
        <f>IFERROR(__xludf.DUMMYFUNCTION("""COMPUTED_VALUE"""),"d156xg46")</f>
        <v>d156xg46</v>
      </c>
    </row>
    <row r="42">
      <c r="A42" s="86" t="str">
        <f t="array" ref="A42">INDEX(driver_dataset!B:B,MATCH(B42,driver_dataset!A:A,0))</f>
        <v>Baysting</v>
      </c>
      <c r="E42" s="3" t="str">
        <f t="array" ref="E42">INDEX(driver_dataset!B:B,MATCH(F42,driver_dataset!A:A,0))</f>
        <v>Demann</v>
      </c>
      <c r="I42" s="3" t="str">
        <f t="array" ref="I42">INDEX(driver_dataset!B:B,MATCH(J42,driver_dataset!A:A,0))</f>
        <v>Pounder</v>
      </c>
      <c r="M42" s="77" t="str">
        <f>IFERROR(__xludf.DUMMYFUNCTION("""COMPUTED_VALUE"""),"d332xt54")</f>
        <v>d332xt54</v>
      </c>
    </row>
    <row r="43">
      <c r="A43" s="86" t="str">
        <f t="array" ref="A43">INDEX(driver_dataset!B:B,MATCH(B43,driver_dataset!A:A,0))</f>
        <v>Reams</v>
      </c>
      <c r="E43" s="3" t="str">
        <f t="array" ref="E43">INDEX(driver_dataset!B:B,MATCH(F43,driver_dataset!A:A,0))</f>
        <v>Tregidgo</v>
      </c>
      <c r="I43" s="3" t="str">
        <f t="array" ref="I43">INDEX(driver_dataset!B:B,MATCH(J43,driver_dataset!A:A,0))</f>
        <v>Slegg</v>
      </c>
      <c r="M43" s="77" t="str">
        <f>IFERROR(__xludf.DUMMYFUNCTION("""COMPUTED_VALUE"""),"d685rx07")</f>
        <v>d685rx07</v>
      </c>
    </row>
    <row r="44">
      <c r="A44" s="86" t="str">
        <f t="array" ref="A44">INDEX(driver_dataset!B:B,MATCH(B44,driver_dataset!A:A,0))</f>
        <v>Engley</v>
      </c>
      <c r="E44" s="3" t="str">
        <f t="array" ref="E44">INDEX(driver_dataset!B:B,MATCH(F44,driver_dataset!A:A,0))</f>
        <v>McGilbon</v>
      </c>
      <c r="I44" s="3" t="str">
        <f t="array" ref="I44">INDEX(driver_dataset!B:B,MATCH(J44,driver_dataset!A:A,0))</f>
        <v>Reams</v>
      </c>
      <c r="M44" s="77" t="str">
        <f>IFERROR(__xludf.DUMMYFUNCTION("""COMPUTED_VALUE"""),"d064jh48")</f>
        <v>d064jh48</v>
      </c>
    </row>
    <row r="45">
      <c r="A45" s="86" t="str">
        <f t="array" ref="A45">INDEX(driver_dataset!B:B,MATCH(B45,driver_dataset!A:A,0))</f>
        <v>Pounder</v>
      </c>
      <c r="E45" s="3" t="str">
        <f t="array" ref="E45">INDEX(driver_dataset!B:B,MATCH(F45,driver_dataset!A:A,0))</f>
        <v>Slemming</v>
      </c>
      <c r="I45" s="3" t="str">
        <f t="array" ref="I45">INDEX(driver_dataset!B:B,MATCH(J45,driver_dataset!A:A,0))</f>
        <v>Drew</v>
      </c>
      <c r="M45" s="77" t="str">
        <f>IFERROR(__xludf.DUMMYFUNCTION("""COMPUTED_VALUE"""),"d0095x63")</f>
        <v>d0095x63</v>
      </c>
    </row>
    <row r="46">
      <c r="M46" s="77" t="str">
        <f>IFERROR(__xludf.DUMMYFUNCTION("""COMPUTED_VALUE"""),"d173jf22")</f>
        <v>d173jf22</v>
      </c>
    </row>
    <row r="47">
      <c r="D47" s="79"/>
      <c r="M47" s="77" t="str">
        <f>IFERROR(__xludf.DUMMYFUNCTION("""COMPUTED_VALUE"""),"d371yu31")</f>
        <v>d371yu31</v>
      </c>
    </row>
    <row r="48">
      <c r="A48" s="72" t="s">
        <v>3746</v>
      </c>
      <c r="E48" s="72" t="s">
        <v>3747</v>
      </c>
      <c r="I48" s="88" t="s">
        <v>3748</v>
      </c>
      <c r="M48" s="77" t="str">
        <f>IFERROR(__xludf.DUMMYFUNCTION("""COMPUTED_VALUE"""),"d506ki34")</f>
        <v>d506ki34</v>
      </c>
    </row>
    <row r="49">
      <c r="A49" s="81" t="s">
        <v>2478</v>
      </c>
      <c r="E49" s="81" t="s">
        <v>2478</v>
      </c>
      <c r="I49" s="81" t="s">
        <v>2478</v>
      </c>
      <c r="M49" s="77" t="str">
        <f>IFERROR(__xludf.DUMMYFUNCTION("""COMPUTED_VALUE"""),"d8601561")</f>
        <v>d8601561</v>
      </c>
    </row>
    <row r="50">
      <c r="A50" s="3" t="str">
        <f t="array" ref="A50">INDEX(driver_dataset!B:B,MATCH(B50,driver_dataset!A:A,0))</f>
        <v>Le Sieur</v>
      </c>
      <c r="E50" s="3" t="str">
        <f t="array" ref="E50">INDEX(driver_dataset!B:B,MATCH(F50,driver_dataset!A:A,0))</f>
        <v>Slegg</v>
      </c>
      <c r="I50" s="3" t="str">
        <f t="array" ref="I50">INDEX(driver_dataset!B:B,MATCH(J50,driver_dataset!A:A,0))</f>
        <v>Slegg</v>
      </c>
      <c r="M50" s="77" t="str">
        <f>IFERROR(__xludf.DUMMYFUNCTION("""COMPUTED_VALUE"""),"d963f392")</f>
        <v>d963f392</v>
      </c>
    </row>
    <row r="51">
      <c r="A51" s="3" t="str">
        <f t="array" ref="A51">INDEX(driver_dataset!B:B,MATCH(B51,driver_dataset!A:A,0))</f>
        <v>Fairbard</v>
      </c>
      <c r="E51" s="3" t="str">
        <f t="array" ref="E51">INDEX(driver_dataset!B:B,MATCH(F51,driver_dataset!A:A,0))</f>
        <v>Reams</v>
      </c>
      <c r="I51" s="3" t="str">
        <f t="array" ref="I51">INDEX(driver_dataset!B:B,MATCH(J51,driver_dataset!A:A,0))</f>
        <v>Pounder</v>
      </c>
      <c r="M51" s="77" t="str">
        <f>IFERROR(__xludf.DUMMYFUNCTION("""COMPUTED_VALUE"""),"d963f392")</f>
        <v>d963f392</v>
      </c>
    </row>
    <row r="52">
      <c r="A52" s="3" t="str">
        <f t="array" ref="A52">INDEX(driver_dataset!B:B,MATCH(B52,driver_dataset!A:A,0))</f>
        <v>Demann</v>
      </c>
      <c r="E52" s="3" t="str">
        <f t="array" ref="E52">INDEX(driver_dataset!B:B,MATCH(F52,driver_dataset!A:A,0))</f>
        <v>Wooffinden</v>
      </c>
      <c r="I52" s="3" t="str">
        <f t="array" ref="I52">INDEX(driver_dataset!B:B,MATCH(J52,driver_dataset!A:A,0))</f>
        <v>Reams</v>
      </c>
      <c r="M52" s="77" t="str">
        <f>IFERROR(__xludf.DUMMYFUNCTION("""COMPUTED_VALUE"""),"d506ki34")</f>
        <v>d506ki34</v>
      </c>
    </row>
    <row r="53">
      <c r="A53" s="3" t="str">
        <f t="array" ref="A53">INDEX(driver_dataset!B:B,MATCH(B53,driver_dataset!A:A,0))</f>
        <v>Tregidgo</v>
      </c>
      <c r="E53" s="3" t="str">
        <f t="array" ref="E53">INDEX(driver_dataset!B:B,MATCH(F53,driver_dataset!A:A,0))</f>
        <v>Pounder</v>
      </c>
      <c r="I53" s="3" t="str">
        <f t="array" ref="I53">INDEX(driver_dataset!B:B,MATCH(J53,driver_dataset!A:A,0))</f>
        <v>Minnock</v>
      </c>
      <c r="M53" s="77" t="str">
        <f>IFERROR(__xludf.DUMMYFUNCTION("""COMPUTED_VALUE"""),"d8601561")</f>
        <v>d8601561</v>
      </c>
    </row>
    <row r="54">
      <c r="A54" s="3" t="str">
        <f t="array" ref="A54">INDEX(driver_dataset!B:B,MATCH(B54,driver_dataset!A:A,0))</f>
        <v>Adney</v>
      </c>
      <c r="E54" s="3" t="str">
        <f t="array" ref="E54">INDEX(driver_dataset!B:B,MATCH(F54,driver_dataset!A:A,0))</f>
        <v>Fairbard</v>
      </c>
      <c r="I54" s="3" t="str">
        <f t="array" ref="I54">INDEX(driver_dataset!B:B,MATCH(J54,driver_dataset!A:A,0))</f>
        <v>Drew</v>
      </c>
      <c r="M54" s="77" t="str">
        <f>IFERROR(__xludf.DUMMYFUNCTION("""COMPUTED_VALUE"""),"d790ei04")</f>
        <v>d790ei04</v>
      </c>
    </row>
    <row r="55">
      <c r="E55" s="3" t="str">
        <f t="array" ref="E55">INDEX(driver_dataset!B:B,MATCH(F55,driver_dataset!A:A,0))</f>
        <v>Ramsbottom</v>
      </c>
      <c r="M55" s="77" t="str">
        <f>IFERROR(__xludf.DUMMYFUNCTION("""COMPUTED_VALUE"""),"d381in69")</f>
        <v>d381in69</v>
      </c>
    </row>
    <row r="56">
      <c r="E56" s="3" t="str">
        <f t="array" ref="E56">INDEX(driver_dataset!B:B,MATCH(F56,driver_dataset!A:A,0))</f>
        <v>Drew</v>
      </c>
      <c r="M56" s="77" t="str">
        <f>IFERROR(__xludf.DUMMYFUNCTION("""COMPUTED_VALUE"""),"d156xg46")</f>
        <v>d156xg46</v>
      </c>
    </row>
    <row r="57">
      <c r="A57" s="72" t="s">
        <v>3737</v>
      </c>
      <c r="M57" s="77" t="str">
        <f>IFERROR(__xludf.DUMMYFUNCTION("""COMPUTED_VALUE"""),"d685rx07")</f>
        <v>d685rx07</v>
      </c>
    </row>
    <row r="58">
      <c r="A58" s="1" t="str">
        <f>IFERROR(__xludf.DUMMYFUNCTION("UNIQUE(M40:M72)"),"driver_id")</f>
        <v>driver_id</v>
      </c>
      <c r="B58" s="89" t="s">
        <v>3739</v>
      </c>
      <c r="M58" s="77" t="str">
        <f>IFERROR(__xludf.DUMMYFUNCTION("""COMPUTED_VALUE"""),"d000dc28")</f>
        <v>d000dc28</v>
      </c>
    </row>
    <row r="59">
      <c r="A59" s="3" t="str">
        <f>IFERROR(__xludf.DUMMYFUNCTION("""COMPUTED_VALUE"""),"d156xg46")</f>
        <v>d156xg46</v>
      </c>
      <c r="B59" s="60">
        <f t="shared" ref="B59:B74" si="2">COUNTIF($B$41:$B$45,A59)+COUNTIF($F$41:$F$45,A59)+COUNTIF($J$41:$J$45,A59)+COUNTIF($B$50:$B$54,A59)+COUNTIF($F$50:$F$56,A59)+COUNTIF($J$50:$J$54,A59)</f>
        <v>4</v>
      </c>
      <c r="D59" s="72" t="s">
        <v>3738</v>
      </c>
      <c r="M59" s="77" t="str">
        <f>IFERROR(__xludf.DUMMYFUNCTION("""COMPUTED_VALUE"""),"d0095x63")</f>
        <v>d0095x63</v>
      </c>
    </row>
    <row r="60">
      <c r="A60" s="3" t="str">
        <f>IFERROR(__xludf.DUMMYFUNCTION("""COMPUTED_VALUE"""),"d332xt54")</f>
        <v>d332xt54</v>
      </c>
      <c r="B60" s="60">
        <f t="shared" si="2"/>
        <v>1</v>
      </c>
      <c r="D60" s="90" t="s">
        <v>2478</v>
      </c>
      <c r="E60" s="1" t="s">
        <v>2477</v>
      </c>
      <c r="F60" s="90" t="s">
        <v>3739</v>
      </c>
      <c r="M60" s="77" t="str">
        <f>IFERROR(__xludf.DUMMYFUNCTION("""COMPUTED_VALUE"""),"d371yu31")</f>
        <v>d371yu31</v>
      </c>
    </row>
    <row r="61">
      <c r="A61" s="3" t="str">
        <f>IFERROR(__xludf.DUMMYFUNCTION("""COMPUTED_VALUE"""),"d685rx07")</f>
        <v>d685rx07</v>
      </c>
      <c r="B61" s="60">
        <f t="shared" si="2"/>
        <v>4</v>
      </c>
      <c r="D61" s="3" t="str">
        <f t="array" ref="D61">INDEX(driver_dataset!B:B,MATCH(E61,driver_dataset!A:A,0))</f>
        <v>Slegg</v>
      </c>
      <c r="E61" s="3" t="s">
        <v>2592</v>
      </c>
      <c r="F61" s="3">
        <v>4.0</v>
      </c>
      <c r="M61" s="77" t="str">
        <f>IFERROR(__xludf.DUMMYFUNCTION("""COMPUTED_VALUE"""),"d5863k83")</f>
        <v>d5863k83</v>
      </c>
    </row>
    <row r="62">
      <c r="A62" s="3" t="str">
        <f>IFERROR(__xludf.DUMMYFUNCTION("""COMPUTED_VALUE"""),"d064jh48")</f>
        <v>d064jh48</v>
      </c>
      <c r="B62" s="60">
        <f t="shared" si="2"/>
        <v>1</v>
      </c>
      <c r="D62" s="3" t="str">
        <f t="array" ref="D62">INDEX(driver_dataset!B:B,MATCH(E62,driver_dataset!A:A,0))</f>
        <v>Reams</v>
      </c>
      <c r="E62" s="3" t="s">
        <v>2527</v>
      </c>
      <c r="F62" s="3">
        <v>4.0</v>
      </c>
      <c r="M62" s="77" t="str">
        <f>IFERROR(__xludf.DUMMYFUNCTION("""COMPUTED_VALUE"""),"d9728z69")</f>
        <v>d9728z69</v>
      </c>
    </row>
    <row r="63">
      <c r="A63" s="3" t="str">
        <f>IFERROR(__xludf.DUMMYFUNCTION("""COMPUTED_VALUE"""),"d0095x63")</f>
        <v>d0095x63</v>
      </c>
      <c r="B63" s="60">
        <f t="shared" si="2"/>
        <v>4</v>
      </c>
      <c r="D63" s="3" t="str">
        <f t="array" ref="D63">INDEX(driver_dataset!B:B,MATCH(E63,driver_dataset!A:A,0))</f>
        <v>Pounder</v>
      </c>
      <c r="E63" s="3" t="s">
        <v>2572</v>
      </c>
      <c r="F63" s="3">
        <v>4.0</v>
      </c>
      <c r="M63" s="77" t="str">
        <f>IFERROR(__xludf.DUMMYFUNCTION("""COMPUTED_VALUE"""),"d000dc28")</f>
        <v>d000dc28</v>
      </c>
    </row>
    <row r="64">
      <c r="A64" s="3" t="str">
        <f>IFERROR(__xludf.DUMMYFUNCTION("""COMPUTED_VALUE"""),"d173jf22")</f>
        <v>d173jf22</v>
      </c>
      <c r="B64" s="60">
        <f t="shared" si="2"/>
        <v>1</v>
      </c>
      <c r="D64" s="3" t="str">
        <f t="array" ref="D64">INDEX(driver_dataset!B:B,MATCH(E64,driver_dataset!A:A,0))</f>
        <v>Drew</v>
      </c>
      <c r="E64" s="3" t="s">
        <v>2687</v>
      </c>
      <c r="F64" s="3">
        <v>3.0</v>
      </c>
      <c r="M64" s="77" t="str">
        <f>IFERROR(__xludf.DUMMYFUNCTION("""COMPUTED_VALUE"""),"d0095x63")</f>
        <v>d0095x63</v>
      </c>
    </row>
    <row r="65">
      <c r="A65" s="3" t="str">
        <f>IFERROR(__xludf.DUMMYFUNCTION("""COMPUTED_VALUE"""),"d371yu31")</f>
        <v>d371yu31</v>
      </c>
      <c r="B65" s="60">
        <f t="shared" si="2"/>
        <v>2</v>
      </c>
      <c r="D65" s="3" t="str">
        <f t="array" ref="D65">INDEX(driver_dataset!B:B,MATCH(E65,driver_dataset!A:A,0))</f>
        <v>Fairbard</v>
      </c>
      <c r="E65" s="3" t="s">
        <v>2632</v>
      </c>
      <c r="F65" s="3">
        <v>2.0</v>
      </c>
      <c r="M65" s="77" t="str">
        <f>IFERROR(__xludf.DUMMYFUNCTION("""COMPUTED_VALUE"""),"d156xg46")</f>
        <v>d156xg46</v>
      </c>
    </row>
    <row r="66">
      <c r="A66" s="3" t="str">
        <f>IFERROR(__xludf.DUMMYFUNCTION("""COMPUTED_VALUE"""),"d506ki34")</f>
        <v>d506ki34</v>
      </c>
      <c r="B66" s="60">
        <f t="shared" si="2"/>
        <v>2</v>
      </c>
      <c r="D66" s="3" t="str">
        <f t="array" ref="D66">INDEX(driver_dataset!B:B,MATCH(E66,driver_dataset!A:A,0))</f>
        <v>Demann</v>
      </c>
      <c r="E66" s="3" t="s">
        <v>2692</v>
      </c>
      <c r="F66" s="3">
        <v>2.0</v>
      </c>
      <c r="M66" s="77" t="str">
        <f>IFERROR(__xludf.DUMMYFUNCTION("""COMPUTED_VALUE"""),"d685rx07")</f>
        <v>d685rx07</v>
      </c>
    </row>
    <row r="67">
      <c r="A67" s="3" t="str">
        <f>IFERROR(__xludf.DUMMYFUNCTION("""COMPUTED_VALUE"""),"d8601561")</f>
        <v>d8601561</v>
      </c>
      <c r="B67" s="60">
        <f t="shared" si="2"/>
        <v>2</v>
      </c>
      <c r="D67" s="3" t="str">
        <f t="array" ref="D67">INDEX(driver_dataset!B:B,MATCH(E67,driver_dataset!A:A,0))</f>
        <v>Tregidgo</v>
      </c>
      <c r="E67" s="3" t="s">
        <v>2617</v>
      </c>
      <c r="F67" s="3">
        <v>2.0</v>
      </c>
      <c r="M67" s="77" t="str">
        <f>IFERROR(__xludf.DUMMYFUNCTION("""COMPUTED_VALUE"""),"d9728z69")</f>
        <v>d9728z69</v>
      </c>
    </row>
    <row r="68">
      <c r="A68" s="3" t="str">
        <f>IFERROR(__xludf.DUMMYFUNCTION("""COMPUTED_VALUE"""),"d963f392")</f>
        <v>d963f392</v>
      </c>
      <c r="B68" s="60">
        <f t="shared" si="2"/>
        <v>2</v>
      </c>
      <c r="D68" s="3" t="str">
        <f t="array" ref="D68">INDEX(driver_dataset!B:B,MATCH(E68,driver_dataset!A:A,0))</f>
        <v>Adney</v>
      </c>
      <c r="E68" s="3" t="s">
        <v>2506</v>
      </c>
      <c r="F68" s="3">
        <v>2.0</v>
      </c>
      <c r="M68" s="77" t="str">
        <f>IFERROR(__xludf.DUMMYFUNCTION("""COMPUTED_VALUE"""),"d156xg46")</f>
        <v>d156xg46</v>
      </c>
    </row>
    <row r="69">
      <c r="A69" s="3" t="str">
        <f>IFERROR(__xludf.DUMMYFUNCTION("""COMPUTED_VALUE"""),"d790ei04")</f>
        <v>d790ei04</v>
      </c>
      <c r="B69" s="60">
        <f t="shared" si="2"/>
        <v>1</v>
      </c>
      <c r="D69" s="3" t="str">
        <f t="array" ref="D69">INDEX(driver_dataset!B:B,MATCH(E69,driver_dataset!A:A,0))</f>
        <v>Wooffinden</v>
      </c>
      <c r="E69" s="3" t="s">
        <v>2597</v>
      </c>
      <c r="F69" s="3">
        <v>2.0</v>
      </c>
      <c r="M69" s="77" t="str">
        <f>IFERROR(__xludf.DUMMYFUNCTION("""COMPUTED_VALUE"""),"d0095x63")</f>
        <v>d0095x63</v>
      </c>
    </row>
    <row r="70">
      <c r="A70" s="3" t="str">
        <f>IFERROR(__xludf.DUMMYFUNCTION("""COMPUTED_VALUE"""),"d381in69")</f>
        <v>d381in69</v>
      </c>
      <c r="B70" s="60">
        <f t="shared" si="2"/>
        <v>1</v>
      </c>
      <c r="D70" s="3" t="str">
        <f t="array" ref="D70">INDEX(driver_dataset!B:B,MATCH(E70,driver_dataset!A:A,0))</f>
        <v>Baysting</v>
      </c>
      <c r="E70" s="3" t="s">
        <v>2657</v>
      </c>
      <c r="F70" s="3">
        <v>1.0</v>
      </c>
      <c r="M70" s="77" t="str">
        <f>IFERROR(__xludf.DUMMYFUNCTION("""COMPUTED_VALUE"""),"d685rx07")</f>
        <v>d685rx07</v>
      </c>
    </row>
    <row r="71">
      <c r="A71" s="3" t="str">
        <f>IFERROR(__xludf.DUMMYFUNCTION("""COMPUTED_VALUE"""),"d000dc28")</f>
        <v>d000dc28</v>
      </c>
      <c r="B71" s="60">
        <f t="shared" si="2"/>
        <v>2</v>
      </c>
      <c r="D71" s="3" t="str">
        <f t="array" ref="D71">INDEX(driver_dataset!B:B,MATCH(E71,driver_dataset!A:A,0))</f>
        <v>Engley</v>
      </c>
      <c r="E71" s="3" t="s">
        <v>2552</v>
      </c>
      <c r="F71" s="3">
        <v>1.0</v>
      </c>
      <c r="M71" s="77" t="str">
        <f>IFERROR(__xludf.DUMMYFUNCTION("""COMPUTED_VALUE"""),"d662l393")</f>
        <v>d662l393</v>
      </c>
    </row>
    <row r="72">
      <c r="A72" s="3" t="str">
        <f>IFERROR(__xludf.DUMMYFUNCTION("""COMPUTED_VALUE"""),"d5863k83")</f>
        <v>d5863k83</v>
      </c>
      <c r="B72" s="60">
        <f t="shared" si="2"/>
        <v>1</v>
      </c>
      <c r="D72" s="3" t="str">
        <f t="array" ref="D72">INDEX(driver_dataset!B:B,MATCH(E72,driver_dataset!A:A,0))</f>
        <v>Le Sieur</v>
      </c>
      <c r="E72" s="3" t="s">
        <v>2652</v>
      </c>
      <c r="F72" s="3">
        <v>1.0</v>
      </c>
      <c r="M72" s="77" t="str">
        <f>IFERROR(__xludf.DUMMYFUNCTION("""COMPUTED_VALUE"""),"d9728z69")</f>
        <v>d9728z69</v>
      </c>
    </row>
    <row r="73">
      <c r="A73" s="3" t="str">
        <f>IFERROR(__xludf.DUMMYFUNCTION("""COMPUTED_VALUE"""),"d9728z69")</f>
        <v>d9728z69</v>
      </c>
      <c r="B73" s="60">
        <f t="shared" si="2"/>
        <v>3</v>
      </c>
      <c r="D73" s="3" t="str">
        <f t="array" ref="D73">INDEX(driver_dataset!B:B,MATCH(E73,driver_dataset!A:A,0))</f>
        <v>McGilbon</v>
      </c>
      <c r="E73" s="3" t="s">
        <v>2642</v>
      </c>
      <c r="F73" s="3">
        <v>1.0</v>
      </c>
    </row>
    <row r="74">
      <c r="A74" s="3" t="str">
        <f>IFERROR(__xludf.DUMMYFUNCTION("""COMPUTED_VALUE"""),"d662l393")</f>
        <v>d662l393</v>
      </c>
      <c r="B74" s="60">
        <f t="shared" si="2"/>
        <v>1</v>
      </c>
      <c r="D74" s="3" t="str">
        <f t="array" ref="D74">INDEX(driver_dataset!B:B,MATCH(E74,driver_dataset!A:A,0))</f>
        <v>Slemming</v>
      </c>
      <c r="E74" s="3" t="s">
        <v>2577</v>
      </c>
      <c r="F74" s="3">
        <v>1.0</v>
      </c>
    </row>
    <row r="75">
      <c r="D75" s="3" t="str">
        <f t="array" ref="D75">INDEX(driver_dataset!B:B,MATCH(E75,driver_dataset!A:A,0))</f>
        <v>Ramsbottom</v>
      </c>
      <c r="E75" s="3" t="s">
        <v>2677</v>
      </c>
      <c r="F75" s="3">
        <v>1.0</v>
      </c>
    </row>
    <row r="76">
      <c r="D76" s="3" t="str">
        <f t="array" ref="D76">INDEX(driver_dataset!B:B,MATCH(E76,driver_dataset!A:A,0))</f>
        <v>Minnock</v>
      </c>
      <c r="E76" s="3" t="s">
        <v>2582</v>
      </c>
      <c r="F76" s="3">
        <v>1.0</v>
      </c>
    </row>
    <row r="118">
      <c r="A118" s="72" t="s">
        <v>3749</v>
      </c>
    </row>
    <row r="119">
      <c r="A119" s="77" t="s">
        <v>2477</v>
      </c>
      <c r="B119" s="77" t="s">
        <v>3750</v>
      </c>
      <c r="C119" s="77" t="s">
        <v>3751</v>
      </c>
      <c r="D119" s="77" t="s">
        <v>3752</v>
      </c>
      <c r="E119" s="77" t="s">
        <v>3753</v>
      </c>
      <c r="F119" s="77" t="s">
        <v>3754</v>
      </c>
      <c r="H119" s="72" t="s">
        <v>3755</v>
      </c>
    </row>
    <row r="120">
      <c r="A120" s="82" t="s">
        <v>2597</v>
      </c>
      <c r="B120" s="91">
        <v>12000.0</v>
      </c>
      <c r="C120" s="91">
        <v>16000.0</v>
      </c>
      <c r="D120" s="91">
        <v>13882.35294117647</v>
      </c>
      <c r="E120" s="91">
        <v>14000.0</v>
      </c>
      <c r="F120" s="91">
        <v>236000.0</v>
      </c>
    </row>
    <row r="121">
      <c r="A121" s="82" t="s">
        <v>2572</v>
      </c>
      <c r="B121" s="91">
        <v>12000.0</v>
      </c>
      <c r="C121" s="91">
        <v>16000.0</v>
      </c>
      <c r="D121" s="91">
        <v>14666.666666666666</v>
      </c>
      <c r="E121" s="91">
        <v>16000.0</v>
      </c>
      <c r="F121" s="91">
        <v>220000.0</v>
      </c>
    </row>
    <row r="122">
      <c r="A122" s="82" t="s">
        <v>2697</v>
      </c>
      <c r="B122" s="91">
        <v>18000.0</v>
      </c>
      <c r="C122" s="91">
        <v>34800.0</v>
      </c>
      <c r="D122" s="91">
        <v>27311.764705882353</v>
      </c>
      <c r="E122" s="91">
        <v>28000.0</v>
      </c>
      <c r="F122" s="91">
        <v>464300.0</v>
      </c>
    </row>
    <row r="123">
      <c r="A123" s="82" t="s">
        <v>2552</v>
      </c>
      <c r="B123" s="91">
        <v>50900.0</v>
      </c>
      <c r="C123" s="91">
        <v>80800.0</v>
      </c>
      <c r="D123" s="91">
        <v>62557.142857142855</v>
      </c>
      <c r="E123" s="91">
        <v>62700.0</v>
      </c>
      <c r="F123" s="91">
        <v>875800.0</v>
      </c>
    </row>
    <row r="124">
      <c r="A124" s="82" t="s">
        <v>2587</v>
      </c>
      <c r="B124" s="91">
        <v>18000.0</v>
      </c>
      <c r="C124" s="91">
        <v>36000.0</v>
      </c>
      <c r="D124" s="91">
        <v>25868.0</v>
      </c>
      <c r="E124" s="91">
        <v>26000.0</v>
      </c>
      <c r="F124" s="91">
        <v>646700.0</v>
      </c>
    </row>
    <row r="125">
      <c r="A125" s="82" t="s">
        <v>2511</v>
      </c>
      <c r="B125" s="91">
        <v>12000.0</v>
      </c>
      <c r="C125" s="91">
        <v>16000.0</v>
      </c>
      <c r="D125" s="91">
        <v>13916.666666666666</v>
      </c>
      <c r="E125" s="91">
        <v>14000.0</v>
      </c>
      <c r="F125" s="91">
        <v>334000.0</v>
      </c>
    </row>
    <row r="126">
      <c r="A126" s="82" t="s">
        <v>2592</v>
      </c>
      <c r="B126" s="91">
        <v>12000.0</v>
      </c>
      <c r="C126" s="91">
        <v>16000.0</v>
      </c>
      <c r="D126" s="91">
        <v>14000.0</v>
      </c>
      <c r="E126" s="91">
        <v>14000.0</v>
      </c>
      <c r="F126" s="91">
        <v>140000.0</v>
      </c>
    </row>
    <row r="127">
      <c r="A127" s="82" t="s">
        <v>2652</v>
      </c>
      <c r="B127" s="91">
        <v>12000.0</v>
      </c>
      <c r="C127" s="91">
        <v>16000.0</v>
      </c>
      <c r="D127" s="91">
        <v>13333.333333333334</v>
      </c>
      <c r="E127" s="91">
        <v>12000.0</v>
      </c>
      <c r="F127" s="91">
        <v>360000.0</v>
      </c>
    </row>
    <row r="128">
      <c r="A128" s="82" t="s">
        <v>2557</v>
      </c>
      <c r="B128" s="91">
        <v>12000.0</v>
      </c>
      <c r="C128" s="91">
        <v>16000.0</v>
      </c>
      <c r="D128" s="91">
        <v>13760.0</v>
      </c>
      <c r="E128" s="91">
        <v>14000.0</v>
      </c>
      <c r="F128" s="91">
        <v>344000.0</v>
      </c>
    </row>
    <row r="129">
      <c r="A129" s="82" t="s">
        <v>2501</v>
      </c>
      <c r="B129" s="91">
        <v>18000.0</v>
      </c>
      <c r="C129" s="91">
        <v>33100.0</v>
      </c>
      <c r="D129" s="91">
        <v>26252.63157894737</v>
      </c>
      <c r="E129" s="91">
        <v>26000.0</v>
      </c>
      <c r="F129" s="91">
        <v>498800.0</v>
      </c>
    </row>
    <row r="130">
      <c r="A130" s="82" t="s">
        <v>2672</v>
      </c>
      <c r="B130" s="91">
        <v>20000.0</v>
      </c>
      <c r="C130" s="91">
        <v>34000.0</v>
      </c>
      <c r="D130" s="91">
        <v>26166.666666666668</v>
      </c>
      <c r="E130" s="91">
        <v>26000.0</v>
      </c>
      <c r="F130" s="91">
        <v>785000.0</v>
      </c>
    </row>
    <row r="131">
      <c r="A131" s="82" t="s">
        <v>2662</v>
      </c>
      <c r="B131" s="91">
        <v>18000.0</v>
      </c>
      <c r="C131" s="91">
        <v>35700.0</v>
      </c>
      <c r="D131" s="91">
        <v>26376.470588235294</v>
      </c>
      <c r="E131" s="91">
        <v>26000.0</v>
      </c>
      <c r="F131" s="91">
        <v>896800.0</v>
      </c>
    </row>
    <row r="132">
      <c r="A132" s="82" t="s">
        <v>2637</v>
      </c>
      <c r="B132" s="91">
        <v>18000.0</v>
      </c>
      <c r="C132" s="91">
        <v>35700.0</v>
      </c>
      <c r="D132" s="91">
        <v>25088.88888888889</v>
      </c>
      <c r="E132" s="91">
        <v>24000.0</v>
      </c>
      <c r="F132" s="91">
        <v>677400.0</v>
      </c>
    </row>
    <row r="133">
      <c r="A133" s="82" t="s">
        <v>2542</v>
      </c>
      <c r="B133" s="91">
        <v>12000.0</v>
      </c>
      <c r="C133" s="91">
        <v>16000.0</v>
      </c>
      <c r="D133" s="91">
        <v>14100.0</v>
      </c>
      <c r="E133" s="91">
        <v>14000.0</v>
      </c>
      <c r="F133" s="91">
        <v>282000.0</v>
      </c>
    </row>
    <row r="134">
      <c r="A134" s="82" t="s">
        <v>2657</v>
      </c>
      <c r="B134" s="91">
        <v>50800.0</v>
      </c>
      <c r="C134" s="91">
        <v>82000.0</v>
      </c>
      <c r="D134" s="91">
        <v>64830.0</v>
      </c>
      <c r="E134" s="91">
        <v>66750.0</v>
      </c>
      <c r="F134" s="91">
        <v>648300.0</v>
      </c>
    </row>
    <row r="135">
      <c r="A135" s="82" t="s">
        <v>2562</v>
      </c>
      <c r="B135" s="91">
        <v>12000.0</v>
      </c>
      <c r="C135" s="91">
        <v>16000.0</v>
      </c>
      <c r="D135" s="91">
        <v>14222.222222222223</v>
      </c>
      <c r="E135" s="91">
        <v>14000.0</v>
      </c>
      <c r="F135" s="91">
        <v>256000.0</v>
      </c>
    </row>
    <row r="136">
      <c r="A136" s="82" t="s">
        <v>2632</v>
      </c>
      <c r="B136" s="91">
        <v>12000.0</v>
      </c>
      <c r="C136" s="91">
        <v>16000.0</v>
      </c>
      <c r="D136" s="91">
        <v>13500.0</v>
      </c>
      <c r="E136" s="91">
        <v>14000.0</v>
      </c>
      <c r="F136" s="91">
        <v>270000.0</v>
      </c>
    </row>
    <row r="137">
      <c r="A137" s="82" t="s">
        <v>2577</v>
      </c>
      <c r="B137" s="91">
        <v>12000.0</v>
      </c>
      <c r="C137" s="91">
        <v>16000.0</v>
      </c>
      <c r="D137" s="91">
        <v>14571.42857142857</v>
      </c>
      <c r="E137" s="91">
        <v>16000.0</v>
      </c>
      <c r="F137" s="91">
        <v>306000.0</v>
      </c>
    </row>
    <row r="138">
      <c r="A138" s="82" t="s">
        <v>2647</v>
      </c>
      <c r="B138" s="91">
        <v>12000.0</v>
      </c>
      <c r="C138" s="91">
        <v>16000.0</v>
      </c>
      <c r="D138" s="91">
        <v>14210.526315789473</v>
      </c>
      <c r="E138" s="91">
        <v>14000.0</v>
      </c>
      <c r="F138" s="91">
        <v>270000.0</v>
      </c>
    </row>
    <row r="139">
      <c r="A139" s="82" t="s">
        <v>2567</v>
      </c>
      <c r="B139" s="91">
        <v>12000.0</v>
      </c>
      <c r="C139" s="91">
        <v>16000.0</v>
      </c>
      <c r="D139" s="91">
        <v>14000.0</v>
      </c>
      <c r="E139" s="91">
        <v>14000.0</v>
      </c>
      <c r="F139" s="91">
        <v>420000.0</v>
      </c>
    </row>
    <row r="140">
      <c r="A140" s="82" t="s">
        <v>2692</v>
      </c>
      <c r="B140" s="91">
        <v>12000.0</v>
      </c>
      <c r="C140" s="91">
        <v>16000.0</v>
      </c>
      <c r="D140" s="91">
        <v>13565.217391304348</v>
      </c>
      <c r="E140" s="91">
        <v>14000.0</v>
      </c>
      <c r="F140" s="91">
        <v>312000.0</v>
      </c>
    </row>
    <row r="141">
      <c r="A141" s="82" t="s">
        <v>2667</v>
      </c>
      <c r="B141" s="91">
        <v>18000.0</v>
      </c>
      <c r="C141" s="91">
        <v>34800.0</v>
      </c>
      <c r="D141" s="91">
        <v>27223.076923076922</v>
      </c>
      <c r="E141" s="91">
        <v>28000.0</v>
      </c>
      <c r="F141" s="91">
        <v>707800.0</v>
      </c>
    </row>
    <row r="142">
      <c r="A142" s="82" t="s">
        <v>2677</v>
      </c>
      <c r="B142" s="91">
        <v>12000.0</v>
      </c>
      <c r="C142" s="91">
        <v>16000.0</v>
      </c>
      <c r="D142" s="91">
        <v>13888.888888888889</v>
      </c>
      <c r="E142" s="91">
        <v>14000.0</v>
      </c>
      <c r="F142" s="91">
        <v>250000.0</v>
      </c>
    </row>
    <row r="143">
      <c r="A143" s="82" t="s">
        <v>2516</v>
      </c>
      <c r="B143" s="91">
        <v>12000.0</v>
      </c>
      <c r="C143" s="91">
        <v>16000.0</v>
      </c>
      <c r="D143" s="91">
        <v>14111.111111111111</v>
      </c>
      <c r="E143" s="91">
        <v>14000.0</v>
      </c>
      <c r="F143" s="91">
        <v>254000.0</v>
      </c>
    </row>
    <row r="144">
      <c r="A144" s="82" t="s">
        <v>2682</v>
      </c>
      <c r="B144" s="91">
        <v>12000.0</v>
      </c>
      <c r="C144" s="91">
        <v>16000.0</v>
      </c>
      <c r="D144" s="91">
        <v>13909.09090909091</v>
      </c>
      <c r="E144" s="91">
        <v>14000.0</v>
      </c>
      <c r="F144" s="91">
        <v>306000.0</v>
      </c>
    </row>
    <row r="145">
      <c r="A145" s="82" t="s">
        <v>2490</v>
      </c>
      <c r="B145" s="91">
        <v>12000.0</v>
      </c>
      <c r="C145" s="91">
        <v>16000.0</v>
      </c>
      <c r="D145" s="91">
        <v>14000.0</v>
      </c>
      <c r="E145" s="91">
        <v>14000.0</v>
      </c>
      <c r="F145" s="91">
        <v>350000.0</v>
      </c>
    </row>
    <row r="146">
      <c r="A146" s="82" t="s">
        <v>2582</v>
      </c>
      <c r="B146" s="91">
        <v>12000.0</v>
      </c>
      <c r="C146" s="91">
        <v>16000.0</v>
      </c>
      <c r="D146" s="91">
        <v>14111.111111111111</v>
      </c>
      <c r="E146" s="91">
        <v>14000.0</v>
      </c>
      <c r="F146" s="91">
        <v>254000.0</v>
      </c>
    </row>
    <row r="147">
      <c r="A147" s="82" t="s">
        <v>2521</v>
      </c>
      <c r="B147" s="91">
        <v>39200.0</v>
      </c>
      <c r="C147" s="91">
        <v>77400.0</v>
      </c>
      <c r="D147" s="91">
        <v>59820.833333333336</v>
      </c>
      <c r="E147" s="91">
        <v>62600.0</v>
      </c>
      <c r="F147" s="91">
        <v>1435700.0</v>
      </c>
    </row>
    <row r="148">
      <c r="A148" s="82" t="s">
        <v>2627</v>
      </c>
      <c r="B148" s="91">
        <v>20000.0</v>
      </c>
      <c r="C148" s="91">
        <v>34500.0</v>
      </c>
      <c r="D148" s="91">
        <v>26225.8064516129</v>
      </c>
      <c r="E148" s="91">
        <v>26000.0</v>
      </c>
      <c r="F148" s="91">
        <v>813000.0</v>
      </c>
    </row>
    <row r="149">
      <c r="A149" s="82" t="s">
        <v>2527</v>
      </c>
      <c r="B149" s="91">
        <v>12000.0</v>
      </c>
      <c r="C149" s="91">
        <v>16000.0</v>
      </c>
      <c r="D149" s="91">
        <v>14153.846153846154</v>
      </c>
      <c r="E149" s="91">
        <v>14000.0</v>
      </c>
      <c r="F149" s="91">
        <v>184000.0</v>
      </c>
    </row>
    <row r="150">
      <c r="A150" s="82" t="s">
        <v>2537</v>
      </c>
      <c r="B150" s="91">
        <v>18000.0</v>
      </c>
      <c r="C150" s="91">
        <v>36000.0</v>
      </c>
      <c r="D150" s="91">
        <v>26472.727272727272</v>
      </c>
      <c r="E150" s="91">
        <v>26000.0</v>
      </c>
      <c r="F150" s="91">
        <v>873600.0</v>
      </c>
    </row>
    <row r="151">
      <c r="A151" s="82" t="s">
        <v>2547</v>
      </c>
      <c r="B151" s="91">
        <v>12000.0</v>
      </c>
      <c r="C151" s="91">
        <v>16000.0</v>
      </c>
      <c r="D151" s="91">
        <v>14476.190476190477</v>
      </c>
      <c r="E151" s="91">
        <v>14000.0</v>
      </c>
      <c r="F151" s="91">
        <v>304000.0</v>
      </c>
    </row>
    <row r="152">
      <c r="A152" s="82" t="s">
        <v>2532</v>
      </c>
      <c r="B152" s="91">
        <v>12000.0</v>
      </c>
      <c r="C152" s="91">
        <v>16000.0</v>
      </c>
      <c r="D152" s="91">
        <v>14461.538461538461</v>
      </c>
      <c r="E152" s="91">
        <v>15000.0</v>
      </c>
      <c r="F152" s="91">
        <v>376000.0</v>
      </c>
    </row>
    <row r="153">
      <c r="A153" s="82" t="s">
        <v>2642</v>
      </c>
      <c r="B153" s="91">
        <v>12000.0</v>
      </c>
      <c r="C153" s="91">
        <v>16000.0</v>
      </c>
      <c r="D153" s="91">
        <v>14272.727272727272</v>
      </c>
      <c r="E153" s="91">
        <v>14000.0</v>
      </c>
      <c r="F153" s="91">
        <v>314000.0</v>
      </c>
    </row>
    <row r="154">
      <c r="A154" s="82" t="s">
        <v>2496</v>
      </c>
      <c r="B154" s="91">
        <v>12000.0</v>
      </c>
      <c r="C154" s="91">
        <v>16000.0</v>
      </c>
      <c r="D154" s="91">
        <v>13909.09090909091</v>
      </c>
      <c r="E154" s="91">
        <v>14000.0</v>
      </c>
      <c r="F154" s="91">
        <v>306000.0</v>
      </c>
    </row>
    <row r="155">
      <c r="A155" s="82" t="s">
        <v>2484</v>
      </c>
      <c r="B155" s="91">
        <v>18000.0</v>
      </c>
      <c r="C155" s="91">
        <v>35100.0</v>
      </c>
      <c r="D155" s="91">
        <v>23910.714285714286</v>
      </c>
      <c r="E155" s="91">
        <v>23250.0</v>
      </c>
      <c r="F155" s="91">
        <v>669500.0</v>
      </c>
    </row>
    <row r="156">
      <c r="A156" s="82" t="s">
        <v>2617</v>
      </c>
      <c r="B156" s="91">
        <v>12000.0</v>
      </c>
      <c r="C156" s="91">
        <v>16000.0</v>
      </c>
      <c r="D156" s="91">
        <v>13478.260869565218</v>
      </c>
      <c r="E156" s="91">
        <v>14000.0</v>
      </c>
      <c r="F156" s="91">
        <v>310000.0</v>
      </c>
    </row>
    <row r="157">
      <c r="A157" s="82" t="s">
        <v>2602</v>
      </c>
      <c r="B157" s="91">
        <v>12000.0</v>
      </c>
      <c r="C157" s="91">
        <v>16000.0</v>
      </c>
      <c r="D157" s="91">
        <v>14451.612903225807</v>
      </c>
      <c r="E157" s="91">
        <v>14000.0</v>
      </c>
      <c r="F157" s="91">
        <v>448000.0</v>
      </c>
    </row>
    <row r="158">
      <c r="A158" s="82" t="s">
        <v>2612</v>
      </c>
      <c r="B158" s="91">
        <v>12000.0</v>
      </c>
      <c r="C158" s="91">
        <v>16000.0</v>
      </c>
      <c r="D158" s="91">
        <v>14285.714285714286</v>
      </c>
      <c r="E158" s="91">
        <v>14000.0</v>
      </c>
      <c r="F158" s="91">
        <v>400000.0</v>
      </c>
    </row>
    <row r="159">
      <c r="A159" s="82" t="s">
        <v>2622</v>
      </c>
      <c r="B159" s="91">
        <v>12000.0</v>
      </c>
      <c r="C159" s="91">
        <v>16000.0</v>
      </c>
      <c r="D159" s="91">
        <v>14580.645161290322</v>
      </c>
      <c r="E159" s="91">
        <v>14000.0</v>
      </c>
      <c r="F159" s="91">
        <v>452000.0</v>
      </c>
    </row>
    <row r="160">
      <c r="A160" s="82" t="s">
        <v>2506</v>
      </c>
      <c r="B160" s="91">
        <v>12000.0</v>
      </c>
      <c r="C160" s="91">
        <v>16000.0</v>
      </c>
      <c r="D160" s="91">
        <v>13333.333333333334</v>
      </c>
      <c r="E160" s="91">
        <v>12000.0</v>
      </c>
      <c r="F160" s="91">
        <v>440000.0</v>
      </c>
    </row>
    <row r="161">
      <c r="A161" s="82" t="s">
        <v>2687</v>
      </c>
      <c r="B161" s="91">
        <v>12000.0</v>
      </c>
      <c r="C161" s="91">
        <v>16000.0</v>
      </c>
      <c r="D161" s="91">
        <v>14117.64705882353</v>
      </c>
      <c r="E161" s="91">
        <v>14000.0</v>
      </c>
      <c r="F161" s="91">
        <v>240000.0</v>
      </c>
    </row>
    <row r="162">
      <c r="A162" s="82" t="s">
        <v>2607</v>
      </c>
      <c r="B162" s="91">
        <v>18000.0</v>
      </c>
      <c r="C162" s="91">
        <v>36000.0</v>
      </c>
      <c r="D162" s="91">
        <v>24873.91304347826</v>
      </c>
      <c r="E162" s="91">
        <v>25700.0</v>
      </c>
      <c r="F162" s="91">
        <v>572100.0</v>
      </c>
    </row>
    <row r="163">
      <c r="A163" s="77" t="s">
        <v>3706</v>
      </c>
      <c r="B163" s="91">
        <v>12000.0</v>
      </c>
      <c r="C163" s="91">
        <v>82000.0</v>
      </c>
      <c r="D163" s="91">
        <v>19941.513292433538</v>
      </c>
      <c r="E163" s="91">
        <v>16000.0</v>
      </c>
      <c r="F163" s="91">
        <v>1.95028E7</v>
      </c>
    </row>
    <row r="164"/>
  </sheetData>
  <mergeCells count="2">
    <mergeCell ref="A1:M1"/>
    <mergeCell ref="A37:M37"/>
  </mergeCell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0" max="10" width="19.5"/>
  </cols>
  <sheetData>
    <row r="1">
      <c r="A1" s="1" t="str">
        <f>INDIRECT("delivery_cleaned!A1:E987")</f>
        <v>delivery_id</v>
      </c>
      <c r="B1" s="92" t="s">
        <v>2703</v>
      </c>
      <c r="C1" s="92" t="s">
        <v>2704</v>
      </c>
      <c r="D1" s="1" t="s">
        <v>2705</v>
      </c>
      <c r="E1" s="1" t="s">
        <v>2706</v>
      </c>
      <c r="F1" s="93" t="s">
        <v>3760</v>
      </c>
      <c r="G1" s="1" t="s">
        <v>2477</v>
      </c>
      <c r="H1" s="93" t="s">
        <v>3761</v>
      </c>
      <c r="J1" s="3" t="s">
        <v>3762</v>
      </c>
      <c r="K1" s="3"/>
    </row>
    <row r="2">
      <c r="A2" s="3" t="s">
        <v>2710</v>
      </c>
      <c r="B2" s="73">
        <v>45078.0</v>
      </c>
      <c r="C2" s="74">
        <v>45079.0</v>
      </c>
      <c r="D2" s="3">
        <v>5.0</v>
      </c>
      <c r="E2" s="3">
        <v>3.0</v>
      </c>
      <c r="F2" s="3">
        <f t="shared" ref="F2:F987" si="1">C2-B2</f>
        <v>1</v>
      </c>
      <c r="G2" s="78" t="s">
        <v>2532</v>
      </c>
      <c r="H2" s="3" t="str">
        <f t="array" ref="H2">INDEX(driver_dataset!F:F,MATCH(G2,driver_dataset!A:A,0))</f>
        <v>Bike</v>
      </c>
      <c r="J2" s="3" t="s">
        <v>3763</v>
      </c>
      <c r="K2" s="3">
        <v>2.8793103448275863</v>
      </c>
    </row>
    <row r="3">
      <c r="A3" s="3" t="s">
        <v>2712</v>
      </c>
      <c r="B3" s="73">
        <v>45078.0</v>
      </c>
      <c r="C3" s="74">
        <v>45080.0</v>
      </c>
      <c r="D3" s="3">
        <v>15.0</v>
      </c>
      <c r="E3" s="3">
        <v>4.0</v>
      </c>
      <c r="F3" s="3">
        <f t="shared" si="1"/>
        <v>2</v>
      </c>
      <c r="G3" s="78" t="s">
        <v>2501</v>
      </c>
      <c r="H3" s="3" t="str">
        <f t="array" ref="H3">INDEX(driver_dataset!F:F,MATCH(G3,driver_dataset!A:A,0))</f>
        <v>Van</v>
      </c>
      <c r="J3" s="3" t="s">
        <v>3764</v>
      </c>
      <c r="K3" s="3">
        <v>3.0</v>
      </c>
    </row>
    <row r="4">
      <c r="A4" s="3" t="s">
        <v>2713</v>
      </c>
      <c r="B4" s="73">
        <v>45078.0</v>
      </c>
      <c r="C4" s="74">
        <v>45083.0</v>
      </c>
      <c r="D4" s="3">
        <v>8.0</v>
      </c>
      <c r="E4" s="3">
        <v>4.0</v>
      </c>
      <c r="F4" s="3">
        <f t="shared" si="1"/>
        <v>5</v>
      </c>
      <c r="G4" s="78" t="s">
        <v>2637</v>
      </c>
      <c r="H4" s="3" t="str">
        <f t="array" ref="H4">INDEX(driver_dataset!F:F,MATCH(G4,driver_dataset!A:A,0))</f>
        <v>Van</v>
      </c>
      <c r="J4" s="3" t="s">
        <v>3765</v>
      </c>
      <c r="K4" s="3">
        <v>1.0</v>
      </c>
    </row>
    <row r="5">
      <c r="A5" s="3" t="s">
        <v>2714</v>
      </c>
      <c r="B5" s="73">
        <v>45078.0</v>
      </c>
      <c r="C5" s="74">
        <v>45079.0</v>
      </c>
      <c r="D5" s="3">
        <v>4.0</v>
      </c>
      <c r="E5" s="3">
        <v>2.0</v>
      </c>
      <c r="F5" s="3">
        <f t="shared" si="1"/>
        <v>1</v>
      </c>
      <c r="G5" s="78" t="s">
        <v>2682</v>
      </c>
      <c r="H5" s="3" t="str">
        <f t="array" ref="H5">INDEX(driver_dataset!F:F,MATCH(G5,driver_dataset!A:A,0))</f>
        <v>Bike</v>
      </c>
      <c r="J5" s="3" t="s">
        <v>3766</v>
      </c>
      <c r="K5" s="3">
        <v>5.0</v>
      </c>
    </row>
    <row r="6">
      <c r="A6" s="3" t="s">
        <v>2715</v>
      </c>
      <c r="B6" s="73">
        <v>45078.0</v>
      </c>
      <c r="C6" s="74">
        <v>45079.0</v>
      </c>
      <c r="D6" s="3">
        <v>60.0</v>
      </c>
      <c r="E6" s="3">
        <v>24.0</v>
      </c>
      <c r="F6" s="3">
        <f t="shared" si="1"/>
        <v>1</v>
      </c>
      <c r="G6" s="78" t="s">
        <v>2552</v>
      </c>
      <c r="H6" s="3" t="str">
        <f t="array" ref="H6">INDEX(driver_dataset!F:F,MATCH(G6,driver_dataset!A:A,0))</f>
        <v>Truck</v>
      </c>
    </row>
    <row r="7">
      <c r="A7" s="3" t="s">
        <v>2716</v>
      </c>
      <c r="B7" s="73">
        <v>45078.0</v>
      </c>
      <c r="C7" s="74">
        <v>45080.0</v>
      </c>
      <c r="D7" s="3">
        <v>7.0</v>
      </c>
      <c r="E7" s="3">
        <v>10.0</v>
      </c>
      <c r="F7" s="3">
        <f t="shared" si="1"/>
        <v>2</v>
      </c>
      <c r="G7" s="78" t="s">
        <v>2662</v>
      </c>
      <c r="H7" s="3" t="str">
        <f t="array" ref="H7">INDEX(driver_dataset!F:F,MATCH(G7,driver_dataset!A:A,0))</f>
        <v>Van</v>
      </c>
      <c r="J7" s="72" t="s">
        <v>3767</v>
      </c>
    </row>
    <row r="8">
      <c r="A8" s="3" t="s">
        <v>2717</v>
      </c>
      <c r="B8" s="73">
        <v>45078.0</v>
      </c>
      <c r="C8" s="74">
        <v>45081.0</v>
      </c>
      <c r="D8" s="3">
        <v>17.0</v>
      </c>
      <c r="E8" s="3">
        <v>4.0</v>
      </c>
      <c r="F8" s="3">
        <f t="shared" si="1"/>
        <v>3</v>
      </c>
      <c r="G8" s="78" t="s">
        <v>2627</v>
      </c>
      <c r="H8" s="3" t="str">
        <f t="array" ref="H8">INDEX(driver_dataset!F:F,MATCH(G8,driver_dataset!A:A,0))</f>
        <v>Van</v>
      </c>
      <c r="J8" s="3" t="s">
        <v>3761</v>
      </c>
      <c r="K8" s="3" t="s">
        <v>3763</v>
      </c>
      <c r="L8" s="3" t="s">
        <v>3764</v>
      </c>
      <c r="M8" s="3" t="s">
        <v>3765</v>
      </c>
      <c r="N8" s="3" t="s">
        <v>3766</v>
      </c>
    </row>
    <row r="9">
      <c r="A9" s="3" t="s">
        <v>2718</v>
      </c>
      <c r="B9" s="73">
        <v>45078.0</v>
      </c>
      <c r="C9" s="74">
        <v>45082.0</v>
      </c>
      <c r="D9" s="3">
        <v>36.0</v>
      </c>
      <c r="E9" s="3">
        <v>17.0</v>
      </c>
      <c r="F9" s="3">
        <f t="shared" si="1"/>
        <v>4</v>
      </c>
      <c r="G9" s="78" t="s">
        <v>2552</v>
      </c>
      <c r="H9" s="3" t="str">
        <f t="array" ref="H9">INDEX(driver_dataset!F:F,MATCH(G9,driver_dataset!A:A,0))</f>
        <v>Truck</v>
      </c>
      <c r="J9" s="3" t="s">
        <v>2488</v>
      </c>
      <c r="K9" s="3">
        <v>2.7491525423728813</v>
      </c>
      <c r="L9" s="3">
        <v>3.0</v>
      </c>
      <c r="M9" s="3">
        <v>1.0</v>
      </c>
      <c r="N9" s="3">
        <v>5.0</v>
      </c>
    </row>
    <row r="10">
      <c r="A10" s="3" t="s">
        <v>2719</v>
      </c>
      <c r="B10" s="73">
        <v>45078.0</v>
      </c>
      <c r="C10" s="74">
        <v>45081.0</v>
      </c>
      <c r="D10" s="3">
        <v>1.0</v>
      </c>
      <c r="E10" s="3">
        <v>3.0</v>
      </c>
      <c r="F10" s="3">
        <f t="shared" si="1"/>
        <v>3</v>
      </c>
      <c r="G10" s="78" t="s">
        <v>2582</v>
      </c>
      <c r="H10" s="3" t="str">
        <f t="array" ref="H10">INDEX(driver_dataset!F:F,MATCH(G10,driver_dataset!A:A,0))</f>
        <v>Bike</v>
      </c>
      <c r="J10" s="3" t="s">
        <v>2525</v>
      </c>
      <c r="K10" s="3">
        <v>2.7142857142857144</v>
      </c>
      <c r="L10" s="3">
        <v>3.0</v>
      </c>
      <c r="M10" s="3">
        <v>1.0</v>
      </c>
      <c r="N10" s="3">
        <v>5.0</v>
      </c>
    </row>
    <row r="11">
      <c r="A11" s="3" t="s">
        <v>2720</v>
      </c>
      <c r="B11" s="73">
        <v>45078.0</v>
      </c>
      <c r="C11" s="74">
        <v>45081.0</v>
      </c>
      <c r="D11" s="3">
        <v>3.0</v>
      </c>
      <c r="E11" s="3">
        <v>2.0</v>
      </c>
      <c r="F11" s="3">
        <f t="shared" si="1"/>
        <v>3</v>
      </c>
      <c r="G11" s="78" t="s">
        <v>2687</v>
      </c>
      <c r="H11" s="3" t="str">
        <f t="array" ref="H11">INDEX(driver_dataset!F:F,MATCH(G11,driver_dataset!A:A,0))</f>
        <v>Bike</v>
      </c>
      <c r="J11" s="3" t="s">
        <v>2494</v>
      </c>
      <c r="K11" s="3">
        <v>2.9517133956386292</v>
      </c>
      <c r="L11" s="3">
        <v>3.0</v>
      </c>
      <c r="M11" s="3">
        <v>1.0</v>
      </c>
      <c r="N11" s="3">
        <v>5.0</v>
      </c>
    </row>
    <row r="12">
      <c r="A12" s="3" t="s">
        <v>2721</v>
      </c>
      <c r="B12" s="73">
        <v>45078.0</v>
      </c>
      <c r="C12" s="74">
        <v>45082.0</v>
      </c>
      <c r="D12" s="3">
        <v>76.0</v>
      </c>
      <c r="E12" s="3">
        <v>24.0</v>
      </c>
      <c r="F12" s="3">
        <f t="shared" si="1"/>
        <v>4</v>
      </c>
      <c r="G12" s="78" t="s">
        <v>2552</v>
      </c>
      <c r="H12" s="3" t="str">
        <f t="array" ref="H12">INDEX(driver_dataset!F:F,MATCH(G12,driver_dataset!A:A,0))</f>
        <v>Truck</v>
      </c>
    </row>
    <row r="13">
      <c r="A13" s="3" t="s">
        <v>2722</v>
      </c>
      <c r="B13" s="73">
        <v>45078.0</v>
      </c>
      <c r="C13" s="74">
        <v>45083.0</v>
      </c>
      <c r="D13" s="3">
        <v>5.0</v>
      </c>
      <c r="E13" s="3">
        <v>1.0</v>
      </c>
      <c r="F13" s="3">
        <f t="shared" si="1"/>
        <v>5</v>
      </c>
      <c r="G13" s="78" t="s">
        <v>2617</v>
      </c>
      <c r="H13" s="3" t="str">
        <f t="array" ref="H13">INDEX(driver_dataset!F:F,MATCH(G13,driver_dataset!A:A,0))</f>
        <v>Bike</v>
      </c>
      <c r="J13" s="72" t="s">
        <v>3768</v>
      </c>
      <c r="N13" s="72" t="s">
        <v>3769</v>
      </c>
    </row>
    <row r="14">
      <c r="A14" s="3" t="s">
        <v>2723</v>
      </c>
      <c r="B14" s="73">
        <v>45078.0</v>
      </c>
      <c r="C14" s="74">
        <v>45080.0</v>
      </c>
      <c r="D14" s="3">
        <v>21.0</v>
      </c>
      <c r="E14" s="3">
        <v>20.0</v>
      </c>
      <c r="F14" s="3">
        <f t="shared" si="1"/>
        <v>2</v>
      </c>
      <c r="G14" s="78" t="s">
        <v>2552</v>
      </c>
      <c r="H14" s="3" t="str">
        <f t="array" ref="H14">INDEX(driver_dataset!F:F,MATCH(G14,driver_dataset!A:A,0))</f>
        <v>Truck</v>
      </c>
      <c r="J14" s="3" t="s">
        <v>2705</v>
      </c>
      <c r="K14" s="3" t="s">
        <v>3763</v>
      </c>
      <c r="L14" s="3" t="s">
        <v>3764</v>
      </c>
      <c r="N14" s="3" t="s">
        <v>2706</v>
      </c>
      <c r="O14" s="3" t="s">
        <v>3763</v>
      </c>
      <c r="P14" s="3" t="s">
        <v>3764</v>
      </c>
    </row>
    <row r="15">
      <c r="A15" s="3" t="s">
        <v>2724</v>
      </c>
      <c r="B15" s="73">
        <v>45078.0</v>
      </c>
      <c r="C15" s="74">
        <v>45081.0</v>
      </c>
      <c r="D15" s="3">
        <v>1.0</v>
      </c>
      <c r="E15" s="3">
        <v>1.0</v>
      </c>
      <c r="F15" s="3">
        <f t="shared" si="1"/>
        <v>3</v>
      </c>
      <c r="G15" s="78" t="s">
        <v>2692</v>
      </c>
      <c r="H15" s="3" t="str">
        <f t="array" ref="H15">INDEX(driver_dataset!F:F,MATCH(G15,driver_dataset!A:A,0))</f>
        <v>Bike</v>
      </c>
      <c r="J15" s="3">
        <v>1.0</v>
      </c>
      <c r="K15" s="3">
        <v>3.0275229357798166</v>
      </c>
      <c r="L15" s="3">
        <v>3.0</v>
      </c>
      <c r="N15" s="3">
        <v>1.0</v>
      </c>
      <c r="O15" s="3">
        <v>2.9611650485436893</v>
      </c>
      <c r="P15" s="3">
        <v>3.0</v>
      </c>
    </row>
    <row r="16">
      <c r="A16" s="3" t="s">
        <v>2725</v>
      </c>
      <c r="B16" s="73">
        <v>45078.0</v>
      </c>
      <c r="C16" s="74">
        <v>45081.0</v>
      </c>
      <c r="D16" s="3">
        <v>61.0</v>
      </c>
      <c r="E16" s="3">
        <v>12.0</v>
      </c>
      <c r="F16" s="3">
        <f t="shared" si="1"/>
        <v>3</v>
      </c>
      <c r="G16" s="78" t="s">
        <v>2552</v>
      </c>
      <c r="H16" s="3" t="str">
        <f t="array" ref="H16">INDEX(driver_dataset!F:F,MATCH(G16,driver_dataset!A:A,0))</f>
        <v>Truck</v>
      </c>
      <c r="J16" s="3">
        <v>2.0</v>
      </c>
      <c r="K16" s="3">
        <v>2.7757009345794392</v>
      </c>
      <c r="L16" s="3">
        <v>3.0</v>
      </c>
      <c r="N16" s="3">
        <v>2.0</v>
      </c>
      <c r="O16" s="3">
        <v>2.8545454545454545</v>
      </c>
      <c r="P16" s="3">
        <v>3.0</v>
      </c>
    </row>
    <row r="17">
      <c r="A17" s="3" t="s">
        <v>2726</v>
      </c>
      <c r="B17" s="73">
        <v>45078.0</v>
      </c>
      <c r="C17" s="74">
        <v>45081.0</v>
      </c>
      <c r="D17" s="3">
        <v>6.0</v>
      </c>
      <c r="E17" s="3">
        <v>2.0</v>
      </c>
      <c r="F17" s="3">
        <f t="shared" si="1"/>
        <v>3</v>
      </c>
      <c r="G17" s="78" t="s">
        <v>2582</v>
      </c>
      <c r="H17" s="3" t="str">
        <f t="array" ref="H17">INDEX(driver_dataset!F:F,MATCH(G17,driver_dataset!A:A,0))</f>
        <v>Bike</v>
      </c>
      <c r="J17" s="3">
        <v>3.0</v>
      </c>
      <c r="K17" s="3">
        <v>2.942857142857143</v>
      </c>
      <c r="L17" s="3">
        <v>3.0</v>
      </c>
      <c r="N17" s="3">
        <v>3.0</v>
      </c>
      <c r="O17" s="3">
        <v>3.0416666666666665</v>
      </c>
      <c r="P17" s="3">
        <v>3.0</v>
      </c>
    </row>
    <row r="18">
      <c r="A18" s="3" t="s">
        <v>2727</v>
      </c>
      <c r="B18" s="73">
        <v>45078.0</v>
      </c>
      <c r="C18" s="74">
        <v>45080.0</v>
      </c>
      <c r="D18" s="3">
        <v>3.0</v>
      </c>
      <c r="E18" s="3">
        <v>2.0</v>
      </c>
      <c r="F18" s="3">
        <f t="shared" si="1"/>
        <v>2</v>
      </c>
      <c r="G18" s="78" t="s">
        <v>2612</v>
      </c>
      <c r="H18" s="3" t="str">
        <f t="array" ref="H18">INDEX(driver_dataset!F:F,MATCH(G18,driver_dataset!A:A,0))</f>
        <v>Bike</v>
      </c>
      <c r="J18" s="3">
        <v>4.0</v>
      </c>
      <c r="K18" s="3">
        <v>2.9473684210526314</v>
      </c>
      <c r="L18" s="3">
        <v>3.0</v>
      </c>
      <c r="N18" s="3">
        <v>4.0</v>
      </c>
      <c r="O18" s="3">
        <v>2.8</v>
      </c>
      <c r="P18" s="3">
        <v>3.0</v>
      </c>
    </row>
    <row r="19">
      <c r="A19" s="3" t="s">
        <v>2728</v>
      </c>
      <c r="B19" s="73">
        <v>45078.0</v>
      </c>
      <c r="C19" s="74">
        <v>45082.0</v>
      </c>
      <c r="D19" s="3">
        <v>33.0</v>
      </c>
      <c r="E19" s="3">
        <v>22.0</v>
      </c>
      <c r="F19" s="3">
        <f t="shared" si="1"/>
        <v>4</v>
      </c>
      <c r="G19" s="78" t="s">
        <v>2552</v>
      </c>
      <c r="H19" s="3" t="str">
        <f t="array" ref="H19">INDEX(driver_dataset!F:F,MATCH(G19,driver_dataset!A:A,0))</f>
        <v>Truck</v>
      </c>
      <c r="J19" s="3">
        <v>5.0</v>
      </c>
      <c r="K19" s="3">
        <v>3.1339285714285716</v>
      </c>
      <c r="L19" s="3">
        <v>3.0</v>
      </c>
      <c r="N19" s="3">
        <v>5.0</v>
      </c>
      <c r="O19" s="3">
        <v>2.825</v>
      </c>
      <c r="P19" s="3">
        <v>3.0</v>
      </c>
    </row>
    <row r="20">
      <c r="A20" s="3" t="s">
        <v>2729</v>
      </c>
      <c r="B20" s="73">
        <v>45078.0</v>
      </c>
      <c r="C20" s="74">
        <v>45081.0</v>
      </c>
      <c r="D20" s="3">
        <v>5.0</v>
      </c>
      <c r="E20" s="3">
        <v>1.0</v>
      </c>
      <c r="F20" s="3">
        <f t="shared" si="1"/>
        <v>3</v>
      </c>
      <c r="G20" s="78" t="s">
        <v>2496</v>
      </c>
      <c r="H20" s="3" t="str">
        <f t="array" ref="H20">INDEX(driver_dataset!F:F,MATCH(G20,driver_dataset!A:A,0))</f>
        <v>Bike</v>
      </c>
      <c r="J20" s="3">
        <v>6.0</v>
      </c>
      <c r="K20" s="3">
        <v>2.8771929824561404</v>
      </c>
      <c r="L20" s="3">
        <v>3.0</v>
      </c>
      <c r="N20" s="3">
        <v>6.0</v>
      </c>
      <c r="O20" s="3">
        <v>2.6744186046511627</v>
      </c>
      <c r="P20" s="3">
        <v>2.0</v>
      </c>
    </row>
    <row r="21">
      <c r="A21" s="3" t="s">
        <v>2730</v>
      </c>
      <c r="B21" s="73">
        <v>45078.0</v>
      </c>
      <c r="C21" s="74">
        <v>45081.0</v>
      </c>
      <c r="D21" s="3">
        <v>60.0</v>
      </c>
      <c r="E21" s="3">
        <v>18.0</v>
      </c>
      <c r="F21" s="3">
        <f t="shared" si="1"/>
        <v>3</v>
      </c>
      <c r="G21" s="78" t="s">
        <v>2552</v>
      </c>
      <c r="H21" s="3" t="str">
        <f t="array" ref="H21">INDEX(driver_dataset!F:F,MATCH(G21,driver_dataset!A:A,0))</f>
        <v>Truck</v>
      </c>
      <c r="J21" s="3">
        <v>7.0</v>
      </c>
      <c r="K21" s="3">
        <v>2.8947368421052633</v>
      </c>
      <c r="L21" s="3">
        <v>3.0</v>
      </c>
      <c r="N21" s="3">
        <v>7.0</v>
      </c>
      <c r="O21" s="3">
        <v>2.4651162790697674</v>
      </c>
      <c r="P21" s="3">
        <v>2.0</v>
      </c>
    </row>
    <row r="22">
      <c r="A22" s="3" t="s">
        <v>2731</v>
      </c>
      <c r="B22" s="73">
        <v>45078.0</v>
      </c>
      <c r="C22" s="74">
        <v>45079.0</v>
      </c>
      <c r="D22" s="3">
        <v>6.0</v>
      </c>
      <c r="E22" s="3">
        <v>2.0</v>
      </c>
      <c r="F22" s="3">
        <f t="shared" si="1"/>
        <v>1</v>
      </c>
      <c r="G22" s="78" t="s">
        <v>2582</v>
      </c>
      <c r="H22" s="3" t="str">
        <f t="array" ref="H22">INDEX(driver_dataset!F:F,MATCH(G22,driver_dataset!A:A,0))</f>
        <v>Bike</v>
      </c>
      <c r="J22" s="3">
        <v>8.0</v>
      </c>
      <c r="K22" s="3">
        <v>2.9</v>
      </c>
      <c r="L22" s="3">
        <v>3.0</v>
      </c>
      <c r="N22" s="3">
        <v>8.0</v>
      </c>
      <c r="O22" s="3">
        <v>2.8461538461538463</v>
      </c>
      <c r="P22" s="3">
        <v>3.0</v>
      </c>
    </row>
    <row r="23">
      <c r="A23" s="3" t="s">
        <v>2732</v>
      </c>
      <c r="B23" s="73">
        <v>45078.0</v>
      </c>
      <c r="C23" s="74">
        <v>45083.0</v>
      </c>
      <c r="D23" s="3">
        <v>11.0</v>
      </c>
      <c r="E23" s="3">
        <v>9.0</v>
      </c>
      <c r="F23" s="3">
        <f t="shared" si="1"/>
        <v>5</v>
      </c>
      <c r="G23" s="78" t="s">
        <v>2537</v>
      </c>
      <c r="H23" s="3" t="str">
        <f t="array" ref="H23">INDEX(driver_dataset!F:F,MATCH(G23,driver_dataset!A:A,0))</f>
        <v>Van</v>
      </c>
      <c r="J23" s="3">
        <v>9.0</v>
      </c>
      <c r="K23" s="3">
        <v>2.8421052631578947</v>
      </c>
      <c r="L23" s="3">
        <v>3.0</v>
      </c>
      <c r="N23" s="3">
        <v>9.0</v>
      </c>
      <c r="O23" s="3">
        <v>2.918918918918919</v>
      </c>
      <c r="P23" s="3">
        <v>3.0</v>
      </c>
    </row>
    <row r="24">
      <c r="A24" s="3" t="s">
        <v>2733</v>
      </c>
      <c r="B24" s="73">
        <v>45078.0</v>
      </c>
      <c r="C24" s="74">
        <v>45079.0</v>
      </c>
      <c r="D24" s="3">
        <v>6.0</v>
      </c>
      <c r="E24" s="3">
        <v>3.0</v>
      </c>
      <c r="F24" s="3">
        <f t="shared" si="1"/>
        <v>1</v>
      </c>
      <c r="G24" s="78" t="s">
        <v>2532</v>
      </c>
      <c r="H24" s="3" t="str">
        <f t="array" ref="H24">INDEX(driver_dataset!F:F,MATCH(G24,driver_dataset!A:A,0))</f>
        <v>Bike</v>
      </c>
      <c r="J24" s="3">
        <v>10.0</v>
      </c>
      <c r="K24" s="3">
        <v>2.4583333333333335</v>
      </c>
      <c r="L24" s="3">
        <v>2.0</v>
      </c>
      <c r="N24" s="3">
        <v>10.0</v>
      </c>
      <c r="O24" s="3">
        <v>2.744186046511628</v>
      </c>
      <c r="P24" s="3">
        <v>2.0</v>
      </c>
    </row>
    <row r="25">
      <c r="A25" s="3" t="s">
        <v>2734</v>
      </c>
      <c r="B25" s="73">
        <v>45078.0</v>
      </c>
      <c r="C25" s="74">
        <v>45081.0</v>
      </c>
      <c r="D25" s="3">
        <v>17.0</v>
      </c>
      <c r="E25" s="3">
        <v>8.0</v>
      </c>
      <c r="F25" s="3">
        <f t="shared" si="1"/>
        <v>3</v>
      </c>
      <c r="G25" s="78" t="s">
        <v>2667</v>
      </c>
      <c r="H25" s="3" t="str">
        <f t="array" ref="H25">INDEX(driver_dataset!F:F,MATCH(G25,driver_dataset!A:A,0))</f>
        <v>Van</v>
      </c>
      <c r="J25" s="3">
        <v>11.0</v>
      </c>
      <c r="K25" s="3">
        <v>2.7083333333333335</v>
      </c>
      <c r="L25" s="3">
        <v>2.0</v>
      </c>
      <c r="N25" s="3">
        <v>11.0</v>
      </c>
      <c r="O25" s="3">
        <v>2.75</v>
      </c>
      <c r="P25" s="3">
        <v>2.5</v>
      </c>
    </row>
    <row r="26">
      <c r="A26" s="3" t="s">
        <v>2735</v>
      </c>
      <c r="B26" s="73">
        <v>45078.0</v>
      </c>
      <c r="C26" s="74">
        <v>45083.0</v>
      </c>
      <c r="D26" s="3">
        <v>6.0</v>
      </c>
      <c r="E26" s="3">
        <v>1.0</v>
      </c>
      <c r="F26" s="3">
        <f t="shared" si="1"/>
        <v>5</v>
      </c>
      <c r="G26" s="78" t="s">
        <v>2506</v>
      </c>
      <c r="H26" s="3" t="str">
        <f t="array" ref="H26">INDEX(driver_dataset!F:F,MATCH(G26,driver_dataset!A:A,0))</f>
        <v>Bike</v>
      </c>
      <c r="J26" s="3">
        <v>12.0</v>
      </c>
      <c r="K26" s="3">
        <v>2.111111111111111</v>
      </c>
      <c r="L26" s="3">
        <v>2.0</v>
      </c>
      <c r="N26" s="3">
        <v>12.0</v>
      </c>
      <c r="O26" s="3">
        <v>2.8</v>
      </c>
      <c r="P26" s="3">
        <v>3.0</v>
      </c>
    </row>
    <row r="27">
      <c r="A27" s="3" t="s">
        <v>2736</v>
      </c>
      <c r="B27" s="73">
        <v>45078.0</v>
      </c>
      <c r="C27" s="74">
        <v>45081.0</v>
      </c>
      <c r="D27" s="3">
        <v>2.0</v>
      </c>
      <c r="E27" s="3">
        <v>2.0</v>
      </c>
      <c r="F27" s="3">
        <f t="shared" si="1"/>
        <v>3</v>
      </c>
      <c r="G27" s="78" t="s">
        <v>2592</v>
      </c>
      <c r="H27" s="3" t="str">
        <f t="array" ref="H27">INDEX(driver_dataset!F:F,MATCH(G27,driver_dataset!A:A,0))</f>
        <v>Bike</v>
      </c>
      <c r="J27" s="3">
        <v>13.0</v>
      </c>
      <c r="K27" s="3">
        <v>2.896551724137931</v>
      </c>
      <c r="L27" s="3">
        <v>3.0</v>
      </c>
      <c r="N27" s="3">
        <v>13.0</v>
      </c>
      <c r="O27" s="3">
        <v>1.0</v>
      </c>
      <c r="P27" s="3">
        <v>1.0</v>
      </c>
    </row>
    <row r="28">
      <c r="A28" s="3" t="s">
        <v>2737</v>
      </c>
      <c r="B28" s="73">
        <v>45078.0</v>
      </c>
      <c r="C28" s="74">
        <v>45080.0</v>
      </c>
      <c r="D28" s="3">
        <v>5.0</v>
      </c>
      <c r="E28" s="3">
        <v>2.0</v>
      </c>
      <c r="F28" s="3">
        <f t="shared" si="1"/>
        <v>2</v>
      </c>
      <c r="G28" s="78" t="s">
        <v>2617</v>
      </c>
      <c r="H28" s="3" t="str">
        <f t="array" ref="H28">INDEX(driver_dataset!F:F,MATCH(G28,driver_dataset!A:A,0))</f>
        <v>Bike</v>
      </c>
      <c r="J28" s="3">
        <v>14.0</v>
      </c>
      <c r="K28" s="3">
        <v>2.9473684210526314</v>
      </c>
      <c r="L28" s="3">
        <v>2.0</v>
      </c>
      <c r="N28" s="3">
        <v>14.0</v>
      </c>
      <c r="O28" s="3">
        <v>4.0</v>
      </c>
      <c r="P28" s="3">
        <v>4.0</v>
      </c>
    </row>
    <row r="29">
      <c r="A29" s="3" t="s">
        <v>2738</v>
      </c>
      <c r="B29" s="74">
        <v>45078.0</v>
      </c>
      <c r="C29" s="74">
        <v>45079.0</v>
      </c>
      <c r="D29" s="3">
        <v>13.0</v>
      </c>
      <c r="E29" s="3">
        <v>6.0</v>
      </c>
      <c r="F29" s="3">
        <f t="shared" si="1"/>
        <v>1</v>
      </c>
      <c r="G29" s="78" t="s">
        <v>2484</v>
      </c>
      <c r="H29" s="3" t="str">
        <f t="array" ref="H29">INDEX(driver_dataset!F:F,MATCH(G29,driver_dataset!A:A,0))</f>
        <v>Van</v>
      </c>
      <c r="J29" s="3">
        <v>15.0</v>
      </c>
      <c r="K29" s="3">
        <v>3.2083333333333335</v>
      </c>
      <c r="L29" s="3">
        <v>4.0</v>
      </c>
      <c r="N29" s="3">
        <v>15.0</v>
      </c>
      <c r="O29" s="3">
        <v>2.0</v>
      </c>
      <c r="P29" s="3">
        <v>2.0</v>
      </c>
    </row>
    <row r="30">
      <c r="A30" s="3" t="s">
        <v>2739</v>
      </c>
      <c r="B30" s="73">
        <v>45078.0</v>
      </c>
      <c r="C30" s="74">
        <v>45081.0</v>
      </c>
      <c r="D30" s="3">
        <v>4.0</v>
      </c>
      <c r="E30" s="3">
        <v>2.0</v>
      </c>
      <c r="F30" s="3">
        <f t="shared" si="1"/>
        <v>3</v>
      </c>
      <c r="G30" s="78" t="s">
        <v>2602</v>
      </c>
      <c r="H30" s="3" t="str">
        <f t="array" ref="H30">INDEX(driver_dataset!F:F,MATCH(G30,driver_dataset!A:A,0))</f>
        <v>Bike</v>
      </c>
      <c r="J30" s="3">
        <v>16.0</v>
      </c>
      <c r="K30" s="3">
        <v>2.888888888888889</v>
      </c>
      <c r="L30" s="3">
        <v>3.0</v>
      </c>
      <c r="N30" s="3">
        <v>16.0</v>
      </c>
      <c r="O30" s="3">
        <v>2.6</v>
      </c>
      <c r="P30" s="3">
        <v>3.0</v>
      </c>
    </row>
    <row r="31">
      <c r="A31" s="3" t="s">
        <v>2740</v>
      </c>
      <c r="B31" s="74">
        <v>45078.0</v>
      </c>
      <c r="C31" s="74">
        <v>45080.0</v>
      </c>
      <c r="D31" s="3">
        <v>1.0</v>
      </c>
      <c r="E31" s="3">
        <v>2.0</v>
      </c>
      <c r="F31" s="3">
        <f t="shared" si="1"/>
        <v>2</v>
      </c>
      <c r="G31" s="78" t="s">
        <v>2687</v>
      </c>
      <c r="H31" s="3" t="str">
        <f t="array" ref="H31">INDEX(driver_dataset!F:F,MATCH(G31,driver_dataset!A:A,0))</f>
        <v>Bike</v>
      </c>
      <c r="J31" s="3">
        <v>17.0</v>
      </c>
      <c r="K31" s="3">
        <v>2.3333333333333335</v>
      </c>
      <c r="L31" s="3">
        <v>2.0</v>
      </c>
      <c r="N31" s="3">
        <v>17.0</v>
      </c>
      <c r="O31" s="3">
        <v>2.8333333333333335</v>
      </c>
      <c r="P31" s="3">
        <v>3.0</v>
      </c>
    </row>
    <row r="32">
      <c r="A32" s="3" t="s">
        <v>2741</v>
      </c>
      <c r="B32" s="73">
        <v>45079.0</v>
      </c>
      <c r="C32" s="74">
        <v>45080.0</v>
      </c>
      <c r="D32" s="3">
        <v>2.0</v>
      </c>
      <c r="E32" s="3">
        <v>1.0</v>
      </c>
      <c r="F32" s="3">
        <f t="shared" si="1"/>
        <v>1</v>
      </c>
      <c r="G32" s="78" t="s">
        <v>2692</v>
      </c>
      <c r="H32" s="3" t="str">
        <f t="array" ref="H32">INDEX(driver_dataset!F:F,MATCH(G32,driver_dataset!A:A,0))</f>
        <v>Bike</v>
      </c>
      <c r="J32" s="3">
        <v>18.0</v>
      </c>
      <c r="K32" s="3">
        <v>2.823529411764706</v>
      </c>
      <c r="L32" s="3">
        <v>3.0</v>
      </c>
      <c r="N32" s="3">
        <v>18.0</v>
      </c>
      <c r="O32" s="3">
        <v>3.0</v>
      </c>
      <c r="P32" s="3">
        <v>3.0</v>
      </c>
    </row>
    <row r="33">
      <c r="A33" s="3" t="s">
        <v>2742</v>
      </c>
      <c r="B33" s="73">
        <v>45079.0</v>
      </c>
      <c r="C33" s="74">
        <v>45082.0</v>
      </c>
      <c r="D33" s="3">
        <v>8.0</v>
      </c>
      <c r="E33" s="3">
        <v>7.0</v>
      </c>
      <c r="F33" s="3">
        <f t="shared" si="1"/>
        <v>3</v>
      </c>
      <c r="G33" s="78" t="s">
        <v>2672</v>
      </c>
      <c r="H33" s="3" t="str">
        <f t="array" ref="H33">INDEX(driver_dataset!F:F,MATCH(G33,driver_dataset!A:A,0))</f>
        <v>Van</v>
      </c>
      <c r="J33" s="3">
        <v>19.0</v>
      </c>
      <c r="K33" s="3">
        <v>2.7142857142857144</v>
      </c>
      <c r="L33" s="3">
        <v>3.0</v>
      </c>
      <c r="N33" s="3">
        <v>19.0</v>
      </c>
      <c r="O33" s="3">
        <v>1.0</v>
      </c>
      <c r="P33" s="3">
        <v>1.0</v>
      </c>
    </row>
    <row r="34">
      <c r="A34" s="3" t="s">
        <v>2743</v>
      </c>
      <c r="B34" s="73">
        <v>45079.0</v>
      </c>
      <c r="C34" s="74">
        <v>45084.0</v>
      </c>
      <c r="D34" s="3">
        <v>6.0</v>
      </c>
      <c r="E34" s="3">
        <v>3.0</v>
      </c>
      <c r="F34" s="3">
        <f t="shared" si="1"/>
        <v>5</v>
      </c>
      <c r="G34" s="78" t="s">
        <v>2612</v>
      </c>
      <c r="H34" s="3" t="str">
        <f t="array" ref="H34">INDEX(driver_dataset!F:F,MATCH(G34,driver_dataset!A:A,0))</f>
        <v>Bike</v>
      </c>
      <c r="J34" s="3">
        <v>20.0</v>
      </c>
      <c r="K34" s="3">
        <v>2.6818181818181817</v>
      </c>
      <c r="L34" s="3">
        <v>2.5</v>
      </c>
      <c r="N34" s="3">
        <v>20.0</v>
      </c>
      <c r="O34" s="3">
        <v>2.8333333333333335</v>
      </c>
      <c r="P34" s="3">
        <v>2.5</v>
      </c>
    </row>
    <row r="35">
      <c r="A35" s="3" t="s">
        <v>2744</v>
      </c>
      <c r="B35" s="73">
        <v>45079.0</v>
      </c>
      <c r="C35" s="74">
        <v>45084.0</v>
      </c>
      <c r="D35" s="3">
        <v>4.0</v>
      </c>
      <c r="E35" s="3">
        <v>2.0</v>
      </c>
      <c r="F35" s="3">
        <f t="shared" si="1"/>
        <v>5</v>
      </c>
      <c r="G35" s="78" t="s">
        <v>2647</v>
      </c>
      <c r="H35" s="3" t="str">
        <f t="array" ref="H35">INDEX(driver_dataset!F:F,MATCH(G35,driver_dataset!A:A,0))</f>
        <v>Bike</v>
      </c>
      <c r="J35" s="3">
        <v>21.0</v>
      </c>
      <c r="K35" s="3">
        <v>2.0</v>
      </c>
      <c r="L35" s="3">
        <v>2.0</v>
      </c>
      <c r="N35" s="3">
        <v>21.0</v>
      </c>
      <c r="O35" s="3">
        <v>1.0</v>
      </c>
      <c r="P35" s="3">
        <v>1.0</v>
      </c>
    </row>
    <row r="36">
      <c r="A36" s="3" t="s">
        <v>2745</v>
      </c>
      <c r="B36" s="73">
        <v>45079.0</v>
      </c>
      <c r="C36" s="74">
        <v>45080.0</v>
      </c>
      <c r="D36" s="3">
        <v>5.0</v>
      </c>
      <c r="E36" s="3">
        <v>3.0</v>
      </c>
      <c r="F36" s="3">
        <f t="shared" si="1"/>
        <v>1</v>
      </c>
      <c r="G36" s="78" t="s">
        <v>2547</v>
      </c>
      <c r="H36" s="3" t="str">
        <f t="array" ref="H36">INDEX(driver_dataset!F:F,MATCH(G36,driver_dataset!A:A,0))</f>
        <v>Bike</v>
      </c>
      <c r="J36" s="3">
        <v>22.0</v>
      </c>
      <c r="K36" s="3">
        <v>3.0</v>
      </c>
      <c r="L36" s="3">
        <v>3.0</v>
      </c>
      <c r="N36" s="3">
        <v>22.0</v>
      </c>
      <c r="O36" s="3">
        <v>3.5</v>
      </c>
      <c r="P36" s="3">
        <v>3.5</v>
      </c>
    </row>
    <row r="37">
      <c r="A37" s="3" t="s">
        <v>2746</v>
      </c>
      <c r="B37" s="74">
        <v>45079.0</v>
      </c>
      <c r="C37" s="74">
        <v>45081.0</v>
      </c>
      <c r="D37" s="3">
        <v>14.0</v>
      </c>
      <c r="E37" s="3">
        <v>10.0</v>
      </c>
      <c r="F37" s="3">
        <f t="shared" si="1"/>
        <v>2</v>
      </c>
      <c r="G37" s="78" t="s">
        <v>2637</v>
      </c>
      <c r="H37" s="3" t="str">
        <f t="array" ref="H37">INDEX(driver_dataset!F:F,MATCH(G37,driver_dataset!A:A,0))</f>
        <v>Van</v>
      </c>
      <c r="J37" s="3">
        <v>24.0</v>
      </c>
      <c r="K37" s="3">
        <v>4.0</v>
      </c>
      <c r="L37" s="3">
        <v>4.0</v>
      </c>
      <c r="N37" s="3">
        <v>24.0</v>
      </c>
      <c r="O37" s="3">
        <v>2.4</v>
      </c>
      <c r="P37" s="3">
        <v>2.0</v>
      </c>
    </row>
    <row r="38">
      <c r="A38" s="3" t="s">
        <v>2748</v>
      </c>
      <c r="B38" s="73">
        <v>45079.0</v>
      </c>
      <c r="C38" s="74">
        <v>45084.0</v>
      </c>
      <c r="D38" s="3">
        <v>14.0</v>
      </c>
      <c r="E38" s="3">
        <v>4.0</v>
      </c>
      <c r="F38" s="3">
        <f t="shared" si="1"/>
        <v>5</v>
      </c>
      <c r="G38" s="78" t="s">
        <v>2607</v>
      </c>
      <c r="H38" s="3" t="str">
        <f t="array" ref="H38">INDEX(driver_dataset!F:F,MATCH(G38,driver_dataset!A:A,0))</f>
        <v>Van</v>
      </c>
      <c r="J38" s="3">
        <v>25.0</v>
      </c>
      <c r="K38" s="3">
        <v>3.0</v>
      </c>
      <c r="L38" s="3">
        <v>3.0</v>
      </c>
      <c r="N38" s="3">
        <v>26.0</v>
      </c>
      <c r="O38" s="3">
        <v>2.0</v>
      </c>
      <c r="P38" s="3">
        <v>2.0</v>
      </c>
    </row>
    <row r="39">
      <c r="A39" s="3" t="s">
        <v>2749</v>
      </c>
      <c r="B39" s="73">
        <v>45079.0</v>
      </c>
      <c r="C39" s="74">
        <v>45084.0</v>
      </c>
      <c r="D39" s="3">
        <v>9.0</v>
      </c>
      <c r="E39" s="3">
        <v>5.0</v>
      </c>
      <c r="F39" s="3">
        <f t="shared" si="1"/>
        <v>5</v>
      </c>
      <c r="G39" s="78" t="s">
        <v>2667</v>
      </c>
      <c r="H39" s="3" t="str">
        <f t="array" ref="H39">INDEX(driver_dataset!F:F,MATCH(G39,driver_dataset!A:A,0))</f>
        <v>Van</v>
      </c>
      <c r="J39" s="3">
        <v>27.0</v>
      </c>
      <c r="K39" s="3">
        <v>1.0</v>
      </c>
      <c r="L39" s="3">
        <v>1.0</v>
      </c>
      <c r="N39" s="3">
        <v>27.0</v>
      </c>
      <c r="O39" s="3">
        <v>3.5</v>
      </c>
      <c r="P39" s="3">
        <v>3.5</v>
      </c>
    </row>
    <row r="40">
      <c r="A40" s="3" t="s">
        <v>2750</v>
      </c>
      <c r="B40" s="73">
        <v>45079.0</v>
      </c>
      <c r="C40" s="74">
        <v>45082.0</v>
      </c>
      <c r="D40" s="3">
        <v>10.0</v>
      </c>
      <c r="E40" s="3">
        <v>6.0</v>
      </c>
      <c r="F40" s="3">
        <f t="shared" si="1"/>
        <v>3</v>
      </c>
      <c r="G40" s="78" t="s">
        <v>2537</v>
      </c>
      <c r="H40" s="3" t="str">
        <f t="array" ref="H40">INDEX(driver_dataset!F:F,MATCH(G40,driver_dataset!A:A,0))</f>
        <v>Van</v>
      </c>
      <c r="J40" s="3">
        <v>28.0</v>
      </c>
      <c r="K40" s="3">
        <v>2.0</v>
      </c>
      <c r="L40" s="3">
        <v>2.0</v>
      </c>
    </row>
    <row r="41">
      <c r="A41" s="3" t="s">
        <v>2751</v>
      </c>
      <c r="B41" s="73">
        <v>45079.0</v>
      </c>
      <c r="C41" s="74">
        <v>45080.0</v>
      </c>
      <c r="D41" s="3">
        <v>56.0</v>
      </c>
      <c r="E41" s="3">
        <v>12.0</v>
      </c>
      <c r="F41" s="3">
        <f t="shared" si="1"/>
        <v>1</v>
      </c>
      <c r="G41" s="78" t="s">
        <v>2657</v>
      </c>
      <c r="H41" s="3" t="str">
        <f t="array" ref="H41">INDEX(driver_dataset!F:F,MATCH(G41,driver_dataset!A:A,0))</f>
        <v>Truck</v>
      </c>
      <c r="J41" s="3">
        <v>29.0</v>
      </c>
      <c r="K41" s="3">
        <v>1.0</v>
      </c>
      <c r="L41" s="3">
        <v>1.0</v>
      </c>
      <c r="N41" s="80" t="s">
        <v>3770</v>
      </c>
    </row>
    <row r="42">
      <c r="A42" s="3" t="s">
        <v>2752</v>
      </c>
      <c r="B42" s="73">
        <v>45079.0</v>
      </c>
      <c r="C42" s="74">
        <v>45081.0</v>
      </c>
      <c r="D42" s="3">
        <v>6.0</v>
      </c>
      <c r="E42" s="3">
        <v>1.0</v>
      </c>
      <c r="F42" s="3">
        <f t="shared" si="1"/>
        <v>2</v>
      </c>
      <c r="G42" s="78" t="s">
        <v>2687</v>
      </c>
      <c r="H42" s="3" t="str">
        <f t="array" ref="H42">INDEX(driver_dataset!F:F,MATCH(G42,driver_dataset!A:A,0))</f>
        <v>Bike</v>
      </c>
      <c r="J42" s="3">
        <v>33.0</v>
      </c>
      <c r="K42" s="3">
        <v>4.0</v>
      </c>
      <c r="L42" s="3">
        <v>4.0</v>
      </c>
    </row>
    <row r="43">
      <c r="A43" s="3" t="s">
        <v>2753</v>
      </c>
      <c r="B43" s="73">
        <v>45079.0</v>
      </c>
      <c r="C43" s="74">
        <v>45080.0</v>
      </c>
      <c r="D43" s="3">
        <v>5.0</v>
      </c>
      <c r="E43" s="3">
        <v>3.0</v>
      </c>
      <c r="F43" s="3">
        <f t="shared" si="1"/>
        <v>1</v>
      </c>
      <c r="G43" s="78" t="s">
        <v>2572</v>
      </c>
      <c r="H43" s="3" t="str">
        <f t="array" ref="H43">INDEX(driver_dataset!F:F,MATCH(G43,driver_dataset!A:A,0))</f>
        <v>Bike</v>
      </c>
      <c r="J43" s="3">
        <v>34.0</v>
      </c>
      <c r="K43" s="3">
        <v>2.5</v>
      </c>
      <c r="L43" s="3">
        <v>2.5</v>
      </c>
    </row>
    <row r="44">
      <c r="A44" s="3" t="s">
        <v>2754</v>
      </c>
      <c r="B44" s="73">
        <v>45079.0</v>
      </c>
      <c r="C44" s="74">
        <v>45082.0</v>
      </c>
      <c r="D44" s="3">
        <v>3.0</v>
      </c>
      <c r="E44" s="3">
        <v>1.0</v>
      </c>
      <c r="F44" s="3">
        <f t="shared" si="1"/>
        <v>3</v>
      </c>
      <c r="G44" s="78" t="s">
        <v>2557</v>
      </c>
      <c r="H44" s="3" t="str">
        <f t="array" ref="H44">INDEX(driver_dataset!F:F,MATCH(G44,driver_dataset!A:A,0))</f>
        <v>Bike</v>
      </c>
      <c r="J44" s="3">
        <v>35.0</v>
      </c>
      <c r="K44" s="3">
        <v>5.0</v>
      </c>
      <c r="L44" s="3">
        <v>5.0</v>
      </c>
    </row>
    <row r="45">
      <c r="A45" s="3" t="s">
        <v>2755</v>
      </c>
      <c r="B45" s="73">
        <v>45079.0</v>
      </c>
      <c r="C45" s="74">
        <v>45082.0</v>
      </c>
      <c r="D45" s="3">
        <v>9.0</v>
      </c>
      <c r="E45" s="3">
        <v>5.0</v>
      </c>
      <c r="F45" s="3">
        <f t="shared" si="1"/>
        <v>3</v>
      </c>
      <c r="G45" s="78" t="s">
        <v>2672</v>
      </c>
      <c r="H45" s="3" t="str">
        <f t="array" ref="H45">INDEX(driver_dataset!F:F,MATCH(G45,driver_dataset!A:A,0))</f>
        <v>Van</v>
      </c>
      <c r="J45" s="3">
        <v>36.0</v>
      </c>
      <c r="K45" s="3">
        <v>4.0</v>
      </c>
      <c r="L45" s="3">
        <v>4.0</v>
      </c>
    </row>
    <row r="46">
      <c r="A46" s="3" t="s">
        <v>2756</v>
      </c>
      <c r="B46" s="73">
        <v>45079.0</v>
      </c>
      <c r="C46" s="74">
        <v>45082.0</v>
      </c>
      <c r="D46" s="3">
        <v>19.0</v>
      </c>
      <c r="E46" s="3">
        <v>5.0</v>
      </c>
      <c r="F46" s="3">
        <f t="shared" si="1"/>
        <v>3</v>
      </c>
      <c r="G46" s="78" t="s">
        <v>2607</v>
      </c>
      <c r="H46" s="3" t="str">
        <f t="array" ref="H46">INDEX(driver_dataset!F:F,MATCH(G46,driver_dataset!A:A,0))</f>
        <v>Van</v>
      </c>
      <c r="J46" s="3">
        <v>38.0</v>
      </c>
      <c r="K46" s="3">
        <v>5.0</v>
      </c>
      <c r="L46" s="3">
        <v>5.0</v>
      </c>
    </row>
    <row r="47">
      <c r="A47" s="3" t="s">
        <v>2757</v>
      </c>
      <c r="B47" s="73">
        <v>45079.0</v>
      </c>
      <c r="C47" s="74">
        <v>45080.0</v>
      </c>
      <c r="D47" s="3">
        <v>11.0</v>
      </c>
      <c r="E47" s="3">
        <v>6.0</v>
      </c>
      <c r="F47" s="3">
        <f t="shared" si="1"/>
        <v>1</v>
      </c>
      <c r="G47" s="78" t="s">
        <v>2662</v>
      </c>
      <c r="H47" s="3" t="str">
        <f t="array" ref="H47">INDEX(driver_dataset!F:F,MATCH(G47,driver_dataset!A:A,0))</f>
        <v>Van</v>
      </c>
      <c r="J47" s="3">
        <v>39.0</v>
      </c>
      <c r="K47" s="3">
        <v>1.0</v>
      </c>
      <c r="L47" s="3">
        <v>1.0</v>
      </c>
    </row>
    <row r="48">
      <c r="A48" s="3" t="s">
        <v>2758</v>
      </c>
      <c r="B48" s="73">
        <v>45079.0</v>
      </c>
      <c r="C48" s="74">
        <v>45082.0</v>
      </c>
      <c r="D48" s="3">
        <v>1.0</v>
      </c>
      <c r="E48" s="3">
        <v>1.0</v>
      </c>
      <c r="F48" s="3">
        <f t="shared" si="1"/>
        <v>3</v>
      </c>
      <c r="G48" s="78" t="s">
        <v>2506</v>
      </c>
      <c r="H48" s="3" t="str">
        <f t="array" ref="H48">INDEX(driver_dataset!F:F,MATCH(G48,driver_dataset!A:A,0))</f>
        <v>Bike</v>
      </c>
      <c r="J48" s="3">
        <v>41.0</v>
      </c>
      <c r="K48" s="3">
        <v>1.0</v>
      </c>
      <c r="L48" s="3">
        <v>1.0</v>
      </c>
    </row>
    <row r="49">
      <c r="A49" s="3" t="s">
        <v>2759</v>
      </c>
      <c r="B49" s="73">
        <v>45079.0</v>
      </c>
      <c r="C49" s="74">
        <v>45083.0</v>
      </c>
      <c r="D49" s="3">
        <v>4.0</v>
      </c>
      <c r="E49" s="3">
        <v>1.0</v>
      </c>
      <c r="F49" s="3">
        <f t="shared" si="1"/>
        <v>4</v>
      </c>
      <c r="G49" s="78" t="s">
        <v>2652</v>
      </c>
      <c r="H49" s="3" t="str">
        <f t="array" ref="H49">INDEX(driver_dataset!F:F,MATCH(G49,driver_dataset!A:A,0))</f>
        <v>Bike</v>
      </c>
      <c r="J49" s="3">
        <v>43.0</v>
      </c>
      <c r="K49" s="3">
        <v>3.25</v>
      </c>
      <c r="L49" s="3">
        <v>3.5</v>
      </c>
    </row>
    <row r="50">
      <c r="A50" s="3" t="s">
        <v>2760</v>
      </c>
      <c r="B50" s="73">
        <v>45079.0</v>
      </c>
      <c r="C50" s="74">
        <v>45084.0</v>
      </c>
      <c r="D50" s="3">
        <v>11.0</v>
      </c>
      <c r="E50" s="3">
        <v>5.0</v>
      </c>
      <c r="F50" s="3">
        <f t="shared" si="1"/>
        <v>5</v>
      </c>
      <c r="G50" s="78" t="s">
        <v>2662</v>
      </c>
      <c r="H50" s="3" t="str">
        <f t="array" ref="H50">INDEX(driver_dataset!F:F,MATCH(G50,driver_dataset!A:A,0))</f>
        <v>Van</v>
      </c>
      <c r="J50" s="3">
        <v>48.0</v>
      </c>
      <c r="K50" s="3">
        <v>1.0</v>
      </c>
      <c r="L50" s="3">
        <v>1.0</v>
      </c>
    </row>
    <row r="51">
      <c r="A51" s="3" t="s">
        <v>2761</v>
      </c>
      <c r="B51" s="73">
        <v>45079.0</v>
      </c>
      <c r="C51" s="74">
        <v>45080.0</v>
      </c>
      <c r="D51" s="3">
        <v>5.0</v>
      </c>
      <c r="E51" s="3">
        <v>3.0</v>
      </c>
      <c r="F51" s="3">
        <f t="shared" si="1"/>
        <v>1</v>
      </c>
      <c r="G51" s="78" t="s">
        <v>2692</v>
      </c>
      <c r="H51" s="3" t="str">
        <f t="array" ref="H51">INDEX(driver_dataset!F:F,MATCH(G51,driver_dataset!A:A,0))</f>
        <v>Bike</v>
      </c>
      <c r="J51" s="3">
        <v>49.0</v>
      </c>
      <c r="K51" s="3">
        <v>2.0</v>
      </c>
      <c r="L51" s="3">
        <v>2.0</v>
      </c>
    </row>
    <row r="52">
      <c r="A52" s="3" t="s">
        <v>2762</v>
      </c>
      <c r="B52" s="73">
        <v>45079.0</v>
      </c>
      <c r="C52" s="74">
        <v>45083.0</v>
      </c>
      <c r="D52" s="3">
        <v>5.0</v>
      </c>
      <c r="E52" s="3">
        <v>3.0</v>
      </c>
      <c r="F52" s="3">
        <f t="shared" si="1"/>
        <v>4</v>
      </c>
      <c r="G52" s="78" t="s">
        <v>2677</v>
      </c>
      <c r="H52" s="3" t="str">
        <f t="array" ref="H52">INDEX(driver_dataset!F:F,MATCH(G52,driver_dataset!A:A,0))</f>
        <v>Bike</v>
      </c>
      <c r="J52" s="3">
        <v>54.0</v>
      </c>
      <c r="K52" s="3">
        <v>3.0</v>
      </c>
      <c r="L52" s="3">
        <v>3.0</v>
      </c>
    </row>
    <row r="53">
      <c r="A53" s="3" t="s">
        <v>2763</v>
      </c>
      <c r="B53" s="73">
        <v>45079.0</v>
      </c>
      <c r="C53" s="74">
        <v>45082.0</v>
      </c>
      <c r="D53" s="3">
        <v>1.0</v>
      </c>
      <c r="E53" s="3">
        <v>1.0</v>
      </c>
      <c r="F53" s="3">
        <f t="shared" si="1"/>
        <v>3</v>
      </c>
      <c r="G53" s="78" t="s">
        <v>2516</v>
      </c>
      <c r="H53" s="3" t="str">
        <f t="array" ref="H53">INDEX(driver_dataset!F:F,MATCH(G53,driver_dataset!A:A,0))</f>
        <v>Bike</v>
      </c>
      <c r="J53" s="3">
        <v>56.0</v>
      </c>
      <c r="K53" s="3">
        <v>1.0</v>
      </c>
      <c r="L53" s="3">
        <v>1.0</v>
      </c>
    </row>
    <row r="54">
      <c r="A54" s="3" t="s">
        <v>2764</v>
      </c>
      <c r="B54" s="73">
        <v>45079.0</v>
      </c>
      <c r="C54" s="74">
        <v>45083.0</v>
      </c>
      <c r="D54" s="3">
        <v>15.0</v>
      </c>
      <c r="E54" s="3">
        <v>5.0</v>
      </c>
      <c r="F54" s="3">
        <f t="shared" si="1"/>
        <v>4</v>
      </c>
      <c r="G54" s="78" t="s">
        <v>2662</v>
      </c>
      <c r="H54" s="3" t="str">
        <f t="array" ref="H54">INDEX(driver_dataset!F:F,MATCH(G54,driver_dataset!A:A,0))</f>
        <v>Van</v>
      </c>
      <c r="J54" s="3">
        <v>58.0</v>
      </c>
      <c r="K54" s="3">
        <v>3.0</v>
      </c>
      <c r="L54" s="3">
        <v>3.0</v>
      </c>
    </row>
    <row r="55">
      <c r="A55" s="3" t="s">
        <v>2765</v>
      </c>
      <c r="B55" s="73">
        <v>45079.0</v>
      </c>
      <c r="C55" s="74">
        <v>45084.0</v>
      </c>
      <c r="D55" s="3">
        <v>1.0</v>
      </c>
      <c r="E55" s="3">
        <v>3.0</v>
      </c>
      <c r="F55" s="3">
        <f t="shared" si="1"/>
        <v>5</v>
      </c>
      <c r="G55" s="78" t="s">
        <v>2642</v>
      </c>
      <c r="H55" s="3" t="str">
        <f t="array" ref="H55">INDEX(driver_dataset!F:F,MATCH(G55,driver_dataset!A:A,0))</f>
        <v>Bike</v>
      </c>
      <c r="J55" s="3">
        <v>59.0</v>
      </c>
      <c r="K55" s="3">
        <v>4.0</v>
      </c>
      <c r="L55" s="3">
        <v>4.0</v>
      </c>
    </row>
    <row r="56">
      <c r="A56" s="3" t="s">
        <v>2766</v>
      </c>
      <c r="B56" s="73">
        <v>45079.0</v>
      </c>
      <c r="C56" s="74">
        <v>45081.0</v>
      </c>
      <c r="D56" s="3">
        <v>49.0</v>
      </c>
      <c r="E56" s="3">
        <v>15.0</v>
      </c>
      <c r="F56" s="3">
        <f t="shared" si="1"/>
        <v>2</v>
      </c>
      <c r="G56" s="78" t="s">
        <v>2657</v>
      </c>
      <c r="H56" s="3" t="str">
        <f t="array" ref="H56">INDEX(driver_dataset!F:F,MATCH(G56,driver_dataset!A:A,0))</f>
        <v>Truck</v>
      </c>
      <c r="J56" s="3">
        <v>60.0</v>
      </c>
      <c r="K56" s="3">
        <v>2.25</v>
      </c>
      <c r="L56" s="3">
        <v>2.0</v>
      </c>
    </row>
    <row r="57">
      <c r="A57" s="3" t="s">
        <v>2767</v>
      </c>
      <c r="B57" s="73">
        <v>45079.0</v>
      </c>
      <c r="C57" s="74">
        <v>45081.0</v>
      </c>
      <c r="D57" s="3">
        <v>4.0</v>
      </c>
      <c r="E57" s="3">
        <v>2.0</v>
      </c>
      <c r="F57" s="3">
        <f t="shared" si="1"/>
        <v>2</v>
      </c>
      <c r="G57" s="78" t="s">
        <v>2622</v>
      </c>
      <c r="H57" s="3" t="str">
        <f t="array" ref="H57">INDEX(driver_dataset!F:F,MATCH(G57,driver_dataset!A:A,0))</f>
        <v>Bike</v>
      </c>
      <c r="J57" s="3">
        <v>61.0</v>
      </c>
      <c r="K57" s="3">
        <v>2.0</v>
      </c>
      <c r="L57" s="3">
        <v>2.0</v>
      </c>
    </row>
    <row r="58">
      <c r="A58" s="3" t="s">
        <v>2768</v>
      </c>
      <c r="B58" s="73">
        <v>45079.0</v>
      </c>
      <c r="C58" s="74">
        <v>45082.0</v>
      </c>
      <c r="D58" s="3">
        <v>65.0</v>
      </c>
      <c r="E58" s="3">
        <v>24.0</v>
      </c>
      <c r="F58" s="3">
        <f t="shared" si="1"/>
        <v>3</v>
      </c>
      <c r="G58" s="78" t="s">
        <v>2657</v>
      </c>
      <c r="H58" s="3" t="str">
        <f t="array" ref="H58">INDEX(driver_dataset!F:F,MATCH(G58,driver_dataset!A:A,0))</f>
        <v>Truck</v>
      </c>
      <c r="J58" s="3">
        <v>63.0</v>
      </c>
      <c r="K58" s="3">
        <v>1.0</v>
      </c>
      <c r="L58" s="3">
        <v>1.0</v>
      </c>
    </row>
    <row r="59">
      <c r="A59" s="3" t="s">
        <v>2769</v>
      </c>
      <c r="B59" s="73">
        <v>45079.0</v>
      </c>
      <c r="C59" s="74">
        <v>45083.0</v>
      </c>
      <c r="D59" s="3">
        <v>5.0</v>
      </c>
      <c r="E59" s="3">
        <v>2.0</v>
      </c>
      <c r="F59" s="3">
        <f t="shared" si="1"/>
        <v>4</v>
      </c>
      <c r="G59" s="78" t="s">
        <v>2516</v>
      </c>
      <c r="H59" s="3" t="str">
        <f t="array" ref="H59">INDEX(driver_dataset!F:F,MATCH(G59,driver_dataset!A:A,0))</f>
        <v>Bike</v>
      </c>
      <c r="J59" s="3">
        <v>64.0</v>
      </c>
      <c r="K59" s="3">
        <v>1.0</v>
      </c>
      <c r="L59" s="3">
        <v>1.0</v>
      </c>
    </row>
    <row r="60">
      <c r="A60" s="3" t="s">
        <v>2770</v>
      </c>
      <c r="B60" s="73">
        <v>45079.0</v>
      </c>
      <c r="C60" s="74">
        <v>45084.0</v>
      </c>
      <c r="D60" s="3">
        <v>38.0</v>
      </c>
      <c r="E60" s="3">
        <v>17.0</v>
      </c>
      <c r="F60" s="3">
        <f t="shared" si="1"/>
        <v>5</v>
      </c>
      <c r="G60" s="78" t="s">
        <v>2657</v>
      </c>
      <c r="H60" s="3" t="str">
        <f t="array" ref="H60">INDEX(driver_dataset!F:F,MATCH(G60,driver_dataset!A:A,0))</f>
        <v>Truck</v>
      </c>
      <c r="J60" s="3">
        <v>65.0</v>
      </c>
      <c r="K60" s="3">
        <v>3.0</v>
      </c>
      <c r="L60" s="3">
        <v>3.0</v>
      </c>
    </row>
    <row r="61">
      <c r="A61" s="3" t="s">
        <v>2771</v>
      </c>
      <c r="B61" s="73">
        <v>45079.0</v>
      </c>
      <c r="C61" s="74">
        <v>45082.0</v>
      </c>
      <c r="D61" s="3">
        <v>5.0</v>
      </c>
      <c r="E61" s="3">
        <v>1.0</v>
      </c>
      <c r="F61" s="3">
        <f t="shared" si="1"/>
        <v>3</v>
      </c>
      <c r="G61" s="78" t="s">
        <v>2647</v>
      </c>
      <c r="H61" s="3" t="str">
        <f t="array" ref="H61">INDEX(driver_dataset!F:F,MATCH(G61,driver_dataset!A:A,0))</f>
        <v>Bike</v>
      </c>
      <c r="J61" s="3">
        <v>70.0</v>
      </c>
      <c r="K61" s="3">
        <v>5.0</v>
      </c>
      <c r="L61" s="3">
        <v>5.0</v>
      </c>
    </row>
    <row r="62">
      <c r="A62" s="3" t="s">
        <v>2772</v>
      </c>
      <c r="B62" s="73">
        <v>45079.0</v>
      </c>
      <c r="C62" s="74">
        <v>45080.0</v>
      </c>
      <c r="D62" s="3">
        <v>39.0</v>
      </c>
      <c r="E62" s="3">
        <v>17.0</v>
      </c>
      <c r="F62" s="3">
        <f t="shared" si="1"/>
        <v>1</v>
      </c>
      <c r="G62" s="78" t="s">
        <v>2657</v>
      </c>
      <c r="H62" s="3" t="str">
        <f t="array" ref="H62">INDEX(driver_dataset!F:F,MATCH(G62,driver_dataset!A:A,0))</f>
        <v>Truck</v>
      </c>
      <c r="J62" s="3">
        <v>72.0</v>
      </c>
      <c r="K62" s="3">
        <v>4.5</v>
      </c>
      <c r="L62" s="3">
        <v>4.5</v>
      </c>
    </row>
    <row r="63">
      <c r="A63" s="3" t="s">
        <v>2773</v>
      </c>
      <c r="B63" s="73">
        <v>45079.0</v>
      </c>
      <c r="C63" s="74">
        <v>45082.0</v>
      </c>
      <c r="D63" s="3">
        <v>1.0</v>
      </c>
      <c r="E63" s="3">
        <v>2.0</v>
      </c>
      <c r="F63" s="3">
        <f t="shared" si="1"/>
        <v>3</v>
      </c>
      <c r="G63" s="78" t="s">
        <v>2582</v>
      </c>
      <c r="H63" s="3" t="str">
        <f t="array" ref="H63">INDEX(driver_dataset!F:F,MATCH(G63,driver_dataset!A:A,0))</f>
        <v>Bike</v>
      </c>
      <c r="J63" s="3">
        <v>73.0</v>
      </c>
      <c r="K63" s="3">
        <v>2.0</v>
      </c>
      <c r="L63" s="3">
        <v>2.0</v>
      </c>
    </row>
    <row r="64">
      <c r="A64" s="3" t="s">
        <v>2774</v>
      </c>
      <c r="B64" s="73">
        <v>45079.0</v>
      </c>
      <c r="C64" s="74">
        <v>45084.0</v>
      </c>
      <c r="D64" s="3">
        <v>3.0</v>
      </c>
      <c r="E64" s="3">
        <v>2.0</v>
      </c>
      <c r="F64" s="3">
        <f t="shared" si="1"/>
        <v>5</v>
      </c>
      <c r="G64" s="78" t="s">
        <v>2582</v>
      </c>
      <c r="H64" s="3" t="str">
        <f t="array" ref="H64">INDEX(driver_dataset!F:F,MATCH(G64,driver_dataset!A:A,0))</f>
        <v>Bike</v>
      </c>
      <c r="J64" s="3">
        <v>76.0</v>
      </c>
      <c r="K64" s="3">
        <v>3.0</v>
      </c>
      <c r="L64" s="3">
        <v>3.0</v>
      </c>
    </row>
    <row r="65">
      <c r="A65" s="3" t="s">
        <v>2775</v>
      </c>
      <c r="B65" s="73">
        <v>45079.0</v>
      </c>
      <c r="C65" s="74">
        <v>45080.0</v>
      </c>
      <c r="D65" s="3">
        <v>2.0</v>
      </c>
      <c r="E65" s="3">
        <v>3.0</v>
      </c>
      <c r="F65" s="3">
        <f t="shared" si="1"/>
        <v>1</v>
      </c>
      <c r="G65" s="78" t="s">
        <v>2577</v>
      </c>
      <c r="H65" s="3" t="str">
        <f t="array" ref="H65">INDEX(driver_dataset!F:F,MATCH(G65,driver_dataset!A:A,0))</f>
        <v>Bike</v>
      </c>
      <c r="J65" s="3">
        <v>77.0</v>
      </c>
      <c r="K65" s="3">
        <v>1.0</v>
      </c>
      <c r="L65" s="3">
        <v>1.0</v>
      </c>
    </row>
    <row r="66">
      <c r="A66" s="3" t="s">
        <v>2776</v>
      </c>
      <c r="B66" s="73">
        <v>45079.0</v>
      </c>
      <c r="C66" s="74">
        <v>45080.0</v>
      </c>
      <c r="D66" s="3">
        <v>11.0</v>
      </c>
      <c r="E66" s="3">
        <v>10.0</v>
      </c>
      <c r="F66" s="3">
        <f t="shared" si="1"/>
        <v>1</v>
      </c>
      <c r="G66" s="78" t="s">
        <v>2672</v>
      </c>
      <c r="H66" s="3" t="str">
        <f t="array" ref="H66">INDEX(driver_dataset!F:F,MATCH(G66,driver_dataset!A:A,0))</f>
        <v>Van</v>
      </c>
      <c r="J66" s="3">
        <v>78.0</v>
      </c>
      <c r="K66" s="3">
        <v>3.5</v>
      </c>
      <c r="L66" s="3">
        <v>3.5</v>
      </c>
    </row>
    <row r="67">
      <c r="A67" s="3" t="s">
        <v>2777</v>
      </c>
      <c r="B67" s="73">
        <v>45079.0</v>
      </c>
      <c r="C67" s="74">
        <v>45080.0</v>
      </c>
      <c r="D67" s="3">
        <v>1.0</v>
      </c>
      <c r="E67" s="3">
        <v>2.0</v>
      </c>
      <c r="F67" s="3">
        <f t="shared" si="1"/>
        <v>1</v>
      </c>
      <c r="G67" s="78" t="s">
        <v>2592</v>
      </c>
      <c r="H67" s="3" t="str">
        <f t="array" ref="H67">INDEX(driver_dataset!F:F,MATCH(G67,driver_dataset!A:A,0))</f>
        <v>Bike</v>
      </c>
    </row>
    <row r="68">
      <c r="A68" s="3" t="s">
        <v>2778</v>
      </c>
      <c r="B68" s="73">
        <v>45079.0</v>
      </c>
      <c r="C68" s="74">
        <v>45081.0</v>
      </c>
      <c r="D68" s="3">
        <v>2.0</v>
      </c>
      <c r="E68" s="3">
        <v>1.0</v>
      </c>
      <c r="F68" s="3">
        <f t="shared" si="1"/>
        <v>2</v>
      </c>
      <c r="G68" s="78" t="s">
        <v>2692</v>
      </c>
      <c r="H68" s="3" t="str">
        <f t="array" ref="H68">INDEX(driver_dataset!F:F,MATCH(G68,driver_dataset!A:A,0))</f>
        <v>Bike</v>
      </c>
    </row>
    <row r="69">
      <c r="A69" s="3" t="s">
        <v>2779</v>
      </c>
      <c r="B69" s="73">
        <v>45079.0</v>
      </c>
      <c r="C69" s="74">
        <v>45080.0</v>
      </c>
      <c r="D69" s="3">
        <v>8.0</v>
      </c>
      <c r="E69" s="3">
        <v>8.0</v>
      </c>
      <c r="F69" s="3">
        <f t="shared" si="1"/>
        <v>1</v>
      </c>
      <c r="G69" s="78" t="s">
        <v>2484</v>
      </c>
      <c r="H69" s="3" t="str">
        <f t="array" ref="H69">INDEX(driver_dataset!F:F,MATCH(G69,driver_dataset!A:A,0))</f>
        <v>Van</v>
      </c>
    </row>
    <row r="70">
      <c r="A70" s="3" t="s">
        <v>2780</v>
      </c>
      <c r="B70" s="73">
        <v>45079.0</v>
      </c>
      <c r="C70" s="74">
        <v>45083.0</v>
      </c>
      <c r="D70" s="3">
        <v>8.0</v>
      </c>
      <c r="E70" s="3">
        <v>8.0</v>
      </c>
      <c r="F70" s="3">
        <f t="shared" si="1"/>
        <v>4</v>
      </c>
      <c r="G70" s="78" t="s">
        <v>2672</v>
      </c>
      <c r="H70" s="3" t="str">
        <f t="array" ref="H70">INDEX(driver_dataset!F:F,MATCH(G70,driver_dataset!A:A,0))</f>
        <v>Van</v>
      </c>
    </row>
    <row r="71">
      <c r="A71" s="3" t="s">
        <v>2781</v>
      </c>
      <c r="B71" s="73">
        <v>45079.0</v>
      </c>
      <c r="C71" s="74">
        <v>45080.0</v>
      </c>
      <c r="D71" s="3">
        <v>5.0</v>
      </c>
      <c r="E71" s="3">
        <v>2.0</v>
      </c>
      <c r="F71" s="3">
        <f t="shared" si="1"/>
        <v>1</v>
      </c>
      <c r="G71" s="78" t="s">
        <v>2557</v>
      </c>
      <c r="H71" s="3" t="str">
        <f t="array" ref="H71">INDEX(driver_dataset!F:F,MATCH(G71,driver_dataset!A:A,0))</f>
        <v>Bike</v>
      </c>
    </row>
    <row r="72">
      <c r="A72" s="3" t="s">
        <v>2782</v>
      </c>
      <c r="B72" s="73">
        <v>45079.0</v>
      </c>
      <c r="C72" s="74">
        <v>45080.0</v>
      </c>
      <c r="D72" s="3">
        <v>2.0</v>
      </c>
      <c r="E72" s="3">
        <v>2.0</v>
      </c>
      <c r="F72" s="3">
        <f t="shared" si="1"/>
        <v>1</v>
      </c>
      <c r="G72" s="78" t="s">
        <v>2632</v>
      </c>
      <c r="H72" s="3" t="str">
        <f t="array" ref="H72">INDEX(driver_dataset!F:F,MATCH(G72,driver_dataset!A:A,0))</f>
        <v>Bike</v>
      </c>
    </row>
    <row r="73">
      <c r="A73" s="3" t="s">
        <v>2783</v>
      </c>
      <c r="B73" s="73">
        <v>45079.0</v>
      </c>
      <c r="C73" s="74">
        <v>45084.0</v>
      </c>
      <c r="D73" s="3">
        <v>3.0</v>
      </c>
      <c r="E73" s="3">
        <v>3.0</v>
      </c>
      <c r="F73" s="3">
        <f t="shared" si="1"/>
        <v>5</v>
      </c>
      <c r="G73" s="78" t="s">
        <v>2557</v>
      </c>
      <c r="H73" s="3" t="str">
        <f t="array" ref="H73">INDEX(driver_dataset!F:F,MATCH(G73,driver_dataset!A:A,0))</f>
        <v>Bike</v>
      </c>
    </row>
    <row r="74">
      <c r="A74" s="3" t="s">
        <v>2784</v>
      </c>
      <c r="B74" s="73">
        <v>45079.0</v>
      </c>
      <c r="C74" s="74">
        <v>45080.0</v>
      </c>
      <c r="D74" s="3">
        <v>4.0</v>
      </c>
      <c r="E74" s="3">
        <v>3.0</v>
      </c>
      <c r="F74" s="3">
        <f t="shared" si="1"/>
        <v>1</v>
      </c>
      <c r="G74" s="78" t="s">
        <v>2617</v>
      </c>
      <c r="H74" s="3" t="str">
        <f t="array" ref="H74">INDEX(driver_dataset!F:F,MATCH(G74,driver_dataset!A:A,0))</f>
        <v>Bike</v>
      </c>
    </row>
    <row r="75">
      <c r="A75" s="3" t="s">
        <v>2785</v>
      </c>
      <c r="B75" s="74">
        <v>45080.0</v>
      </c>
      <c r="C75" s="74">
        <v>45084.0</v>
      </c>
      <c r="D75" s="3">
        <v>3.0</v>
      </c>
      <c r="E75" s="3">
        <v>2.0</v>
      </c>
      <c r="F75" s="3">
        <f t="shared" si="1"/>
        <v>4</v>
      </c>
      <c r="G75" s="78" t="s">
        <v>2567</v>
      </c>
      <c r="H75" s="3" t="str">
        <f t="array" ref="H75">INDEX(driver_dataset!F:F,MATCH(G75,driver_dataset!A:A,0))</f>
        <v>Bike</v>
      </c>
    </row>
    <row r="76">
      <c r="A76" s="3" t="s">
        <v>2786</v>
      </c>
      <c r="B76" s="74">
        <v>45080.0</v>
      </c>
      <c r="C76" s="74">
        <v>45085.0</v>
      </c>
      <c r="D76" s="3">
        <v>5.0</v>
      </c>
      <c r="E76" s="3">
        <v>3.0</v>
      </c>
      <c r="F76" s="3">
        <f t="shared" si="1"/>
        <v>5</v>
      </c>
      <c r="G76" s="78" t="s">
        <v>2582</v>
      </c>
      <c r="H76" s="3" t="str">
        <f t="array" ref="H76">INDEX(driver_dataset!F:F,MATCH(G76,driver_dataset!A:A,0))</f>
        <v>Bike</v>
      </c>
    </row>
    <row r="77">
      <c r="A77" s="3" t="s">
        <v>2787</v>
      </c>
      <c r="B77" s="73">
        <v>45080.0</v>
      </c>
      <c r="C77" s="74">
        <v>45082.0</v>
      </c>
      <c r="D77" s="3">
        <v>2.0</v>
      </c>
      <c r="E77" s="3">
        <v>3.0</v>
      </c>
      <c r="F77" s="3">
        <f t="shared" si="1"/>
        <v>2</v>
      </c>
      <c r="G77" s="78" t="s">
        <v>2602</v>
      </c>
      <c r="H77" s="3" t="str">
        <f t="array" ref="H77">INDEX(driver_dataset!F:F,MATCH(G77,driver_dataset!A:A,0))</f>
        <v>Bike</v>
      </c>
    </row>
    <row r="78">
      <c r="A78" s="3" t="s">
        <v>2788</v>
      </c>
      <c r="B78" s="73">
        <v>45080.0</v>
      </c>
      <c r="C78" s="74">
        <v>45081.0</v>
      </c>
      <c r="D78" s="3">
        <v>5.0</v>
      </c>
      <c r="E78" s="3">
        <v>1.0</v>
      </c>
      <c r="F78" s="3">
        <f t="shared" si="1"/>
        <v>1</v>
      </c>
      <c r="G78" s="78" t="s">
        <v>2567</v>
      </c>
      <c r="H78" s="3" t="str">
        <f t="array" ref="H78">INDEX(driver_dataset!F:F,MATCH(G78,driver_dataset!A:A,0))</f>
        <v>Bike</v>
      </c>
    </row>
    <row r="79">
      <c r="A79" s="3" t="s">
        <v>2789</v>
      </c>
      <c r="B79" s="73">
        <v>45080.0</v>
      </c>
      <c r="C79" s="74">
        <v>45081.0</v>
      </c>
      <c r="D79" s="3">
        <v>5.0</v>
      </c>
      <c r="E79" s="3">
        <v>2.0</v>
      </c>
      <c r="F79" s="3">
        <f t="shared" si="1"/>
        <v>1</v>
      </c>
      <c r="G79" s="78" t="s">
        <v>2617</v>
      </c>
      <c r="H79" s="3" t="str">
        <f t="array" ref="H79">INDEX(driver_dataset!F:F,MATCH(G79,driver_dataset!A:A,0))</f>
        <v>Bike</v>
      </c>
    </row>
    <row r="80">
      <c r="A80" s="3" t="s">
        <v>2790</v>
      </c>
      <c r="B80" s="73">
        <v>45080.0</v>
      </c>
      <c r="C80" s="74">
        <v>45081.0</v>
      </c>
      <c r="D80" s="3">
        <v>22.0</v>
      </c>
      <c r="E80" s="3">
        <v>19.0</v>
      </c>
      <c r="F80" s="3">
        <f t="shared" si="1"/>
        <v>1</v>
      </c>
      <c r="G80" s="78" t="s">
        <v>2521</v>
      </c>
      <c r="H80" s="3" t="str">
        <f t="array" ref="H80">INDEX(driver_dataset!F:F,MATCH(G80,driver_dataset!A:A,0))</f>
        <v>Truck</v>
      </c>
    </row>
    <row r="81">
      <c r="A81" s="3" t="s">
        <v>2791</v>
      </c>
      <c r="B81" s="73">
        <v>45080.0</v>
      </c>
      <c r="C81" s="74">
        <v>45082.0</v>
      </c>
      <c r="D81" s="3">
        <v>76.0</v>
      </c>
      <c r="E81" s="3">
        <v>22.0</v>
      </c>
      <c r="F81" s="3">
        <f t="shared" si="1"/>
        <v>2</v>
      </c>
      <c r="G81" s="78" t="s">
        <v>2521</v>
      </c>
      <c r="H81" s="3" t="str">
        <f t="array" ref="H81">INDEX(driver_dataset!F:F,MATCH(G81,driver_dataset!A:A,0))</f>
        <v>Truck</v>
      </c>
    </row>
    <row r="82">
      <c r="A82" s="3" t="s">
        <v>2792</v>
      </c>
      <c r="B82" s="73">
        <v>45080.0</v>
      </c>
      <c r="C82" s="74">
        <v>45083.0</v>
      </c>
      <c r="D82" s="3">
        <v>34.0</v>
      </c>
      <c r="E82" s="3">
        <v>22.0</v>
      </c>
      <c r="F82" s="3">
        <f t="shared" si="1"/>
        <v>3</v>
      </c>
      <c r="G82" s="78" t="s">
        <v>2521</v>
      </c>
      <c r="H82" s="3" t="str">
        <f t="array" ref="H82">INDEX(driver_dataset!F:F,MATCH(G82,driver_dataset!A:A,0))</f>
        <v>Truck</v>
      </c>
    </row>
    <row r="83">
      <c r="A83" s="3" t="s">
        <v>2793</v>
      </c>
      <c r="B83" s="73">
        <v>45080.0</v>
      </c>
      <c r="C83" s="74">
        <v>45085.0</v>
      </c>
      <c r="D83" s="3">
        <v>22.0</v>
      </c>
      <c r="E83" s="3">
        <v>11.0</v>
      </c>
      <c r="F83" s="3">
        <f t="shared" si="1"/>
        <v>5</v>
      </c>
      <c r="G83" s="78" t="s">
        <v>2521</v>
      </c>
      <c r="H83" s="3" t="str">
        <f t="array" ref="H83">INDEX(driver_dataset!F:F,MATCH(G83,driver_dataset!A:A,0))</f>
        <v>Truck</v>
      </c>
    </row>
    <row r="84">
      <c r="A84" s="3" t="s">
        <v>2794</v>
      </c>
      <c r="B84" s="73">
        <v>45080.0</v>
      </c>
      <c r="C84" s="74">
        <v>45081.0</v>
      </c>
      <c r="D84" s="3">
        <v>48.0</v>
      </c>
      <c r="E84" s="3">
        <v>20.0</v>
      </c>
      <c r="F84" s="3">
        <f t="shared" si="1"/>
        <v>1</v>
      </c>
      <c r="G84" s="78" t="s">
        <v>2521</v>
      </c>
      <c r="H84" s="3" t="str">
        <f t="array" ref="H84">INDEX(driver_dataset!F:F,MATCH(G84,driver_dataset!A:A,0))</f>
        <v>Truck</v>
      </c>
    </row>
    <row r="85">
      <c r="A85" s="3" t="s">
        <v>2795</v>
      </c>
      <c r="B85" s="73">
        <v>45080.0</v>
      </c>
      <c r="C85" s="74">
        <v>45082.0</v>
      </c>
      <c r="D85" s="3">
        <v>28.0</v>
      </c>
      <c r="E85" s="3">
        <v>24.0</v>
      </c>
      <c r="F85" s="3">
        <f t="shared" si="1"/>
        <v>2</v>
      </c>
      <c r="G85" s="78" t="s">
        <v>2521</v>
      </c>
      <c r="H85" s="3" t="str">
        <f t="array" ref="H85">INDEX(driver_dataset!F:F,MATCH(G85,driver_dataset!A:A,0))</f>
        <v>Truck</v>
      </c>
    </row>
    <row r="86">
      <c r="A86" s="3" t="s">
        <v>2796</v>
      </c>
      <c r="B86" s="73">
        <v>45080.0</v>
      </c>
      <c r="C86" s="74">
        <v>45081.0</v>
      </c>
      <c r="D86" s="3">
        <v>29.0</v>
      </c>
      <c r="E86" s="3">
        <v>19.0</v>
      </c>
      <c r="F86" s="3">
        <f t="shared" si="1"/>
        <v>1</v>
      </c>
      <c r="G86" s="78" t="s">
        <v>2521</v>
      </c>
      <c r="H86" s="3" t="str">
        <f t="array" ref="H86">INDEX(driver_dataset!F:F,MATCH(G86,driver_dataset!A:A,0))</f>
        <v>Truck</v>
      </c>
    </row>
    <row r="87">
      <c r="A87" s="3" t="s">
        <v>2797</v>
      </c>
      <c r="B87" s="73">
        <v>45080.0</v>
      </c>
      <c r="C87" s="74">
        <v>45082.0</v>
      </c>
      <c r="D87" s="3">
        <v>21.0</v>
      </c>
      <c r="E87" s="3">
        <v>26.0</v>
      </c>
      <c r="F87" s="3">
        <f t="shared" si="1"/>
        <v>2</v>
      </c>
      <c r="G87" s="78" t="s">
        <v>2521</v>
      </c>
      <c r="H87" s="3" t="str">
        <f t="array" ref="H87">INDEX(driver_dataset!F:F,MATCH(G87,driver_dataset!A:A,0))</f>
        <v>Truck</v>
      </c>
    </row>
    <row r="88">
      <c r="A88" s="3" t="s">
        <v>2798</v>
      </c>
      <c r="B88" s="73">
        <v>45080.0</v>
      </c>
      <c r="C88" s="74">
        <v>45084.0</v>
      </c>
      <c r="D88" s="3">
        <v>6.0</v>
      </c>
      <c r="E88" s="3">
        <v>1.0</v>
      </c>
      <c r="F88" s="3">
        <f t="shared" si="1"/>
        <v>4</v>
      </c>
      <c r="G88" s="78" t="s">
        <v>2506</v>
      </c>
      <c r="H88" s="3" t="str">
        <f t="array" ref="H88">INDEX(driver_dataset!F:F,MATCH(G88,driver_dataset!A:A,0))</f>
        <v>Bike</v>
      </c>
    </row>
    <row r="89">
      <c r="A89" s="3" t="s">
        <v>2799</v>
      </c>
      <c r="B89" s="73">
        <v>45080.0</v>
      </c>
      <c r="C89" s="74">
        <v>45084.0</v>
      </c>
      <c r="D89" s="3">
        <v>15.0</v>
      </c>
      <c r="E89" s="3">
        <v>6.0</v>
      </c>
      <c r="F89" s="3">
        <f t="shared" si="1"/>
        <v>4</v>
      </c>
      <c r="G89" s="78" t="s">
        <v>2537</v>
      </c>
      <c r="H89" s="3" t="str">
        <f t="array" ref="H89">INDEX(driver_dataset!F:F,MATCH(G89,driver_dataset!A:A,0))</f>
        <v>Van</v>
      </c>
    </row>
    <row r="90">
      <c r="A90" s="3" t="s">
        <v>2800</v>
      </c>
      <c r="B90" s="73">
        <v>45080.0</v>
      </c>
      <c r="C90" s="74">
        <v>45084.0</v>
      </c>
      <c r="D90" s="3">
        <v>13.0</v>
      </c>
      <c r="E90" s="3">
        <v>6.0</v>
      </c>
      <c r="F90" s="3">
        <f t="shared" si="1"/>
        <v>4</v>
      </c>
      <c r="G90" s="78" t="s">
        <v>2484</v>
      </c>
      <c r="H90" s="3" t="str">
        <f t="array" ref="H90">INDEX(driver_dataset!F:F,MATCH(G90,driver_dataset!A:A,0))</f>
        <v>Van</v>
      </c>
    </row>
    <row r="91">
      <c r="A91" s="3" t="s">
        <v>2801</v>
      </c>
      <c r="B91" s="73">
        <v>45080.0</v>
      </c>
      <c r="C91" s="74">
        <v>45084.0</v>
      </c>
      <c r="D91" s="3">
        <v>3.0</v>
      </c>
      <c r="E91" s="3">
        <v>3.0</v>
      </c>
      <c r="F91" s="3">
        <f t="shared" si="1"/>
        <v>4</v>
      </c>
      <c r="G91" s="78" t="s">
        <v>2516</v>
      </c>
      <c r="H91" s="3" t="str">
        <f t="array" ref="H91">INDEX(driver_dataset!F:F,MATCH(G91,driver_dataset!A:A,0))</f>
        <v>Bike</v>
      </c>
    </row>
    <row r="92">
      <c r="A92" s="3" t="s">
        <v>2802</v>
      </c>
      <c r="B92" s="73">
        <v>45080.0</v>
      </c>
      <c r="C92" s="74">
        <v>45085.0</v>
      </c>
      <c r="D92" s="3">
        <v>1.0</v>
      </c>
      <c r="E92" s="3">
        <v>3.0</v>
      </c>
      <c r="F92" s="3">
        <f t="shared" si="1"/>
        <v>5</v>
      </c>
      <c r="G92" s="78" t="s">
        <v>2577</v>
      </c>
      <c r="H92" s="3" t="str">
        <f t="array" ref="H92">INDEX(driver_dataset!F:F,MATCH(G92,driver_dataset!A:A,0))</f>
        <v>Bike</v>
      </c>
    </row>
    <row r="93">
      <c r="A93" s="3" t="s">
        <v>2803</v>
      </c>
      <c r="B93" s="73">
        <v>45080.0</v>
      </c>
      <c r="C93" s="74">
        <v>45081.0</v>
      </c>
      <c r="D93" s="3">
        <v>5.0</v>
      </c>
      <c r="E93" s="3">
        <v>3.0</v>
      </c>
      <c r="F93" s="3">
        <f t="shared" si="1"/>
        <v>1</v>
      </c>
      <c r="G93" s="78" t="s">
        <v>2572</v>
      </c>
      <c r="H93" s="3" t="str">
        <f t="array" ref="H93">INDEX(driver_dataset!F:F,MATCH(G93,driver_dataset!A:A,0))</f>
        <v>Bike</v>
      </c>
    </row>
    <row r="94">
      <c r="A94" s="3" t="s">
        <v>2804</v>
      </c>
      <c r="B94" s="73">
        <v>45080.0</v>
      </c>
      <c r="C94" s="74">
        <v>45083.0</v>
      </c>
      <c r="D94" s="3">
        <v>9.0</v>
      </c>
      <c r="E94" s="3">
        <v>6.0</v>
      </c>
      <c r="F94" s="3">
        <f t="shared" si="1"/>
        <v>3</v>
      </c>
      <c r="G94" s="78" t="s">
        <v>2627</v>
      </c>
      <c r="H94" s="3" t="str">
        <f t="array" ref="H94">INDEX(driver_dataset!F:F,MATCH(G94,driver_dataset!A:A,0))</f>
        <v>Van</v>
      </c>
    </row>
    <row r="95">
      <c r="A95" s="3" t="s">
        <v>2805</v>
      </c>
      <c r="B95" s="73">
        <v>45080.0</v>
      </c>
      <c r="C95" s="74">
        <v>45085.0</v>
      </c>
      <c r="D95" s="3">
        <v>11.0</v>
      </c>
      <c r="E95" s="3">
        <v>9.0</v>
      </c>
      <c r="F95" s="3">
        <f t="shared" si="1"/>
        <v>5</v>
      </c>
      <c r="G95" s="78" t="s">
        <v>2587</v>
      </c>
      <c r="H95" s="3" t="str">
        <f t="array" ref="H95">INDEX(driver_dataset!F:F,MATCH(G95,driver_dataset!A:A,0))</f>
        <v>Van</v>
      </c>
    </row>
    <row r="96">
      <c r="A96" s="3" t="s">
        <v>2806</v>
      </c>
      <c r="B96" s="73">
        <v>45080.0</v>
      </c>
      <c r="C96" s="74">
        <v>45085.0</v>
      </c>
      <c r="D96" s="3">
        <v>5.0</v>
      </c>
      <c r="E96" s="3">
        <v>2.0</v>
      </c>
      <c r="F96" s="3">
        <f t="shared" si="1"/>
        <v>5</v>
      </c>
      <c r="G96" s="78" t="s">
        <v>2677</v>
      </c>
      <c r="H96" s="3" t="str">
        <f t="array" ref="H96">INDEX(driver_dataset!F:F,MATCH(G96,driver_dataset!A:A,0))</f>
        <v>Bike</v>
      </c>
    </row>
    <row r="97">
      <c r="A97" s="3" t="s">
        <v>2807</v>
      </c>
      <c r="B97" s="73">
        <v>45080.0</v>
      </c>
      <c r="C97" s="74">
        <v>45082.0</v>
      </c>
      <c r="D97" s="3">
        <v>3.0</v>
      </c>
      <c r="E97" s="3">
        <v>1.0</v>
      </c>
      <c r="F97" s="3">
        <f t="shared" si="1"/>
        <v>2</v>
      </c>
      <c r="G97" s="78" t="s">
        <v>2506</v>
      </c>
      <c r="H97" s="3" t="str">
        <f t="array" ref="H97">INDEX(driver_dataset!F:F,MATCH(G97,driver_dataset!A:A,0))</f>
        <v>Bike</v>
      </c>
    </row>
    <row r="98">
      <c r="A98" s="3" t="s">
        <v>2808</v>
      </c>
      <c r="B98" s="73">
        <v>45080.0</v>
      </c>
      <c r="C98" s="74">
        <v>45084.0</v>
      </c>
      <c r="D98" s="3">
        <v>19.0</v>
      </c>
      <c r="E98" s="3">
        <v>6.0</v>
      </c>
      <c r="F98" s="3">
        <f t="shared" si="1"/>
        <v>4</v>
      </c>
      <c r="G98" s="78" t="s">
        <v>2667</v>
      </c>
      <c r="H98" s="3" t="str">
        <f t="array" ref="H98">INDEX(driver_dataset!F:F,MATCH(G98,driver_dataset!A:A,0))</f>
        <v>Van</v>
      </c>
    </row>
    <row r="99">
      <c r="A99" s="3" t="s">
        <v>2809</v>
      </c>
      <c r="B99" s="73">
        <v>45080.0</v>
      </c>
      <c r="C99" s="74">
        <v>45084.0</v>
      </c>
      <c r="D99" s="3">
        <v>15.0</v>
      </c>
      <c r="E99" s="3">
        <v>10.0</v>
      </c>
      <c r="F99" s="3">
        <f t="shared" si="1"/>
        <v>4</v>
      </c>
      <c r="G99" s="78" t="s">
        <v>2667</v>
      </c>
      <c r="H99" s="3" t="str">
        <f t="array" ref="H99">INDEX(driver_dataset!F:F,MATCH(G99,driver_dataset!A:A,0))</f>
        <v>Van</v>
      </c>
    </row>
    <row r="100">
      <c r="A100" s="3" t="s">
        <v>2810</v>
      </c>
      <c r="B100" s="73">
        <v>45080.0</v>
      </c>
      <c r="C100" s="74">
        <v>45081.0</v>
      </c>
      <c r="D100" s="3">
        <v>13.0</v>
      </c>
      <c r="E100" s="3">
        <v>10.0</v>
      </c>
      <c r="F100" s="3">
        <f t="shared" si="1"/>
        <v>1</v>
      </c>
      <c r="G100" s="78" t="s">
        <v>2537</v>
      </c>
      <c r="H100" s="3" t="str">
        <f t="array" ref="H100">INDEX(driver_dataset!F:F,MATCH(G100,driver_dataset!A:A,0))</f>
        <v>Van</v>
      </c>
    </row>
    <row r="101">
      <c r="A101" s="3" t="s">
        <v>2811</v>
      </c>
      <c r="B101" s="73">
        <v>45080.0</v>
      </c>
      <c r="C101" s="74">
        <v>45084.0</v>
      </c>
      <c r="D101" s="3">
        <v>2.0</v>
      </c>
      <c r="E101" s="3">
        <v>1.0</v>
      </c>
      <c r="F101" s="3">
        <f t="shared" si="1"/>
        <v>4</v>
      </c>
      <c r="G101" s="78" t="s">
        <v>2532</v>
      </c>
      <c r="H101" s="3" t="str">
        <f t="array" ref="H101">INDEX(driver_dataset!F:F,MATCH(G101,driver_dataset!A:A,0))</f>
        <v>Bike</v>
      </c>
    </row>
    <row r="102">
      <c r="A102" s="3" t="s">
        <v>2812</v>
      </c>
      <c r="B102" s="73">
        <v>45080.0</v>
      </c>
      <c r="C102" s="74">
        <v>45085.0</v>
      </c>
      <c r="D102" s="3">
        <v>2.0</v>
      </c>
      <c r="E102" s="3">
        <v>2.0</v>
      </c>
      <c r="F102" s="3">
        <f t="shared" si="1"/>
        <v>5</v>
      </c>
      <c r="G102" s="78" t="s">
        <v>2677</v>
      </c>
      <c r="H102" s="3" t="str">
        <f t="array" ref="H102">INDEX(driver_dataset!F:F,MATCH(G102,driver_dataset!A:A,0))</f>
        <v>Bike</v>
      </c>
    </row>
    <row r="103">
      <c r="A103" s="3" t="s">
        <v>2813</v>
      </c>
      <c r="B103" s="73">
        <v>45080.0</v>
      </c>
      <c r="C103" s="74">
        <v>45083.0</v>
      </c>
      <c r="D103" s="3">
        <v>5.0</v>
      </c>
      <c r="E103" s="3">
        <v>2.0</v>
      </c>
      <c r="F103" s="3">
        <f t="shared" si="1"/>
        <v>3</v>
      </c>
      <c r="G103" s="78" t="s">
        <v>2506</v>
      </c>
      <c r="H103" s="3" t="str">
        <f t="array" ref="H103">INDEX(driver_dataset!F:F,MATCH(G103,driver_dataset!A:A,0))</f>
        <v>Bike</v>
      </c>
    </row>
    <row r="104">
      <c r="A104" s="3" t="s">
        <v>2814</v>
      </c>
      <c r="B104" s="73">
        <v>45080.0</v>
      </c>
      <c r="C104" s="74">
        <v>45083.0</v>
      </c>
      <c r="D104" s="3">
        <v>4.0</v>
      </c>
      <c r="E104" s="3">
        <v>2.0</v>
      </c>
      <c r="F104" s="3">
        <f t="shared" si="1"/>
        <v>3</v>
      </c>
      <c r="G104" s="78" t="s">
        <v>2602</v>
      </c>
      <c r="H104" s="3" t="str">
        <f t="array" ref="H104">INDEX(driver_dataset!F:F,MATCH(G104,driver_dataset!A:A,0))</f>
        <v>Bike</v>
      </c>
    </row>
    <row r="105">
      <c r="A105" s="3" t="s">
        <v>2815</v>
      </c>
      <c r="B105" s="73">
        <v>45080.0</v>
      </c>
      <c r="C105" s="74">
        <v>45083.0</v>
      </c>
      <c r="D105" s="3">
        <v>8.0</v>
      </c>
      <c r="E105" s="3">
        <v>7.0</v>
      </c>
      <c r="F105" s="3">
        <f t="shared" si="1"/>
        <v>3</v>
      </c>
      <c r="G105" s="78" t="s">
        <v>2627</v>
      </c>
      <c r="H105" s="3" t="str">
        <f t="array" ref="H105">INDEX(driver_dataset!F:F,MATCH(G105,driver_dataset!A:A,0))</f>
        <v>Van</v>
      </c>
    </row>
    <row r="106">
      <c r="A106" s="3" t="s">
        <v>2816</v>
      </c>
      <c r="B106" s="73">
        <v>45080.0</v>
      </c>
      <c r="C106" s="74">
        <v>45085.0</v>
      </c>
      <c r="D106" s="3">
        <v>7.0</v>
      </c>
      <c r="E106" s="3">
        <v>9.0</v>
      </c>
      <c r="F106" s="3">
        <f t="shared" si="1"/>
        <v>5</v>
      </c>
      <c r="G106" s="78" t="s">
        <v>2587</v>
      </c>
      <c r="H106" s="3" t="str">
        <f t="array" ref="H106">INDEX(driver_dataset!F:F,MATCH(G106,driver_dataset!A:A,0))</f>
        <v>Van</v>
      </c>
    </row>
    <row r="107">
      <c r="A107" s="3" t="s">
        <v>2817</v>
      </c>
      <c r="B107" s="73">
        <v>45080.0</v>
      </c>
      <c r="C107" s="74">
        <v>45081.0</v>
      </c>
      <c r="D107" s="3">
        <v>14.0</v>
      </c>
      <c r="E107" s="3">
        <v>9.0</v>
      </c>
      <c r="F107" s="3">
        <f t="shared" si="1"/>
        <v>1</v>
      </c>
      <c r="G107" s="78" t="s">
        <v>2501</v>
      </c>
      <c r="H107" s="3" t="str">
        <f t="array" ref="H107">INDEX(driver_dataset!F:F,MATCH(G107,driver_dataset!A:A,0))</f>
        <v>Van</v>
      </c>
    </row>
    <row r="108">
      <c r="A108" s="3" t="s">
        <v>2818</v>
      </c>
      <c r="B108" s="73">
        <v>45080.0</v>
      </c>
      <c r="C108" s="74">
        <v>45083.0</v>
      </c>
      <c r="D108" s="3">
        <v>17.0</v>
      </c>
      <c r="E108" s="3">
        <v>9.0</v>
      </c>
      <c r="F108" s="3">
        <f t="shared" si="1"/>
        <v>3</v>
      </c>
      <c r="G108" s="78" t="s">
        <v>2501</v>
      </c>
      <c r="H108" s="3" t="str">
        <f t="array" ref="H108">INDEX(driver_dataset!F:F,MATCH(G108,driver_dataset!A:A,0))</f>
        <v>Van</v>
      </c>
    </row>
    <row r="109">
      <c r="A109" s="3" t="s">
        <v>2819</v>
      </c>
      <c r="B109" s="73">
        <v>45080.0</v>
      </c>
      <c r="C109" s="74">
        <v>45083.0</v>
      </c>
      <c r="D109" s="3">
        <v>20.0</v>
      </c>
      <c r="E109" s="3">
        <v>5.0</v>
      </c>
      <c r="F109" s="3">
        <f t="shared" si="1"/>
        <v>3</v>
      </c>
      <c r="G109" s="78" t="s">
        <v>2627</v>
      </c>
      <c r="H109" s="3" t="str">
        <f t="array" ref="H109">INDEX(driver_dataset!F:F,MATCH(G109,driver_dataset!A:A,0))</f>
        <v>Van</v>
      </c>
    </row>
    <row r="110">
      <c r="A110" s="3" t="s">
        <v>2820</v>
      </c>
      <c r="B110" s="73">
        <v>45080.0</v>
      </c>
      <c r="C110" s="74">
        <v>45082.0</v>
      </c>
      <c r="D110" s="3">
        <v>1.0</v>
      </c>
      <c r="E110" s="3">
        <v>1.0</v>
      </c>
      <c r="F110" s="3">
        <f t="shared" si="1"/>
        <v>2</v>
      </c>
      <c r="G110" s="78" t="s">
        <v>2557</v>
      </c>
      <c r="H110" s="3" t="str">
        <f t="array" ref="H110">INDEX(driver_dataset!F:F,MATCH(G110,driver_dataset!A:A,0))</f>
        <v>Bike</v>
      </c>
    </row>
    <row r="111">
      <c r="A111" s="3" t="s">
        <v>2821</v>
      </c>
      <c r="B111" s="73">
        <v>45080.0</v>
      </c>
      <c r="C111" s="74">
        <v>45083.0</v>
      </c>
      <c r="D111" s="3">
        <v>8.0</v>
      </c>
      <c r="E111" s="3">
        <v>6.0</v>
      </c>
      <c r="F111" s="3">
        <f t="shared" si="1"/>
        <v>3</v>
      </c>
      <c r="G111" s="78" t="s">
        <v>2672</v>
      </c>
      <c r="H111" s="3" t="str">
        <f t="array" ref="H111">INDEX(driver_dataset!F:F,MATCH(G111,driver_dataset!A:A,0))</f>
        <v>Van</v>
      </c>
    </row>
    <row r="112">
      <c r="A112" s="3" t="s">
        <v>2822</v>
      </c>
      <c r="B112" s="73">
        <v>45080.0</v>
      </c>
      <c r="C112" s="74">
        <v>45083.0</v>
      </c>
      <c r="D112" s="3">
        <v>13.0</v>
      </c>
      <c r="E112" s="3">
        <v>8.0</v>
      </c>
      <c r="F112" s="3">
        <f t="shared" si="1"/>
        <v>3</v>
      </c>
      <c r="G112" s="78" t="s">
        <v>2672</v>
      </c>
      <c r="H112" s="3" t="str">
        <f t="array" ref="H112">INDEX(driver_dataset!F:F,MATCH(G112,driver_dataset!A:A,0))</f>
        <v>Van</v>
      </c>
    </row>
    <row r="113">
      <c r="A113" s="3" t="s">
        <v>2823</v>
      </c>
      <c r="B113" s="73">
        <v>45080.0</v>
      </c>
      <c r="C113" s="74">
        <v>45085.0</v>
      </c>
      <c r="D113" s="3">
        <v>2.0</v>
      </c>
      <c r="E113" s="3">
        <v>3.0</v>
      </c>
      <c r="F113" s="3">
        <f t="shared" si="1"/>
        <v>5</v>
      </c>
      <c r="G113" s="78" t="s">
        <v>2547</v>
      </c>
      <c r="H113" s="3" t="str">
        <f t="array" ref="H113">INDEX(driver_dataset!F:F,MATCH(G113,driver_dataset!A:A,0))</f>
        <v>Bike</v>
      </c>
    </row>
    <row r="114">
      <c r="A114" s="3" t="s">
        <v>2824</v>
      </c>
      <c r="B114" s="73">
        <v>45080.0</v>
      </c>
      <c r="C114" s="74">
        <v>45082.0</v>
      </c>
      <c r="D114" s="3">
        <v>5.0</v>
      </c>
      <c r="E114" s="3">
        <v>1.0</v>
      </c>
      <c r="F114" s="3">
        <f t="shared" si="1"/>
        <v>2</v>
      </c>
      <c r="G114" s="78" t="s">
        <v>2597</v>
      </c>
      <c r="H114" s="3" t="str">
        <f t="array" ref="H114">INDEX(driver_dataset!F:F,MATCH(G114,driver_dataset!A:A,0))</f>
        <v>Bike</v>
      </c>
    </row>
    <row r="115">
      <c r="A115" s="3" t="s">
        <v>2825</v>
      </c>
      <c r="B115" s="73">
        <v>45080.0</v>
      </c>
      <c r="C115" s="74">
        <v>45085.0</v>
      </c>
      <c r="D115" s="3">
        <v>1.0</v>
      </c>
      <c r="E115" s="3">
        <v>3.0</v>
      </c>
      <c r="F115" s="3">
        <f t="shared" si="1"/>
        <v>5</v>
      </c>
      <c r="G115" s="78" t="s">
        <v>2602</v>
      </c>
      <c r="H115" s="3" t="str">
        <f t="array" ref="H115">INDEX(driver_dataset!F:F,MATCH(G115,driver_dataset!A:A,0))</f>
        <v>Bike</v>
      </c>
    </row>
    <row r="116">
      <c r="A116" s="3" t="s">
        <v>2826</v>
      </c>
      <c r="B116" s="73">
        <v>45081.0</v>
      </c>
      <c r="C116" s="74">
        <v>45086.0</v>
      </c>
      <c r="D116" s="3">
        <v>3.0</v>
      </c>
      <c r="E116" s="3">
        <v>1.0</v>
      </c>
      <c r="F116" s="3">
        <f t="shared" si="1"/>
        <v>5</v>
      </c>
      <c r="G116" s="78" t="s">
        <v>2692</v>
      </c>
      <c r="H116" s="3" t="str">
        <f t="array" ref="H116">INDEX(driver_dataset!F:F,MATCH(G116,driver_dataset!A:A,0))</f>
        <v>Bike</v>
      </c>
    </row>
    <row r="117">
      <c r="A117" s="3" t="s">
        <v>2827</v>
      </c>
      <c r="B117" s="73">
        <v>45081.0</v>
      </c>
      <c r="C117" s="74">
        <v>45083.0</v>
      </c>
      <c r="D117" s="3">
        <v>20.0</v>
      </c>
      <c r="E117" s="3">
        <v>8.0</v>
      </c>
      <c r="F117" s="3">
        <f t="shared" si="1"/>
        <v>2</v>
      </c>
      <c r="G117" s="78" t="s">
        <v>2501</v>
      </c>
      <c r="H117" s="3" t="str">
        <f t="array" ref="H117">INDEX(driver_dataset!F:F,MATCH(G117,driver_dataset!A:A,0))</f>
        <v>Van</v>
      </c>
    </row>
    <row r="118">
      <c r="A118" s="3" t="s">
        <v>2828</v>
      </c>
      <c r="B118" s="73">
        <v>45081.0</v>
      </c>
      <c r="C118" s="74">
        <v>45082.0</v>
      </c>
      <c r="D118" s="3">
        <v>10.0</v>
      </c>
      <c r="E118" s="3">
        <v>7.0</v>
      </c>
      <c r="F118" s="3">
        <f t="shared" si="1"/>
        <v>1</v>
      </c>
      <c r="G118" s="78" t="s">
        <v>2662</v>
      </c>
      <c r="H118" s="3" t="str">
        <f t="array" ref="H118">INDEX(driver_dataset!F:F,MATCH(G118,driver_dataset!A:A,0))</f>
        <v>Van</v>
      </c>
    </row>
    <row r="119">
      <c r="A119" s="3" t="s">
        <v>2829</v>
      </c>
      <c r="B119" s="73">
        <v>45081.0</v>
      </c>
      <c r="C119" s="74">
        <v>45082.0</v>
      </c>
      <c r="D119" s="3">
        <v>10.0</v>
      </c>
      <c r="E119" s="3">
        <v>5.0</v>
      </c>
      <c r="F119" s="3">
        <f t="shared" si="1"/>
        <v>1</v>
      </c>
      <c r="G119" s="78" t="s">
        <v>2587</v>
      </c>
      <c r="H119" s="3" t="str">
        <f t="array" ref="H119">INDEX(driver_dataset!F:F,MATCH(G119,driver_dataset!A:A,0))</f>
        <v>Van</v>
      </c>
    </row>
    <row r="120">
      <c r="A120" s="3" t="s">
        <v>2830</v>
      </c>
      <c r="B120" s="73">
        <v>45081.0</v>
      </c>
      <c r="C120" s="74">
        <v>45085.0</v>
      </c>
      <c r="D120" s="3">
        <v>2.0</v>
      </c>
      <c r="E120" s="3">
        <v>3.0</v>
      </c>
      <c r="F120" s="3">
        <f t="shared" si="1"/>
        <v>4</v>
      </c>
      <c r="G120" s="78" t="s">
        <v>2602</v>
      </c>
      <c r="H120" s="3" t="str">
        <f t="array" ref="H120">INDEX(driver_dataset!F:F,MATCH(G120,driver_dataset!A:A,0))</f>
        <v>Bike</v>
      </c>
    </row>
    <row r="121">
      <c r="A121" s="3" t="s">
        <v>2831</v>
      </c>
      <c r="B121" s="73">
        <v>45081.0</v>
      </c>
      <c r="C121" s="74">
        <v>45085.0</v>
      </c>
      <c r="D121" s="3">
        <v>6.0</v>
      </c>
      <c r="E121" s="3">
        <v>3.0</v>
      </c>
      <c r="F121" s="3">
        <f t="shared" si="1"/>
        <v>4</v>
      </c>
      <c r="G121" s="78" t="s">
        <v>2496</v>
      </c>
      <c r="H121" s="3" t="str">
        <f t="array" ref="H121">INDEX(driver_dataset!F:F,MATCH(G121,driver_dataset!A:A,0))</f>
        <v>Bike</v>
      </c>
    </row>
    <row r="122">
      <c r="A122" s="3" t="s">
        <v>2832</v>
      </c>
      <c r="B122" s="73">
        <v>45081.0</v>
      </c>
      <c r="C122" s="74">
        <v>45084.0</v>
      </c>
      <c r="D122" s="3">
        <v>5.0</v>
      </c>
      <c r="E122" s="3">
        <v>3.0</v>
      </c>
      <c r="F122" s="3">
        <f t="shared" si="1"/>
        <v>3</v>
      </c>
      <c r="G122" s="78" t="s">
        <v>2532</v>
      </c>
      <c r="H122" s="3" t="str">
        <f t="array" ref="H122">INDEX(driver_dataset!F:F,MATCH(G122,driver_dataset!A:A,0))</f>
        <v>Bike</v>
      </c>
    </row>
    <row r="123">
      <c r="A123" s="3" t="s">
        <v>2833</v>
      </c>
      <c r="B123" s="73">
        <v>45081.0</v>
      </c>
      <c r="C123" s="74">
        <v>45082.0</v>
      </c>
      <c r="D123" s="3">
        <v>7.0</v>
      </c>
      <c r="E123" s="3">
        <v>8.0</v>
      </c>
      <c r="F123" s="3">
        <f t="shared" si="1"/>
        <v>1</v>
      </c>
      <c r="G123" s="78" t="s">
        <v>2667</v>
      </c>
      <c r="H123" s="3" t="str">
        <f t="array" ref="H123">INDEX(driver_dataset!F:F,MATCH(G123,driver_dataset!A:A,0))</f>
        <v>Van</v>
      </c>
    </row>
    <row r="124">
      <c r="A124" s="3" t="s">
        <v>2834</v>
      </c>
      <c r="B124" s="73">
        <v>45081.0</v>
      </c>
      <c r="C124" s="74">
        <v>45084.0</v>
      </c>
      <c r="D124" s="3">
        <v>2.0</v>
      </c>
      <c r="E124" s="3">
        <v>1.0</v>
      </c>
      <c r="F124" s="3">
        <f t="shared" si="1"/>
        <v>3</v>
      </c>
      <c r="G124" s="78" t="s">
        <v>2506</v>
      </c>
      <c r="H124" s="3" t="str">
        <f t="array" ref="H124">INDEX(driver_dataset!F:F,MATCH(G124,driver_dataset!A:A,0))</f>
        <v>Bike</v>
      </c>
    </row>
    <row r="125">
      <c r="A125" s="3" t="s">
        <v>2835</v>
      </c>
      <c r="B125" s="73">
        <v>45081.0</v>
      </c>
      <c r="C125" s="74">
        <v>45084.0</v>
      </c>
      <c r="D125" s="3">
        <v>13.0</v>
      </c>
      <c r="E125" s="3">
        <v>8.0</v>
      </c>
      <c r="F125" s="3">
        <f t="shared" si="1"/>
        <v>3</v>
      </c>
      <c r="G125" s="78" t="s">
        <v>2537</v>
      </c>
      <c r="H125" s="3" t="str">
        <f t="array" ref="H125">INDEX(driver_dataset!F:F,MATCH(G125,driver_dataset!A:A,0))</f>
        <v>Van</v>
      </c>
    </row>
    <row r="126">
      <c r="A126" s="3" t="s">
        <v>2836</v>
      </c>
      <c r="B126" s="73">
        <v>45081.0</v>
      </c>
      <c r="C126" s="74">
        <v>45085.0</v>
      </c>
      <c r="D126" s="3">
        <v>10.0</v>
      </c>
      <c r="E126" s="3">
        <v>7.0</v>
      </c>
      <c r="F126" s="3">
        <f t="shared" si="1"/>
        <v>4</v>
      </c>
      <c r="G126" s="78" t="s">
        <v>2627</v>
      </c>
      <c r="H126" s="3" t="str">
        <f t="array" ref="H126">INDEX(driver_dataset!F:F,MATCH(G126,driver_dataset!A:A,0))</f>
        <v>Van</v>
      </c>
    </row>
    <row r="127">
      <c r="A127" s="3" t="s">
        <v>2837</v>
      </c>
      <c r="B127" s="73">
        <v>45081.0</v>
      </c>
      <c r="C127" s="74">
        <v>45084.0</v>
      </c>
      <c r="D127" s="3">
        <v>4.0</v>
      </c>
      <c r="E127" s="3">
        <v>2.0</v>
      </c>
      <c r="F127" s="3">
        <f t="shared" si="1"/>
        <v>3</v>
      </c>
      <c r="G127" s="78" t="s">
        <v>2622</v>
      </c>
      <c r="H127" s="3" t="str">
        <f t="array" ref="H127">INDEX(driver_dataset!F:F,MATCH(G127,driver_dataset!A:A,0))</f>
        <v>Bike</v>
      </c>
    </row>
    <row r="128">
      <c r="A128" s="3" t="s">
        <v>2838</v>
      </c>
      <c r="B128" s="73">
        <v>45081.0</v>
      </c>
      <c r="C128" s="74">
        <v>45085.0</v>
      </c>
      <c r="D128" s="3">
        <v>20.0</v>
      </c>
      <c r="E128" s="3">
        <v>8.0</v>
      </c>
      <c r="F128" s="3">
        <f t="shared" si="1"/>
        <v>4</v>
      </c>
      <c r="G128" s="78" t="s">
        <v>2672</v>
      </c>
      <c r="H128" s="3" t="str">
        <f t="array" ref="H128">INDEX(driver_dataset!F:F,MATCH(G128,driver_dataset!A:A,0))</f>
        <v>Van</v>
      </c>
    </row>
    <row r="129">
      <c r="A129" s="3" t="s">
        <v>2839</v>
      </c>
      <c r="B129" s="73">
        <v>45081.0</v>
      </c>
      <c r="C129" s="74">
        <v>45082.0</v>
      </c>
      <c r="D129" s="3">
        <v>16.0</v>
      </c>
      <c r="E129" s="3">
        <v>4.0</v>
      </c>
      <c r="F129" s="3">
        <f t="shared" si="1"/>
        <v>1</v>
      </c>
      <c r="G129" s="78" t="s">
        <v>2627</v>
      </c>
      <c r="H129" s="3" t="str">
        <f t="array" ref="H129">INDEX(driver_dataset!F:F,MATCH(G129,driver_dataset!A:A,0))</f>
        <v>Van</v>
      </c>
    </row>
    <row r="130">
      <c r="A130" s="3" t="s">
        <v>2840</v>
      </c>
      <c r="B130" s="73">
        <v>45081.0</v>
      </c>
      <c r="C130" s="74">
        <v>45085.0</v>
      </c>
      <c r="D130" s="3">
        <v>6.0</v>
      </c>
      <c r="E130" s="3">
        <v>3.0</v>
      </c>
      <c r="F130" s="3">
        <f t="shared" si="1"/>
        <v>4</v>
      </c>
      <c r="G130" s="78" t="s">
        <v>2532</v>
      </c>
      <c r="H130" s="3" t="str">
        <f t="array" ref="H130">INDEX(driver_dataset!F:F,MATCH(G130,driver_dataset!A:A,0))</f>
        <v>Bike</v>
      </c>
    </row>
    <row r="131">
      <c r="A131" s="3" t="s">
        <v>2841</v>
      </c>
      <c r="B131" s="73">
        <v>45081.0</v>
      </c>
      <c r="C131" s="74">
        <v>45082.0</v>
      </c>
      <c r="D131" s="3">
        <v>11.0</v>
      </c>
      <c r="E131" s="3">
        <v>7.0</v>
      </c>
      <c r="F131" s="3">
        <f t="shared" si="1"/>
        <v>1</v>
      </c>
      <c r="G131" s="78" t="s">
        <v>2637</v>
      </c>
      <c r="H131" s="3" t="str">
        <f t="array" ref="H131">INDEX(driver_dataset!F:F,MATCH(G131,driver_dataset!A:A,0))</f>
        <v>Van</v>
      </c>
    </row>
    <row r="132">
      <c r="A132" s="3" t="s">
        <v>2842</v>
      </c>
      <c r="B132" s="73">
        <v>45081.0</v>
      </c>
      <c r="C132" s="74">
        <v>45085.0</v>
      </c>
      <c r="D132" s="3">
        <v>1.0</v>
      </c>
      <c r="E132" s="3">
        <v>1.0</v>
      </c>
      <c r="F132" s="3">
        <f t="shared" si="1"/>
        <v>4</v>
      </c>
      <c r="G132" s="78" t="s">
        <v>2647</v>
      </c>
      <c r="H132" s="3" t="str">
        <f t="array" ref="H132">INDEX(driver_dataset!F:F,MATCH(G132,driver_dataset!A:A,0))</f>
        <v>Bike</v>
      </c>
    </row>
    <row r="133">
      <c r="A133" s="3" t="s">
        <v>2843</v>
      </c>
      <c r="B133" s="73">
        <v>45081.0</v>
      </c>
      <c r="C133" s="74">
        <v>45083.0</v>
      </c>
      <c r="D133" s="3">
        <v>4.0</v>
      </c>
      <c r="E133" s="3">
        <v>2.0</v>
      </c>
      <c r="F133" s="3">
        <f t="shared" si="1"/>
        <v>2</v>
      </c>
      <c r="G133" s="78" t="s">
        <v>2652</v>
      </c>
      <c r="H133" s="3" t="str">
        <f t="array" ref="H133">INDEX(driver_dataset!F:F,MATCH(G133,driver_dataset!A:A,0))</f>
        <v>Bike</v>
      </c>
    </row>
    <row r="134">
      <c r="A134" s="3" t="s">
        <v>2844</v>
      </c>
      <c r="B134" s="73">
        <v>45081.0</v>
      </c>
      <c r="C134" s="74">
        <v>45084.0</v>
      </c>
      <c r="D134" s="3">
        <v>17.0</v>
      </c>
      <c r="E134" s="3">
        <v>5.0</v>
      </c>
      <c r="F134" s="3">
        <f t="shared" si="1"/>
        <v>3</v>
      </c>
      <c r="G134" s="78" t="s">
        <v>2672</v>
      </c>
      <c r="H134" s="3" t="str">
        <f t="array" ref="H134">INDEX(driver_dataset!F:F,MATCH(G134,driver_dataset!A:A,0))</f>
        <v>Van</v>
      </c>
    </row>
    <row r="135">
      <c r="A135" s="3" t="s">
        <v>2845</v>
      </c>
      <c r="B135" s="73">
        <v>45081.0</v>
      </c>
      <c r="C135" s="74">
        <v>45086.0</v>
      </c>
      <c r="D135" s="3">
        <v>1.0</v>
      </c>
      <c r="E135" s="3">
        <v>1.0</v>
      </c>
      <c r="F135" s="3">
        <f t="shared" si="1"/>
        <v>5</v>
      </c>
      <c r="G135" s="78" t="s">
        <v>2652</v>
      </c>
      <c r="H135" s="3" t="str">
        <f t="array" ref="H135">INDEX(driver_dataset!F:F,MATCH(G135,driver_dataset!A:A,0))</f>
        <v>Bike</v>
      </c>
    </row>
    <row r="136">
      <c r="A136" s="3" t="s">
        <v>2846</v>
      </c>
      <c r="B136" s="73">
        <v>45081.0</v>
      </c>
      <c r="C136" s="74">
        <v>45084.0</v>
      </c>
      <c r="D136" s="3">
        <v>7.0</v>
      </c>
      <c r="E136" s="3">
        <v>5.0</v>
      </c>
      <c r="F136" s="3">
        <f t="shared" si="1"/>
        <v>3</v>
      </c>
      <c r="G136" s="78" t="s">
        <v>2587</v>
      </c>
      <c r="H136" s="3" t="str">
        <f t="array" ref="H136">INDEX(driver_dataset!F:F,MATCH(G136,driver_dataset!A:A,0))</f>
        <v>Van</v>
      </c>
    </row>
    <row r="137">
      <c r="A137" s="3" t="s">
        <v>2847</v>
      </c>
      <c r="B137" s="73">
        <v>45081.0</v>
      </c>
      <c r="C137" s="74">
        <v>45086.0</v>
      </c>
      <c r="D137" s="3">
        <v>2.0</v>
      </c>
      <c r="E137" s="3">
        <v>2.0</v>
      </c>
      <c r="F137" s="3">
        <f t="shared" si="1"/>
        <v>5</v>
      </c>
      <c r="G137" s="78" t="s">
        <v>2547</v>
      </c>
      <c r="H137" s="3" t="str">
        <f t="array" ref="H137">INDEX(driver_dataset!F:F,MATCH(G137,driver_dataset!A:A,0))</f>
        <v>Bike</v>
      </c>
    </row>
    <row r="138">
      <c r="A138" s="3" t="s">
        <v>2848</v>
      </c>
      <c r="B138" s="73">
        <v>45081.0</v>
      </c>
      <c r="C138" s="74">
        <v>45084.0</v>
      </c>
      <c r="D138" s="3">
        <v>6.0</v>
      </c>
      <c r="E138" s="3">
        <v>2.0</v>
      </c>
      <c r="F138" s="3">
        <f t="shared" si="1"/>
        <v>3</v>
      </c>
      <c r="G138" s="78" t="s">
        <v>2602</v>
      </c>
      <c r="H138" s="3" t="str">
        <f t="array" ref="H138">INDEX(driver_dataset!F:F,MATCH(G138,driver_dataset!A:A,0))</f>
        <v>Bike</v>
      </c>
    </row>
    <row r="139">
      <c r="A139" s="3" t="s">
        <v>2849</v>
      </c>
      <c r="B139" s="73">
        <v>45081.0</v>
      </c>
      <c r="C139" s="74">
        <v>45083.0</v>
      </c>
      <c r="D139" s="3">
        <v>16.0</v>
      </c>
      <c r="E139" s="3">
        <v>4.0</v>
      </c>
      <c r="F139" s="3">
        <f t="shared" si="1"/>
        <v>2</v>
      </c>
      <c r="G139" s="78" t="s">
        <v>2587</v>
      </c>
      <c r="H139" s="3" t="str">
        <f t="array" ref="H139">INDEX(driver_dataset!F:F,MATCH(G139,driver_dataset!A:A,0))</f>
        <v>Van</v>
      </c>
    </row>
    <row r="140">
      <c r="A140" s="3" t="s">
        <v>2850</v>
      </c>
      <c r="B140" s="73">
        <v>45081.0</v>
      </c>
      <c r="C140" s="74">
        <v>45085.0</v>
      </c>
      <c r="D140" s="3">
        <v>5.0</v>
      </c>
      <c r="E140" s="3">
        <v>2.0</v>
      </c>
      <c r="F140" s="3">
        <f t="shared" si="1"/>
        <v>4</v>
      </c>
      <c r="G140" s="78" t="s">
        <v>2547</v>
      </c>
      <c r="H140" s="3" t="str">
        <f t="array" ref="H140">INDEX(driver_dataset!F:F,MATCH(G140,driver_dataset!A:A,0))</f>
        <v>Bike</v>
      </c>
    </row>
    <row r="141">
      <c r="A141" s="3" t="s">
        <v>2851</v>
      </c>
      <c r="B141" s="73">
        <v>45081.0</v>
      </c>
      <c r="C141" s="74">
        <v>45082.0</v>
      </c>
      <c r="D141" s="3">
        <v>6.0</v>
      </c>
      <c r="E141" s="3">
        <v>1.0</v>
      </c>
      <c r="F141" s="3">
        <f t="shared" si="1"/>
        <v>1</v>
      </c>
      <c r="G141" s="78" t="s">
        <v>2622</v>
      </c>
      <c r="H141" s="3" t="str">
        <f t="array" ref="H141">INDEX(driver_dataset!F:F,MATCH(G141,driver_dataset!A:A,0))</f>
        <v>Bike</v>
      </c>
    </row>
    <row r="142">
      <c r="A142" s="3" t="s">
        <v>2852</v>
      </c>
      <c r="B142" s="73">
        <v>45081.0</v>
      </c>
      <c r="C142" s="74">
        <v>45083.0</v>
      </c>
      <c r="D142" s="3">
        <v>2.0</v>
      </c>
      <c r="E142" s="3">
        <v>3.0</v>
      </c>
      <c r="F142" s="3">
        <f t="shared" si="1"/>
        <v>2</v>
      </c>
      <c r="G142" s="78" t="s">
        <v>2562</v>
      </c>
      <c r="H142" s="3" t="str">
        <f t="array" ref="H142">INDEX(driver_dataset!F:F,MATCH(G142,driver_dataset!A:A,0))</f>
        <v>Bike</v>
      </c>
    </row>
    <row r="143">
      <c r="A143" s="3" t="s">
        <v>2853</v>
      </c>
      <c r="B143" s="73">
        <v>45081.0</v>
      </c>
      <c r="C143" s="74">
        <v>45086.0</v>
      </c>
      <c r="D143" s="3">
        <v>4.0</v>
      </c>
      <c r="E143" s="3">
        <v>1.0</v>
      </c>
      <c r="F143" s="3">
        <f t="shared" si="1"/>
        <v>5</v>
      </c>
      <c r="G143" s="78" t="s">
        <v>2572</v>
      </c>
      <c r="H143" s="3" t="str">
        <f t="array" ref="H143">INDEX(driver_dataset!F:F,MATCH(G143,driver_dataset!A:A,0))</f>
        <v>Bike</v>
      </c>
    </row>
    <row r="144">
      <c r="A144" s="3" t="s">
        <v>2854</v>
      </c>
      <c r="B144" s="73">
        <v>45081.0</v>
      </c>
      <c r="C144" s="74">
        <v>45083.0</v>
      </c>
      <c r="D144" s="3">
        <v>2.0</v>
      </c>
      <c r="E144" s="3">
        <v>2.0</v>
      </c>
      <c r="F144" s="3">
        <f t="shared" si="1"/>
        <v>2</v>
      </c>
      <c r="G144" s="78" t="s">
        <v>2511</v>
      </c>
      <c r="H144" s="3" t="str">
        <f t="array" ref="H144">INDEX(driver_dataset!F:F,MATCH(G144,driver_dataset!A:A,0))</f>
        <v>Bike</v>
      </c>
    </row>
    <row r="145">
      <c r="A145" s="3" t="s">
        <v>2855</v>
      </c>
      <c r="B145" s="73">
        <v>45081.0</v>
      </c>
      <c r="C145" s="74">
        <v>45083.0</v>
      </c>
      <c r="D145" s="3">
        <v>3.0</v>
      </c>
      <c r="E145" s="3">
        <v>2.0</v>
      </c>
      <c r="F145" s="3">
        <f t="shared" si="1"/>
        <v>2</v>
      </c>
      <c r="G145" s="78" t="s">
        <v>2642</v>
      </c>
      <c r="H145" s="3" t="str">
        <f t="array" ref="H145">INDEX(driver_dataset!F:F,MATCH(G145,driver_dataset!A:A,0))</f>
        <v>Bike</v>
      </c>
    </row>
    <row r="146">
      <c r="A146" s="3" t="s">
        <v>2856</v>
      </c>
      <c r="B146" s="73">
        <v>45081.0</v>
      </c>
      <c r="C146" s="74">
        <v>45085.0</v>
      </c>
      <c r="D146" s="3">
        <v>11.0</v>
      </c>
      <c r="E146" s="3">
        <v>5.0</v>
      </c>
      <c r="F146" s="3">
        <f t="shared" si="1"/>
        <v>4</v>
      </c>
      <c r="G146" s="78" t="s">
        <v>2484</v>
      </c>
      <c r="H146" s="3" t="str">
        <f t="array" ref="H146">INDEX(driver_dataset!F:F,MATCH(G146,driver_dataset!A:A,0))</f>
        <v>Van</v>
      </c>
    </row>
    <row r="147">
      <c r="A147" s="3" t="s">
        <v>2857</v>
      </c>
      <c r="B147" s="73">
        <v>45081.0</v>
      </c>
      <c r="C147" s="74">
        <v>45082.0</v>
      </c>
      <c r="D147" s="3">
        <v>1.0</v>
      </c>
      <c r="E147" s="3">
        <v>2.0</v>
      </c>
      <c r="F147" s="3">
        <f t="shared" si="1"/>
        <v>1</v>
      </c>
      <c r="G147" s="78" t="s">
        <v>2642</v>
      </c>
      <c r="H147" s="3" t="str">
        <f t="array" ref="H147">INDEX(driver_dataset!F:F,MATCH(G147,driver_dataset!A:A,0))</f>
        <v>Bike</v>
      </c>
    </row>
    <row r="148">
      <c r="A148" s="3" t="s">
        <v>2858</v>
      </c>
      <c r="B148" s="73">
        <v>45081.0</v>
      </c>
      <c r="C148" s="74">
        <v>45084.0</v>
      </c>
      <c r="D148" s="3">
        <v>18.0</v>
      </c>
      <c r="E148" s="3">
        <v>9.0</v>
      </c>
      <c r="F148" s="3">
        <f t="shared" si="1"/>
        <v>3</v>
      </c>
      <c r="G148" s="78" t="s">
        <v>2637</v>
      </c>
      <c r="H148" s="3" t="str">
        <f t="array" ref="H148">INDEX(driver_dataset!F:F,MATCH(G148,driver_dataset!A:A,0))</f>
        <v>Van</v>
      </c>
    </row>
    <row r="149">
      <c r="A149" s="3" t="s">
        <v>2859</v>
      </c>
      <c r="B149" s="73">
        <v>45081.0</v>
      </c>
      <c r="C149" s="74">
        <v>45082.0</v>
      </c>
      <c r="D149" s="3">
        <v>4.0</v>
      </c>
      <c r="E149" s="3">
        <v>2.0</v>
      </c>
      <c r="F149" s="3">
        <f t="shared" si="1"/>
        <v>1</v>
      </c>
      <c r="G149" s="78" t="s">
        <v>2511</v>
      </c>
      <c r="H149" s="3" t="str">
        <f t="array" ref="H149">INDEX(driver_dataset!F:F,MATCH(G149,driver_dataset!A:A,0))</f>
        <v>Bike</v>
      </c>
    </row>
    <row r="150">
      <c r="A150" s="3" t="s">
        <v>2860</v>
      </c>
      <c r="B150" s="73">
        <v>45081.0</v>
      </c>
      <c r="C150" s="74">
        <v>45085.0</v>
      </c>
      <c r="D150" s="3">
        <v>2.0</v>
      </c>
      <c r="E150" s="3">
        <v>1.0</v>
      </c>
      <c r="F150" s="3">
        <f t="shared" si="1"/>
        <v>4</v>
      </c>
      <c r="G150" s="78" t="s">
        <v>2642</v>
      </c>
      <c r="H150" s="3" t="str">
        <f t="array" ref="H150">INDEX(driver_dataset!F:F,MATCH(G150,driver_dataset!A:A,0))</f>
        <v>Bike</v>
      </c>
    </row>
    <row r="151">
      <c r="A151" s="3" t="s">
        <v>2861</v>
      </c>
      <c r="B151" s="74">
        <v>45082.0</v>
      </c>
      <c r="C151" s="74">
        <v>45085.0</v>
      </c>
      <c r="D151" s="3">
        <v>6.0</v>
      </c>
      <c r="E151" s="3">
        <v>2.0</v>
      </c>
      <c r="F151" s="3">
        <f t="shared" si="1"/>
        <v>3</v>
      </c>
      <c r="G151" s="78" t="s">
        <v>2577</v>
      </c>
      <c r="H151" s="3" t="str">
        <f t="array" ref="H151">INDEX(driver_dataset!F:F,MATCH(G151,driver_dataset!A:A,0))</f>
        <v>Bike</v>
      </c>
    </row>
    <row r="152">
      <c r="A152" s="3" t="s">
        <v>2862</v>
      </c>
      <c r="B152" s="74">
        <v>45082.0</v>
      </c>
      <c r="C152" s="74">
        <v>45087.0</v>
      </c>
      <c r="D152" s="3">
        <v>2.0</v>
      </c>
      <c r="E152" s="3">
        <v>3.0</v>
      </c>
      <c r="F152" s="3">
        <f t="shared" si="1"/>
        <v>5</v>
      </c>
      <c r="G152" s="78" t="s">
        <v>2622</v>
      </c>
      <c r="H152" s="3" t="str">
        <f t="array" ref="H152">INDEX(driver_dataset!F:F,MATCH(G152,driver_dataset!A:A,0))</f>
        <v>Bike</v>
      </c>
    </row>
    <row r="153">
      <c r="A153" s="3" t="s">
        <v>2863</v>
      </c>
      <c r="B153" s="73">
        <v>45082.0</v>
      </c>
      <c r="C153" s="74">
        <v>45083.0</v>
      </c>
      <c r="D153" s="3">
        <v>2.0</v>
      </c>
      <c r="E153" s="3">
        <v>2.0</v>
      </c>
      <c r="F153" s="3">
        <f t="shared" si="1"/>
        <v>1</v>
      </c>
      <c r="G153" s="78" t="s">
        <v>2511</v>
      </c>
      <c r="H153" s="3" t="str">
        <f t="array" ref="H153">INDEX(driver_dataset!F:F,MATCH(G153,driver_dataset!A:A,0))</f>
        <v>Bike</v>
      </c>
    </row>
    <row r="154">
      <c r="A154" s="3" t="s">
        <v>2864</v>
      </c>
      <c r="B154" s="73">
        <v>45082.0</v>
      </c>
      <c r="C154" s="74">
        <v>45085.0</v>
      </c>
      <c r="D154" s="3">
        <v>2.0</v>
      </c>
      <c r="E154" s="3">
        <v>1.0</v>
      </c>
      <c r="F154" s="3">
        <f t="shared" si="1"/>
        <v>3</v>
      </c>
      <c r="G154" s="78" t="s">
        <v>2567</v>
      </c>
      <c r="H154" s="3" t="str">
        <f t="array" ref="H154">INDEX(driver_dataset!F:F,MATCH(G154,driver_dataset!A:A,0))</f>
        <v>Bike</v>
      </c>
    </row>
    <row r="155">
      <c r="A155" s="3" t="s">
        <v>2865</v>
      </c>
      <c r="B155" s="73">
        <v>45082.0</v>
      </c>
      <c r="C155" s="74">
        <v>45087.0</v>
      </c>
      <c r="D155" s="3">
        <v>3.0</v>
      </c>
      <c r="E155" s="3">
        <v>3.0</v>
      </c>
      <c r="F155" s="3">
        <f t="shared" si="1"/>
        <v>5</v>
      </c>
      <c r="G155" s="78" t="s">
        <v>2490</v>
      </c>
      <c r="H155" s="3" t="str">
        <f t="array" ref="H155">INDEX(driver_dataset!F:F,MATCH(G155,driver_dataset!A:A,0))</f>
        <v>Bike</v>
      </c>
    </row>
    <row r="156">
      <c r="A156" s="3" t="s">
        <v>2866</v>
      </c>
      <c r="B156" s="73">
        <v>45082.0</v>
      </c>
      <c r="C156" s="74">
        <v>45084.0</v>
      </c>
      <c r="D156" s="3">
        <v>1.0</v>
      </c>
      <c r="E156" s="3">
        <v>2.0</v>
      </c>
      <c r="F156" s="3">
        <f t="shared" si="1"/>
        <v>2</v>
      </c>
      <c r="G156" s="78" t="s">
        <v>2490</v>
      </c>
      <c r="H156" s="3" t="str">
        <f t="array" ref="H156">INDEX(driver_dataset!F:F,MATCH(G156,driver_dataset!A:A,0))</f>
        <v>Bike</v>
      </c>
    </row>
    <row r="157">
      <c r="A157" s="3" t="s">
        <v>2867</v>
      </c>
      <c r="B157" s="73">
        <v>45082.0</v>
      </c>
      <c r="C157" s="74">
        <v>45085.0</v>
      </c>
      <c r="D157" s="3">
        <v>1.0</v>
      </c>
      <c r="E157" s="3">
        <v>3.0</v>
      </c>
      <c r="F157" s="3">
        <f t="shared" si="1"/>
        <v>3</v>
      </c>
      <c r="G157" s="78" t="s">
        <v>2562</v>
      </c>
      <c r="H157" s="3" t="str">
        <f t="array" ref="H157">INDEX(driver_dataset!F:F,MATCH(G157,driver_dataset!A:A,0))</f>
        <v>Bike</v>
      </c>
    </row>
    <row r="158">
      <c r="A158" s="3" t="s">
        <v>2868</v>
      </c>
      <c r="B158" s="73">
        <v>45082.0</v>
      </c>
      <c r="C158" s="74">
        <v>45086.0</v>
      </c>
      <c r="D158" s="3">
        <v>7.0</v>
      </c>
      <c r="E158" s="3">
        <v>8.0</v>
      </c>
      <c r="F158" s="3">
        <f t="shared" si="1"/>
        <v>4</v>
      </c>
      <c r="G158" s="78" t="s">
        <v>2607</v>
      </c>
      <c r="H158" s="3" t="str">
        <f t="array" ref="H158">INDEX(driver_dataset!F:F,MATCH(G158,driver_dataset!A:A,0))</f>
        <v>Van</v>
      </c>
    </row>
    <row r="159">
      <c r="A159" s="3" t="s">
        <v>2869</v>
      </c>
      <c r="B159" s="73">
        <v>45082.0</v>
      </c>
      <c r="C159" s="74">
        <v>45085.0</v>
      </c>
      <c r="D159" s="3">
        <v>6.0</v>
      </c>
      <c r="E159" s="3">
        <v>3.0</v>
      </c>
      <c r="F159" s="3">
        <f t="shared" si="1"/>
        <v>3</v>
      </c>
      <c r="G159" s="78" t="s">
        <v>2496</v>
      </c>
      <c r="H159" s="3" t="str">
        <f t="array" ref="H159">INDEX(driver_dataset!F:F,MATCH(G159,driver_dataset!A:A,0))</f>
        <v>Bike</v>
      </c>
    </row>
    <row r="160">
      <c r="A160" s="3" t="s">
        <v>2870</v>
      </c>
      <c r="B160" s="73">
        <v>45082.0</v>
      </c>
      <c r="C160" s="74">
        <v>45083.0</v>
      </c>
      <c r="D160" s="3">
        <v>20.0</v>
      </c>
      <c r="E160" s="3">
        <v>4.0</v>
      </c>
      <c r="F160" s="3">
        <f t="shared" si="1"/>
        <v>1</v>
      </c>
      <c r="G160" s="78" t="s">
        <v>2662</v>
      </c>
      <c r="H160" s="3" t="str">
        <f t="array" ref="H160">INDEX(driver_dataset!F:F,MATCH(G160,driver_dataset!A:A,0))</f>
        <v>Van</v>
      </c>
    </row>
    <row r="161">
      <c r="A161" s="3" t="s">
        <v>2871</v>
      </c>
      <c r="B161" s="73">
        <v>45082.0</v>
      </c>
      <c r="C161" s="74">
        <v>45086.0</v>
      </c>
      <c r="D161" s="3">
        <v>6.0</v>
      </c>
      <c r="E161" s="3">
        <v>1.0</v>
      </c>
      <c r="F161" s="3">
        <f t="shared" si="1"/>
        <v>4</v>
      </c>
      <c r="G161" s="78" t="s">
        <v>2677</v>
      </c>
      <c r="H161" s="3" t="str">
        <f t="array" ref="H161">INDEX(driver_dataset!F:F,MATCH(G161,driver_dataset!A:A,0))</f>
        <v>Bike</v>
      </c>
    </row>
    <row r="162">
      <c r="A162" s="3" t="s">
        <v>2872</v>
      </c>
      <c r="B162" s="73">
        <v>45082.0</v>
      </c>
      <c r="C162" s="74">
        <v>45087.0</v>
      </c>
      <c r="D162" s="3">
        <v>3.0</v>
      </c>
      <c r="E162" s="3">
        <v>2.0</v>
      </c>
      <c r="F162" s="3">
        <f t="shared" si="1"/>
        <v>5</v>
      </c>
      <c r="G162" s="78" t="s">
        <v>2592</v>
      </c>
      <c r="H162" s="3" t="str">
        <f t="array" ref="H162">INDEX(driver_dataset!F:F,MATCH(G162,driver_dataset!A:A,0))</f>
        <v>Bike</v>
      </c>
    </row>
    <row r="163">
      <c r="A163" s="3" t="s">
        <v>2873</v>
      </c>
      <c r="B163" s="73">
        <v>45082.0</v>
      </c>
      <c r="C163" s="74">
        <v>45086.0</v>
      </c>
      <c r="D163" s="3">
        <v>20.0</v>
      </c>
      <c r="E163" s="3">
        <v>6.0</v>
      </c>
      <c r="F163" s="3">
        <f t="shared" si="1"/>
        <v>4</v>
      </c>
      <c r="G163" s="78" t="s">
        <v>2537</v>
      </c>
      <c r="H163" s="3" t="str">
        <f t="array" ref="H163">INDEX(driver_dataset!F:F,MATCH(G163,driver_dataset!A:A,0))</f>
        <v>Van</v>
      </c>
    </row>
    <row r="164">
      <c r="A164" s="3" t="s">
        <v>2874</v>
      </c>
      <c r="B164" s="73">
        <v>45082.0</v>
      </c>
      <c r="C164" s="74">
        <v>45083.0</v>
      </c>
      <c r="D164" s="3">
        <v>5.0</v>
      </c>
      <c r="E164" s="3">
        <v>2.0</v>
      </c>
      <c r="F164" s="3">
        <f t="shared" si="1"/>
        <v>1</v>
      </c>
      <c r="G164" s="78" t="s">
        <v>2577</v>
      </c>
      <c r="H164" s="3" t="str">
        <f t="array" ref="H164">INDEX(driver_dataset!F:F,MATCH(G164,driver_dataset!A:A,0))</f>
        <v>Bike</v>
      </c>
    </row>
    <row r="165">
      <c r="A165" s="3" t="s">
        <v>2875</v>
      </c>
      <c r="B165" s="73">
        <v>45082.0</v>
      </c>
      <c r="C165" s="74">
        <v>45084.0</v>
      </c>
      <c r="D165" s="3">
        <v>12.0</v>
      </c>
      <c r="E165" s="3">
        <v>6.0</v>
      </c>
      <c r="F165" s="3">
        <f t="shared" si="1"/>
        <v>2</v>
      </c>
      <c r="G165" s="78" t="s">
        <v>2537</v>
      </c>
      <c r="H165" s="3" t="str">
        <f t="array" ref="H165">INDEX(driver_dataset!F:F,MATCH(G165,driver_dataset!A:A,0))</f>
        <v>Van</v>
      </c>
    </row>
    <row r="166">
      <c r="A166" s="3" t="s">
        <v>2876</v>
      </c>
      <c r="B166" s="73">
        <v>45082.0</v>
      </c>
      <c r="C166" s="74">
        <v>45084.0</v>
      </c>
      <c r="D166" s="3">
        <v>2.0</v>
      </c>
      <c r="E166" s="3">
        <v>3.0</v>
      </c>
      <c r="F166" s="3">
        <f t="shared" si="1"/>
        <v>2</v>
      </c>
      <c r="G166" s="78" t="s">
        <v>2632</v>
      </c>
      <c r="H166" s="3" t="str">
        <f t="array" ref="H166">INDEX(driver_dataset!F:F,MATCH(G166,driver_dataset!A:A,0))</f>
        <v>Bike</v>
      </c>
    </row>
    <row r="167">
      <c r="A167" s="3" t="s">
        <v>2877</v>
      </c>
      <c r="B167" s="73">
        <v>45082.0</v>
      </c>
      <c r="C167" s="74">
        <v>45084.0</v>
      </c>
      <c r="D167" s="3">
        <v>3.0</v>
      </c>
      <c r="E167" s="3">
        <v>1.0</v>
      </c>
      <c r="F167" s="3">
        <f t="shared" si="1"/>
        <v>2</v>
      </c>
      <c r="G167" s="78" t="s">
        <v>2567</v>
      </c>
      <c r="H167" s="3" t="str">
        <f t="array" ref="H167">INDEX(driver_dataset!F:F,MATCH(G167,driver_dataset!A:A,0))</f>
        <v>Bike</v>
      </c>
    </row>
    <row r="168">
      <c r="A168" s="3" t="s">
        <v>2878</v>
      </c>
      <c r="B168" s="73">
        <v>45082.0</v>
      </c>
      <c r="C168" s="74">
        <v>45083.0</v>
      </c>
      <c r="D168" s="3">
        <v>2.0</v>
      </c>
      <c r="E168" s="3">
        <v>3.0</v>
      </c>
      <c r="F168" s="3">
        <f t="shared" si="1"/>
        <v>1</v>
      </c>
      <c r="G168" s="78" t="s">
        <v>2547</v>
      </c>
      <c r="H168" s="3" t="str">
        <f t="array" ref="H168">INDEX(driver_dataset!F:F,MATCH(G168,driver_dataset!A:A,0))</f>
        <v>Bike</v>
      </c>
    </row>
    <row r="169">
      <c r="A169" s="3" t="s">
        <v>2879</v>
      </c>
      <c r="B169" s="73">
        <v>45082.0</v>
      </c>
      <c r="C169" s="74">
        <v>45086.0</v>
      </c>
      <c r="D169" s="3">
        <v>6.0</v>
      </c>
      <c r="E169" s="3">
        <v>2.0</v>
      </c>
      <c r="F169" s="3">
        <f t="shared" si="1"/>
        <v>4</v>
      </c>
      <c r="G169" s="78" t="s">
        <v>2516</v>
      </c>
      <c r="H169" s="3" t="str">
        <f t="array" ref="H169">INDEX(driver_dataset!F:F,MATCH(G169,driver_dataset!A:A,0))</f>
        <v>Bike</v>
      </c>
    </row>
    <row r="170">
      <c r="A170" s="3" t="s">
        <v>2880</v>
      </c>
      <c r="B170" s="73">
        <v>45082.0</v>
      </c>
      <c r="C170" s="74">
        <v>45084.0</v>
      </c>
      <c r="D170" s="3">
        <v>5.0</v>
      </c>
      <c r="E170" s="3">
        <v>3.0</v>
      </c>
      <c r="F170" s="3">
        <f t="shared" si="1"/>
        <v>2</v>
      </c>
      <c r="G170" s="78" t="s">
        <v>2490</v>
      </c>
      <c r="H170" s="3" t="str">
        <f t="array" ref="H170">INDEX(driver_dataset!F:F,MATCH(G170,driver_dataset!A:A,0))</f>
        <v>Bike</v>
      </c>
    </row>
    <row r="171">
      <c r="A171" s="3" t="s">
        <v>2881</v>
      </c>
      <c r="B171" s="73">
        <v>45082.0</v>
      </c>
      <c r="C171" s="74">
        <v>45083.0</v>
      </c>
      <c r="D171" s="3">
        <v>6.0</v>
      </c>
      <c r="E171" s="3">
        <v>2.0</v>
      </c>
      <c r="F171" s="3">
        <f t="shared" si="1"/>
        <v>1</v>
      </c>
      <c r="G171" s="78" t="s">
        <v>2506</v>
      </c>
      <c r="H171" s="3" t="str">
        <f t="array" ref="H171">INDEX(driver_dataset!F:F,MATCH(G171,driver_dataset!A:A,0))</f>
        <v>Bike</v>
      </c>
    </row>
    <row r="172">
      <c r="A172" s="3" t="s">
        <v>2882</v>
      </c>
      <c r="B172" s="73">
        <v>45082.0</v>
      </c>
      <c r="C172" s="74">
        <v>45086.0</v>
      </c>
      <c r="D172" s="3">
        <v>2.0</v>
      </c>
      <c r="E172" s="3">
        <v>1.0</v>
      </c>
      <c r="F172" s="3">
        <f t="shared" si="1"/>
        <v>4</v>
      </c>
      <c r="G172" s="78" t="s">
        <v>2597</v>
      </c>
      <c r="H172" s="3" t="str">
        <f t="array" ref="H172">INDEX(driver_dataset!F:F,MATCH(G172,driver_dataset!A:A,0))</f>
        <v>Bike</v>
      </c>
    </row>
    <row r="173">
      <c r="A173" s="3" t="s">
        <v>2883</v>
      </c>
      <c r="B173" s="73">
        <v>45082.0</v>
      </c>
      <c r="C173" s="74">
        <v>45086.0</v>
      </c>
      <c r="D173" s="3">
        <v>2.0</v>
      </c>
      <c r="E173" s="3">
        <v>3.0</v>
      </c>
      <c r="F173" s="3">
        <f t="shared" si="1"/>
        <v>4</v>
      </c>
      <c r="G173" s="78" t="s">
        <v>2642</v>
      </c>
      <c r="H173" s="3" t="str">
        <f t="array" ref="H173">INDEX(driver_dataset!F:F,MATCH(G173,driver_dataset!A:A,0))</f>
        <v>Bike</v>
      </c>
    </row>
    <row r="174">
      <c r="A174" s="3" t="s">
        <v>2884</v>
      </c>
      <c r="B174" s="73">
        <v>45082.0</v>
      </c>
      <c r="C174" s="74">
        <v>45087.0</v>
      </c>
      <c r="D174" s="3">
        <v>9.0</v>
      </c>
      <c r="E174" s="3">
        <v>6.0</v>
      </c>
      <c r="F174" s="3">
        <f t="shared" si="1"/>
        <v>5</v>
      </c>
      <c r="G174" s="78" t="s">
        <v>2484</v>
      </c>
      <c r="H174" s="3" t="str">
        <f t="array" ref="H174">INDEX(driver_dataset!F:F,MATCH(G174,driver_dataset!A:A,0))</f>
        <v>Van</v>
      </c>
    </row>
    <row r="175">
      <c r="A175" s="3" t="s">
        <v>2885</v>
      </c>
      <c r="B175" s="74">
        <v>45083.0</v>
      </c>
      <c r="C175" s="74">
        <v>45087.0</v>
      </c>
      <c r="D175" s="3">
        <v>6.0</v>
      </c>
      <c r="E175" s="3">
        <v>1.0</v>
      </c>
      <c r="F175" s="3">
        <f t="shared" si="1"/>
        <v>4</v>
      </c>
      <c r="G175" s="78" t="s">
        <v>2692</v>
      </c>
      <c r="H175" s="3" t="str">
        <f t="array" ref="H175">INDEX(driver_dataset!F:F,MATCH(G175,driver_dataset!A:A,0))</f>
        <v>Bike</v>
      </c>
    </row>
    <row r="176">
      <c r="A176" s="3" t="s">
        <v>2886</v>
      </c>
      <c r="B176" s="73">
        <v>45083.0</v>
      </c>
      <c r="C176" s="74">
        <v>45088.0</v>
      </c>
      <c r="D176" s="3">
        <v>4.0</v>
      </c>
      <c r="E176" s="3">
        <v>1.0</v>
      </c>
      <c r="F176" s="3">
        <f t="shared" si="1"/>
        <v>5</v>
      </c>
      <c r="G176" s="78" t="s">
        <v>2642</v>
      </c>
      <c r="H176" s="3" t="str">
        <f t="array" ref="H176">INDEX(driver_dataset!F:F,MATCH(G176,driver_dataset!A:A,0))</f>
        <v>Bike</v>
      </c>
    </row>
    <row r="177">
      <c r="A177" s="3" t="s">
        <v>2887</v>
      </c>
      <c r="B177" s="73">
        <v>45083.0</v>
      </c>
      <c r="C177" s="74">
        <v>45085.0</v>
      </c>
      <c r="D177" s="3">
        <v>14.0</v>
      </c>
      <c r="E177" s="3">
        <v>6.0</v>
      </c>
      <c r="F177" s="3">
        <f t="shared" si="1"/>
        <v>2</v>
      </c>
      <c r="G177" s="78" t="s">
        <v>2662</v>
      </c>
      <c r="H177" s="3" t="str">
        <f t="array" ref="H177">INDEX(driver_dataset!F:F,MATCH(G177,driver_dataset!A:A,0))</f>
        <v>Van</v>
      </c>
    </row>
    <row r="178">
      <c r="A178" s="3" t="s">
        <v>2888</v>
      </c>
      <c r="B178" s="73">
        <v>45083.0</v>
      </c>
      <c r="C178" s="74">
        <v>45088.0</v>
      </c>
      <c r="D178" s="3">
        <v>5.0</v>
      </c>
      <c r="E178" s="3">
        <v>2.0</v>
      </c>
      <c r="F178" s="3">
        <f t="shared" si="1"/>
        <v>5</v>
      </c>
      <c r="G178" s="78" t="s">
        <v>2542</v>
      </c>
      <c r="H178" s="3" t="str">
        <f t="array" ref="H178">INDEX(driver_dataset!F:F,MATCH(G178,driver_dataset!A:A,0))</f>
        <v>Bike</v>
      </c>
    </row>
    <row r="179">
      <c r="A179" s="3" t="s">
        <v>2889</v>
      </c>
      <c r="B179" s="73">
        <v>45083.0</v>
      </c>
      <c r="C179" s="74">
        <v>45085.0</v>
      </c>
      <c r="D179" s="3">
        <v>18.0</v>
      </c>
      <c r="E179" s="3">
        <v>9.0</v>
      </c>
      <c r="F179" s="3">
        <f t="shared" si="1"/>
        <v>2</v>
      </c>
      <c r="G179" s="78" t="s">
        <v>2537</v>
      </c>
      <c r="H179" s="3" t="str">
        <f t="array" ref="H179">INDEX(driver_dataset!F:F,MATCH(G179,driver_dataset!A:A,0))</f>
        <v>Van</v>
      </c>
    </row>
    <row r="180">
      <c r="A180" s="3" t="s">
        <v>2890</v>
      </c>
      <c r="B180" s="73">
        <v>45083.0</v>
      </c>
      <c r="C180" s="74">
        <v>45087.0</v>
      </c>
      <c r="D180" s="3">
        <v>3.0</v>
      </c>
      <c r="E180" s="3">
        <v>3.0</v>
      </c>
      <c r="F180" s="3">
        <f t="shared" si="1"/>
        <v>4</v>
      </c>
      <c r="G180" s="78" t="s">
        <v>2602</v>
      </c>
      <c r="H180" s="3" t="str">
        <f t="array" ref="H180">INDEX(driver_dataset!F:F,MATCH(G180,driver_dataset!A:A,0))</f>
        <v>Bike</v>
      </c>
    </row>
    <row r="181">
      <c r="A181" s="3" t="s">
        <v>2891</v>
      </c>
      <c r="B181" s="73">
        <v>45083.0</v>
      </c>
      <c r="C181" s="74">
        <v>45088.0</v>
      </c>
      <c r="D181" s="3">
        <v>13.0</v>
      </c>
      <c r="E181" s="3">
        <v>7.0</v>
      </c>
      <c r="F181" s="3">
        <f t="shared" si="1"/>
        <v>5</v>
      </c>
      <c r="G181" s="78" t="s">
        <v>2637</v>
      </c>
      <c r="H181" s="3" t="str">
        <f t="array" ref="H181">INDEX(driver_dataset!F:F,MATCH(G181,driver_dataset!A:A,0))</f>
        <v>Van</v>
      </c>
    </row>
    <row r="182">
      <c r="A182" s="3" t="s">
        <v>2892</v>
      </c>
      <c r="B182" s="73">
        <v>45083.0</v>
      </c>
      <c r="C182" s="74">
        <v>45085.0</v>
      </c>
      <c r="D182" s="3">
        <v>6.0</v>
      </c>
      <c r="E182" s="3">
        <v>3.0</v>
      </c>
      <c r="F182" s="3">
        <f t="shared" si="1"/>
        <v>2</v>
      </c>
      <c r="G182" s="78" t="s">
        <v>2542</v>
      </c>
      <c r="H182" s="3" t="str">
        <f t="array" ref="H182">INDEX(driver_dataset!F:F,MATCH(G182,driver_dataset!A:A,0))</f>
        <v>Bike</v>
      </c>
    </row>
    <row r="183">
      <c r="A183" s="3" t="s">
        <v>2893</v>
      </c>
      <c r="B183" s="73">
        <v>45083.0</v>
      </c>
      <c r="C183" s="74">
        <v>45088.0</v>
      </c>
      <c r="D183" s="3">
        <v>1.0</v>
      </c>
      <c r="E183" s="3">
        <v>3.0</v>
      </c>
      <c r="F183" s="3">
        <f t="shared" si="1"/>
        <v>5</v>
      </c>
      <c r="G183" s="78" t="s">
        <v>2516</v>
      </c>
      <c r="H183" s="3" t="str">
        <f t="array" ref="H183">INDEX(driver_dataset!F:F,MATCH(G183,driver_dataset!A:A,0))</f>
        <v>Bike</v>
      </c>
    </row>
    <row r="184">
      <c r="A184" s="3" t="s">
        <v>2894</v>
      </c>
      <c r="B184" s="73">
        <v>45083.0</v>
      </c>
      <c r="C184" s="74">
        <v>45086.0</v>
      </c>
      <c r="D184" s="3">
        <v>1.0</v>
      </c>
      <c r="E184" s="3">
        <v>2.0</v>
      </c>
      <c r="F184" s="3">
        <f t="shared" si="1"/>
        <v>3</v>
      </c>
      <c r="G184" s="78" t="s">
        <v>2682</v>
      </c>
      <c r="H184" s="3" t="str">
        <f t="array" ref="H184">INDEX(driver_dataset!F:F,MATCH(G184,driver_dataset!A:A,0))</f>
        <v>Bike</v>
      </c>
    </row>
    <row r="185">
      <c r="A185" s="3" t="s">
        <v>2895</v>
      </c>
      <c r="B185" s="73">
        <v>45083.0</v>
      </c>
      <c r="C185" s="74">
        <v>45088.0</v>
      </c>
      <c r="D185" s="3">
        <v>1.0</v>
      </c>
      <c r="E185" s="3">
        <v>3.0</v>
      </c>
      <c r="F185" s="3">
        <f t="shared" si="1"/>
        <v>5</v>
      </c>
      <c r="G185" s="78" t="s">
        <v>2652</v>
      </c>
      <c r="H185" s="3" t="str">
        <f t="array" ref="H185">INDEX(driver_dataset!F:F,MATCH(G185,driver_dataset!A:A,0))</f>
        <v>Bike</v>
      </c>
    </row>
    <row r="186">
      <c r="A186" s="3" t="s">
        <v>2896</v>
      </c>
      <c r="B186" s="73">
        <v>45083.0</v>
      </c>
      <c r="C186" s="74">
        <v>45084.0</v>
      </c>
      <c r="D186" s="3">
        <v>7.0</v>
      </c>
      <c r="E186" s="3">
        <v>7.0</v>
      </c>
      <c r="F186" s="3">
        <f t="shared" si="1"/>
        <v>1</v>
      </c>
      <c r="G186" s="78" t="s">
        <v>2484</v>
      </c>
      <c r="H186" s="3" t="str">
        <f t="array" ref="H186">INDEX(driver_dataset!F:F,MATCH(G186,driver_dataset!A:A,0))</f>
        <v>Van</v>
      </c>
    </row>
    <row r="187">
      <c r="A187" s="3" t="s">
        <v>2897</v>
      </c>
      <c r="B187" s="73">
        <v>45083.0</v>
      </c>
      <c r="C187" s="74">
        <v>45088.0</v>
      </c>
      <c r="D187" s="3">
        <v>14.0</v>
      </c>
      <c r="E187" s="3">
        <v>10.0</v>
      </c>
      <c r="F187" s="3">
        <f t="shared" si="1"/>
        <v>5</v>
      </c>
      <c r="G187" s="78" t="s">
        <v>2484</v>
      </c>
      <c r="H187" s="3" t="str">
        <f t="array" ref="H187">INDEX(driver_dataset!F:F,MATCH(G187,driver_dataset!A:A,0))</f>
        <v>Van</v>
      </c>
    </row>
    <row r="188">
      <c r="A188" s="3" t="s">
        <v>2898</v>
      </c>
      <c r="B188" s="73">
        <v>45083.0</v>
      </c>
      <c r="C188" s="74">
        <v>45085.0</v>
      </c>
      <c r="D188" s="3">
        <v>17.0</v>
      </c>
      <c r="E188" s="3">
        <v>5.0</v>
      </c>
      <c r="F188" s="3">
        <f t="shared" si="1"/>
        <v>2</v>
      </c>
      <c r="G188" s="78" t="s">
        <v>2484</v>
      </c>
      <c r="H188" s="3" t="str">
        <f t="array" ref="H188">INDEX(driver_dataset!F:F,MATCH(G188,driver_dataset!A:A,0))</f>
        <v>Van</v>
      </c>
    </row>
    <row r="189">
      <c r="A189" s="3" t="s">
        <v>2899</v>
      </c>
      <c r="B189" s="73">
        <v>45083.0</v>
      </c>
      <c r="C189" s="74">
        <v>45084.0</v>
      </c>
      <c r="D189" s="3">
        <v>4.0</v>
      </c>
      <c r="E189" s="3">
        <v>2.0</v>
      </c>
      <c r="F189" s="3">
        <f t="shared" si="1"/>
        <v>1</v>
      </c>
      <c r="G189" s="78" t="s">
        <v>2527</v>
      </c>
      <c r="H189" s="3" t="str">
        <f t="array" ref="H189">INDEX(driver_dataset!F:F,MATCH(G189,driver_dataset!A:A,0))</f>
        <v>Bike</v>
      </c>
    </row>
    <row r="190">
      <c r="A190" s="3" t="s">
        <v>2900</v>
      </c>
      <c r="B190" s="73">
        <v>45083.0</v>
      </c>
      <c r="C190" s="74">
        <v>45085.0</v>
      </c>
      <c r="D190" s="3">
        <v>2.0</v>
      </c>
      <c r="E190" s="3">
        <v>1.0</v>
      </c>
      <c r="F190" s="3">
        <f t="shared" si="1"/>
        <v>2</v>
      </c>
      <c r="G190" s="78" t="s">
        <v>2647</v>
      </c>
      <c r="H190" s="3" t="str">
        <f t="array" ref="H190">INDEX(driver_dataset!F:F,MATCH(G190,driver_dataset!A:A,0))</f>
        <v>Bike</v>
      </c>
    </row>
    <row r="191">
      <c r="A191" s="3" t="s">
        <v>2901</v>
      </c>
      <c r="B191" s="73">
        <v>45083.0</v>
      </c>
      <c r="C191" s="74">
        <v>45085.0</v>
      </c>
      <c r="D191" s="3">
        <v>9.0</v>
      </c>
      <c r="E191" s="3">
        <v>6.0</v>
      </c>
      <c r="F191" s="3">
        <f t="shared" si="1"/>
        <v>2</v>
      </c>
      <c r="G191" s="78" t="s">
        <v>2587</v>
      </c>
      <c r="H191" s="3" t="str">
        <f t="array" ref="H191">INDEX(driver_dataset!F:F,MATCH(G191,driver_dataset!A:A,0))</f>
        <v>Van</v>
      </c>
    </row>
    <row r="192">
      <c r="A192" s="3" t="s">
        <v>2902</v>
      </c>
      <c r="B192" s="73">
        <v>45083.0</v>
      </c>
      <c r="C192" s="74">
        <v>45084.0</v>
      </c>
      <c r="D192" s="3">
        <v>11.0</v>
      </c>
      <c r="E192" s="3">
        <v>4.0</v>
      </c>
      <c r="F192" s="3">
        <f t="shared" si="1"/>
        <v>1</v>
      </c>
      <c r="G192" s="78" t="s">
        <v>2484</v>
      </c>
      <c r="H192" s="3" t="str">
        <f t="array" ref="H192">INDEX(driver_dataset!F:F,MATCH(G192,driver_dataset!A:A,0))</f>
        <v>Van</v>
      </c>
    </row>
    <row r="193">
      <c r="A193" s="3" t="s">
        <v>2903</v>
      </c>
      <c r="B193" s="73">
        <v>45083.0</v>
      </c>
      <c r="C193" s="74">
        <v>45087.0</v>
      </c>
      <c r="D193" s="3">
        <v>2.0</v>
      </c>
      <c r="E193" s="3">
        <v>2.0</v>
      </c>
      <c r="F193" s="3">
        <f t="shared" si="1"/>
        <v>4</v>
      </c>
      <c r="G193" s="78" t="s">
        <v>2642</v>
      </c>
      <c r="H193" s="3" t="str">
        <f t="array" ref="H193">INDEX(driver_dataset!F:F,MATCH(G193,driver_dataset!A:A,0))</f>
        <v>Bike</v>
      </c>
    </row>
    <row r="194">
      <c r="A194" s="3" t="s">
        <v>2904</v>
      </c>
      <c r="B194" s="73">
        <v>45083.0</v>
      </c>
      <c r="C194" s="74">
        <v>45084.0</v>
      </c>
      <c r="D194" s="3">
        <v>9.0</v>
      </c>
      <c r="E194" s="3">
        <v>8.0</v>
      </c>
      <c r="F194" s="3">
        <f t="shared" si="1"/>
        <v>1</v>
      </c>
      <c r="G194" s="78" t="s">
        <v>2484</v>
      </c>
      <c r="H194" s="3" t="str">
        <f t="array" ref="H194">INDEX(driver_dataset!F:F,MATCH(G194,driver_dataset!A:A,0))</f>
        <v>Van</v>
      </c>
    </row>
    <row r="195">
      <c r="A195" s="3" t="s">
        <v>2905</v>
      </c>
      <c r="B195" s="73">
        <v>45083.0</v>
      </c>
      <c r="C195" s="74">
        <v>45086.0</v>
      </c>
      <c r="D195" s="3">
        <v>5.0</v>
      </c>
      <c r="E195" s="3">
        <v>1.0</v>
      </c>
      <c r="F195" s="3">
        <f t="shared" si="1"/>
        <v>3</v>
      </c>
      <c r="G195" s="78" t="s">
        <v>2506</v>
      </c>
      <c r="H195" s="3" t="str">
        <f t="array" ref="H195">INDEX(driver_dataset!F:F,MATCH(G195,driver_dataset!A:A,0))</f>
        <v>Bike</v>
      </c>
    </row>
    <row r="196">
      <c r="A196" s="3" t="s">
        <v>2906</v>
      </c>
      <c r="B196" s="73">
        <v>45083.0</v>
      </c>
      <c r="C196" s="74">
        <v>45088.0</v>
      </c>
      <c r="D196" s="3">
        <v>3.0</v>
      </c>
      <c r="E196" s="3">
        <v>3.0</v>
      </c>
      <c r="F196" s="3">
        <f t="shared" si="1"/>
        <v>5</v>
      </c>
      <c r="G196" s="78" t="s">
        <v>2622</v>
      </c>
      <c r="H196" s="3" t="str">
        <f t="array" ref="H196">INDEX(driver_dataset!F:F,MATCH(G196,driver_dataset!A:A,0))</f>
        <v>Bike</v>
      </c>
    </row>
    <row r="197">
      <c r="A197" s="3" t="s">
        <v>2907</v>
      </c>
      <c r="B197" s="73">
        <v>45083.0</v>
      </c>
      <c r="C197" s="74">
        <v>45084.0</v>
      </c>
      <c r="D197" s="3">
        <v>2.0</v>
      </c>
      <c r="E197" s="3">
        <v>2.0</v>
      </c>
      <c r="F197" s="3">
        <f t="shared" si="1"/>
        <v>1</v>
      </c>
      <c r="G197" s="78" t="s">
        <v>2612</v>
      </c>
      <c r="H197" s="3" t="str">
        <f t="array" ref="H197">INDEX(driver_dataset!F:F,MATCH(G197,driver_dataset!A:A,0))</f>
        <v>Bike</v>
      </c>
    </row>
    <row r="198">
      <c r="A198" s="3" t="s">
        <v>2908</v>
      </c>
      <c r="B198" s="73">
        <v>45083.0</v>
      </c>
      <c r="C198" s="74">
        <v>45085.0</v>
      </c>
      <c r="D198" s="3">
        <v>20.0</v>
      </c>
      <c r="E198" s="3">
        <v>5.0</v>
      </c>
      <c r="F198" s="3">
        <f t="shared" si="1"/>
        <v>2</v>
      </c>
      <c r="G198" s="78" t="s">
        <v>2537</v>
      </c>
      <c r="H198" s="3" t="str">
        <f t="array" ref="H198">INDEX(driver_dataset!F:F,MATCH(G198,driver_dataset!A:A,0))</f>
        <v>Van</v>
      </c>
    </row>
    <row r="199">
      <c r="A199" s="3" t="s">
        <v>2909</v>
      </c>
      <c r="B199" s="73">
        <v>45083.0</v>
      </c>
      <c r="C199" s="74">
        <v>45087.0</v>
      </c>
      <c r="D199" s="3">
        <v>20.0</v>
      </c>
      <c r="E199" s="3">
        <v>10.0</v>
      </c>
      <c r="F199" s="3">
        <f t="shared" si="1"/>
        <v>4</v>
      </c>
      <c r="G199" s="78" t="s">
        <v>2607</v>
      </c>
      <c r="H199" s="3" t="str">
        <f t="array" ref="H199">INDEX(driver_dataset!F:F,MATCH(G199,driver_dataset!A:A,0))</f>
        <v>Van</v>
      </c>
    </row>
    <row r="200">
      <c r="A200" s="3" t="s">
        <v>2910</v>
      </c>
      <c r="B200" s="73">
        <v>45083.0</v>
      </c>
      <c r="C200" s="74">
        <v>45088.0</v>
      </c>
      <c r="D200" s="3">
        <v>6.0</v>
      </c>
      <c r="E200" s="3">
        <v>3.0</v>
      </c>
      <c r="F200" s="3">
        <f t="shared" si="1"/>
        <v>5</v>
      </c>
      <c r="G200" s="78" t="s">
        <v>2612</v>
      </c>
      <c r="H200" s="3" t="str">
        <f t="array" ref="H200">INDEX(driver_dataset!F:F,MATCH(G200,driver_dataset!A:A,0))</f>
        <v>Bike</v>
      </c>
    </row>
    <row r="201">
      <c r="A201" s="3" t="s">
        <v>2911</v>
      </c>
      <c r="B201" s="73">
        <v>45083.0</v>
      </c>
      <c r="C201" s="74">
        <v>45088.0</v>
      </c>
      <c r="D201" s="3">
        <v>5.0</v>
      </c>
      <c r="E201" s="3">
        <v>2.0</v>
      </c>
      <c r="F201" s="3">
        <f t="shared" si="1"/>
        <v>5</v>
      </c>
      <c r="G201" s="78" t="s">
        <v>2647</v>
      </c>
      <c r="H201" s="3" t="str">
        <f t="array" ref="H201">INDEX(driver_dataset!F:F,MATCH(G201,driver_dataset!A:A,0))</f>
        <v>Bike</v>
      </c>
    </row>
    <row r="202">
      <c r="A202" s="3" t="s">
        <v>2912</v>
      </c>
      <c r="B202" s="73">
        <v>45083.0</v>
      </c>
      <c r="C202" s="74">
        <v>45086.0</v>
      </c>
      <c r="D202" s="3">
        <v>4.0</v>
      </c>
      <c r="E202" s="3">
        <v>3.0</v>
      </c>
      <c r="F202" s="3">
        <f t="shared" si="1"/>
        <v>3</v>
      </c>
      <c r="G202" s="78" t="s">
        <v>2682</v>
      </c>
      <c r="H202" s="3" t="str">
        <f t="array" ref="H202">INDEX(driver_dataset!F:F,MATCH(G202,driver_dataset!A:A,0))</f>
        <v>Bike</v>
      </c>
    </row>
    <row r="203">
      <c r="A203" s="3" t="s">
        <v>2913</v>
      </c>
      <c r="B203" s="73">
        <v>45083.0</v>
      </c>
      <c r="C203" s="74">
        <v>45086.0</v>
      </c>
      <c r="D203" s="3">
        <v>6.0</v>
      </c>
      <c r="E203" s="3">
        <v>2.0</v>
      </c>
      <c r="F203" s="3">
        <f t="shared" si="1"/>
        <v>3</v>
      </c>
      <c r="G203" s="78" t="s">
        <v>2506</v>
      </c>
      <c r="H203" s="3" t="str">
        <f t="array" ref="H203">INDEX(driver_dataset!F:F,MATCH(G203,driver_dataset!A:A,0))</f>
        <v>Bike</v>
      </c>
    </row>
    <row r="204">
      <c r="A204" s="3" t="s">
        <v>2914</v>
      </c>
      <c r="B204" s="73">
        <v>45083.0</v>
      </c>
      <c r="C204" s="74">
        <v>45085.0</v>
      </c>
      <c r="D204" s="3">
        <v>13.0</v>
      </c>
      <c r="E204" s="3">
        <v>8.0</v>
      </c>
      <c r="F204" s="3">
        <f t="shared" si="1"/>
        <v>2</v>
      </c>
      <c r="G204" s="78" t="s">
        <v>2672</v>
      </c>
      <c r="H204" s="3" t="str">
        <f t="array" ref="H204">INDEX(driver_dataset!F:F,MATCH(G204,driver_dataset!A:A,0))</f>
        <v>Van</v>
      </c>
    </row>
    <row r="205">
      <c r="A205" s="3" t="s">
        <v>2915</v>
      </c>
      <c r="B205" s="73">
        <v>45083.0</v>
      </c>
      <c r="C205" s="74">
        <v>45084.0</v>
      </c>
      <c r="D205" s="3">
        <v>5.0</v>
      </c>
      <c r="E205" s="3">
        <v>3.0</v>
      </c>
      <c r="F205" s="3">
        <f t="shared" si="1"/>
        <v>1</v>
      </c>
      <c r="G205" s="78" t="s">
        <v>2642</v>
      </c>
      <c r="H205" s="3" t="str">
        <f t="array" ref="H205">INDEX(driver_dataset!F:F,MATCH(G205,driver_dataset!A:A,0))</f>
        <v>Bike</v>
      </c>
    </row>
    <row r="206">
      <c r="A206" s="3" t="s">
        <v>2916</v>
      </c>
      <c r="B206" s="73">
        <v>45083.0</v>
      </c>
      <c r="C206" s="74">
        <v>45086.0</v>
      </c>
      <c r="D206" s="3">
        <v>10.0</v>
      </c>
      <c r="E206" s="3">
        <v>9.0</v>
      </c>
      <c r="F206" s="3">
        <f t="shared" si="1"/>
        <v>3</v>
      </c>
      <c r="G206" s="78" t="s">
        <v>2537</v>
      </c>
      <c r="H206" s="3" t="str">
        <f t="array" ref="H206">INDEX(driver_dataset!F:F,MATCH(G206,driver_dataset!A:A,0))</f>
        <v>Van</v>
      </c>
    </row>
    <row r="207">
      <c r="A207" s="3" t="s">
        <v>2917</v>
      </c>
      <c r="B207" s="73">
        <v>45084.0</v>
      </c>
      <c r="C207" s="74">
        <v>45088.0</v>
      </c>
      <c r="D207" s="3">
        <v>2.0</v>
      </c>
      <c r="E207" s="3">
        <v>1.0</v>
      </c>
      <c r="F207" s="3">
        <f t="shared" si="1"/>
        <v>4</v>
      </c>
      <c r="G207" s="78" t="s">
        <v>2490</v>
      </c>
      <c r="H207" s="3" t="str">
        <f t="array" ref="H207">INDEX(driver_dataset!F:F,MATCH(G207,driver_dataset!A:A,0))</f>
        <v>Bike</v>
      </c>
    </row>
    <row r="208">
      <c r="A208" s="3" t="s">
        <v>2918</v>
      </c>
      <c r="B208" s="73">
        <v>45084.0</v>
      </c>
      <c r="C208" s="74">
        <v>45089.0</v>
      </c>
      <c r="D208" s="3">
        <v>2.0</v>
      </c>
      <c r="E208" s="3">
        <v>1.0</v>
      </c>
      <c r="F208" s="3">
        <f t="shared" si="1"/>
        <v>5</v>
      </c>
      <c r="G208" s="78" t="s">
        <v>2597</v>
      </c>
      <c r="H208" s="3" t="str">
        <f t="array" ref="H208">INDEX(driver_dataset!F:F,MATCH(G208,driver_dataset!A:A,0))</f>
        <v>Bike</v>
      </c>
    </row>
    <row r="209">
      <c r="A209" s="3" t="s">
        <v>2919</v>
      </c>
      <c r="B209" s="73">
        <v>45084.0</v>
      </c>
      <c r="C209" s="74">
        <v>45089.0</v>
      </c>
      <c r="D209" s="3">
        <v>1.0</v>
      </c>
      <c r="E209" s="3">
        <v>3.0</v>
      </c>
      <c r="F209" s="3">
        <f t="shared" si="1"/>
        <v>5</v>
      </c>
      <c r="G209" s="78" t="s">
        <v>2567</v>
      </c>
      <c r="H209" s="3" t="str">
        <f t="array" ref="H209">INDEX(driver_dataset!F:F,MATCH(G209,driver_dataset!A:A,0))</f>
        <v>Bike</v>
      </c>
    </row>
    <row r="210">
      <c r="A210" s="3" t="s">
        <v>2920</v>
      </c>
      <c r="B210" s="73">
        <v>45084.0</v>
      </c>
      <c r="C210" s="74">
        <v>45088.0</v>
      </c>
      <c r="D210" s="3">
        <v>6.0</v>
      </c>
      <c r="E210" s="3">
        <v>1.0</v>
      </c>
      <c r="F210" s="3">
        <f t="shared" si="1"/>
        <v>4</v>
      </c>
      <c r="G210" s="78" t="s">
        <v>2562</v>
      </c>
      <c r="H210" s="3" t="str">
        <f t="array" ref="H210">INDEX(driver_dataset!F:F,MATCH(G210,driver_dataset!A:A,0))</f>
        <v>Bike</v>
      </c>
    </row>
    <row r="211">
      <c r="A211" s="3" t="s">
        <v>2921</v>
      </c>
      <c r="B211" s="73">
        <v>45084.0</v>
      </c>
      <c r="C211" s="74">
        <v>45086.0</v>
      </c>
      <c r="D211" s="3">
        <v>18.0</v>
      </c>
      <c r="E211" s="3">
        <v>7.0</v>
      </c>
      <c r="F211" s="3">
        <f t="shared" si="1"/>
        <v>2</v>
      </c>
      <c r="G211" s="78" t="s">
        <v>2697</v>
      </c>
      <c r="H211" s="3" t="str">
        <f t="array" ref="H211">INDEX(driver_dataset!F:F,MATCH(G211,driver_dataset!A:A,0))</f>
        <v>Van</v>
      </c>
    </row>
    <row r="212">
      <c r="A212" s="3" t="s">
        <v>2922</v>
      </c>
      <c r="B212" s="73">
        <v>45084.0</v>
      </c>
      <c r="C212" s="74">
        <v>45087.0</v>
      </c>
      <c r="D212" s="3">
        <v>1.0</v>
      </c>
      <c r="E212" s="3">
        <v>3.0</v>
      </c>
      <c r="F212" s="3">
        <f t="shared" si="1"/>
        <v>3</v>
      </c>
      <c r="G212" s="78" t="s">
        <v>2692</v>
      </c>
      <c r="H212" s="3" t="str">
        <f t="array" ref="H212">INDEX(driver_dataset!F:F,MATCH(G212,driver_dataset!A:A,0))</f>
        <v>Bike</v>
      </c>
    </row>
    <row r="213">
      <c r="A213" s="3" t="s">
        <v>2923</v>
      </c>
      <c r="B213" s="73">
        <v>45084.0</v>
      </c>
      <c r="C213" s="74">
        <v>45086.0</v>
      </c>
      <c r="D213" s="3">
        <v>8.0</v>
      </c>
      <c r="E213" s="3">
        <v>9.0</v>
      </c>
      <c r="F213" s="3">
        <f t="shared" si="1"/>
        <v>2</v>
      </c>
      <c r="G213" s="78" t="s">
        <v>2672</v>
      </c>
      <c r="H213" s="3" t="str">
        <f t="array" ref="H213">INDEX(driver_dataset!F:F,MATCH(G213,driver_dataset!A:A,0))</f>
        <v>Van</v>
      </c>
    </row>
    <row r="214">
      <c r="A214" s="3" t="s">
        <v>2924</v>
      </c>
      <c r="B214" s="73">
        <v>45084.0</v>
      </c>
      <c r="C214" s="74">
        <v>45085.0</v>
      </c>
      <c r="D214" s="3">
        <v>1.0</v>
      </c>
      <c r="E214" s="3">
        <v>2.0</v>
      </c>
      <c r="F214" s="3">
        <f t="shared" si="1"/>
        <v>1</v>
      </c>
      <c r="G214" s="78" t="s">
        <v>2496</v>
      </c>
      <c r="H214" s="3" t="str">
        <f t="array" ref="H214">INDEX(driver_dataset!F:F,MATCH(G214,driver_dataset!A:A,0))</f>
        <v>Bike</v>
      </c>
    </row>
    <row r="215">
      <c r="A215" s="3" t="s">
        <v>2925</v>
      </c>
      <c r="B215" s="73">
        <v>45084.0</v>
      </c>
      <c r="C215" s="74">
        <v>45087.0</v>
      </c>
      <c r="D215" s="3">
        <v>5.0</v>
      </c>
      <c r="E215" s="3">
        <v>1.0</v>
      </c>
      <c r="F215" s="3">
        <f t="shared" si="1"/>
        <v>3</v>
      </c>
      <c r="G215" s="78" t="s">
        <v>2542</v>
      </c>
      <c r="H215" s="3" t="str">
        <f t="array" ref="H215">INDEX(driver_dataset!F:F,MATCH(G215,driver_dataset!A:A,0))</f>
        <v>Bike</v>
      </c>
    </row>
    <row r="216">
      <c r="A216" s="3" t="s">
        <v>2926</v>
      </c>
      <c r="B216" s="73">
        <v>45084.0</v>
      </c>
      <c r="C216" s="74">
        <v>45087.0</v>
      </c>
      <c r="D216" s="3">
        <v>14.0</v>
      </c>
      <c r="E216" s="3">
        <v>9.0</v>
      </c>
      <c r="F216" s="3">
        <f t="shared" si="1"/>
        <v>3</v>
      </c>
      <c r="G216" s="78" t="s">
        <v>2627</v>
      </c>
      <c r="H216" s="3" t="str">
        <f t="array" ref="H216">INDEX(driver_dataset!F:F,MATCH(G216,driver_dataset!A:A,0))</f>
        <v>Van</v>
      </c>
    </row>
    <row r="217">
      <c r="A217" s="3" t="s">
        <v>2927</v>
      </c>
      <c r="B217" s="73">
        <v>45084.0</v>
      </c>
      <c r="C217" s="74">
        <v>45089.0</v>
      </c>
      <c r="D217" s="3">
        <v>4.0</v>
      </c>
      <c r="E217" s="3">
        <v>2.0</v>
      </c>
      <c r="F217" s="3">
        <f t="shared" si="1"/>
        <v>5</v>
      </c>
      <c r="G217" s="78" t="s">
        <v>2511</v>
      </c>
      <c r="H217" s="3" t="str">
        <f t="array" ref="H217">INDEX(driver_dataset!F:F,MATCH(G217,driver_dataset!A:A,0))</f>
        <v>Bike</v>
      </c>
    </row>
    <row r="218">
      <c r="A218" s="3" t="s">
        <v>2928</v>
      </c>
      <c r="B218" s="73">
        <v>45084.0</v>
      </c>
      <c r="C218" s="74">
        <v>45089.0</v>
      </c>
      <c r="D218" s="3">
        <v>1.0</v>
      </c>
      <c r="E218" s="3">
        <v>3.0</v>
      </c>
      <c r="F218" s="3">
        <f t="shared" si="1"/>
        <v>5</v>
      </c>
      <c r="G218" s="78" t="s">
        <v>2572</v>
      </c>
      <c r="H218" s="3" t="str">
        <f t="array" ref="H218">INDEX(driver_dataset!F:F,MATCH(G218,driver_dataset!A:A,0))</f>
        <v>Bike</v>
      </c>
    </row>
    <row r="219">
      <c r="A219" s="3" t="s">
        <v>2929</v>
      </c>
      <c r="B219" s="73">
        <v>45084.0</v>
      </c>
      <c r="C219" s="74">
        <v>45086.0</v>
      </c>
      <c r="D219" s="3">
        <v>17.0</v>
      </c>
      <c r="E219" s="3">
        <v>7.0</v>
      </c>
      <c r="F219" s="3">
        <f t="shared" si="1"/>
        <v>2</v>
      </c>
      <c r="G219" s="78" t="s">
        <v>2587</v>
      </c>
      <c r="H219" s="3" t="str">
        <f t="array" ref="H219">INDEX(driver_dataset!F:F,MATCH(G219,driver_dataset!A:A,0))</f>
        <v>Van</v>
      </c>
    </row>
    <row r="220">
      <c r="A220" s="3" t="s">
        <v>2930</v>
      </c>
      <c r="B220" s="73">
        <v>45084.0</v>
      </c>
      <c r="C220" s="74">
        <v>45087.0</v>
      </c>
      <c r="D220" s="3">
        <v>2.0</v>
      </c>
      <c r="E220" s="3">
        <v>1.0</v>
      </c>
      <c r="F220" s="3">
        <f t="shared" si="1"/>
        <v>3</v>
      </c>
      <c r="G220" s="78" t="s">
        <v>2557</v>
      </c>
      <c r="H220" s="3" t="str">
        <f t="array" ref="H220">INDEX(driver_dataset!F:F,MATCH(G220,driver_dataset!A:A,0))</f>
        <v>Bike</v>
      </c>
    </row>
    <row r="221">
      <c r="A221" s="3" t="s">
        <v>2931</v>
      </c>
      <c r="B221" s="73">
        <v>45084.0</v>
      </c>
      <c r="C221" s="74">
        <v>45085.0</v>
      </c>
      <c r="D221" s="3">
        <v>1.0</v>
      </c>
      <c r="E221" s="3">
        <v>1.0</v>
      </c>
      <c r="F221" s="3">
        <f t="shared" si="1"/>
        <v>1</v>
      </c>
      <c r="G221" s="78" t="s">
        <v>2652</v>
      </c>
      <c r="H221" s="3" t="str">
        <f t="array" ref="H221">INDEX(driver_dataset!F:F,MATCH(G221,driver_dataset!A:A,0))</f>
        <v>Bike</v>
      </c>
    </row>
    <row r="222">
      <c r="A222" s="3" t="s">
        <v>2932</v>
      </c>
      <c r="B222" s="73">
        <v>45084.0</v>
      </c>
      <c r="C222" s="74">
        <v>45088.0</v>
      </c>
      <c r="D222" s="3">
        <v>15.0</v>
      </c>
      <c r="E222" s="3">
        <v>5.0</v>
      </c>
      <c r="F222" s="3">
        <f t="shared" si="1"/>
        <v>4</v>
      </c>
      <c r="G222" s="78" t="s">
        <v>2587</v>
      </c>
      <c r="H222" s="3" t="str">
        <f t="array" ref="H222">INDEX(driver_dataset!F:F,MATCH(G222,driver_dataset!A:A,0))</f>
        <v>Van</v>
      </c>
    </row>
    <row r="223">
      <c r="A223" s="3" t="s">
        <v>2933</v>
      </c>
      <c r="B223" s="73">
        <v>45084.0</v>
      </c>
      <c r="C223" s="74">
        <v>45088.0</v>
      </c>
      <c r="D223" s="3">
        <v>2.0</v>
      </c>
      <c r="E223" s="3">
        <v>3.0</v>
      </c>
      <c r="F223" s="3">
        <f t="shared" si="1"/>
        <v>4</v>
      </c>
      <c r="G223" s="78" t="s">
        <v>2516</v>
      </c>
      <c r="H223" s="3" t="str">
        <f t="array" ref="H223">INDEX(driver_dataset!F:F,MATCH(G223,driver_dataset!A:A,0))</f>
        <v>Bike</v>
      </c>
    </row>
    <row r="224">
      <c r="A224" s="3" t="s">
        <v>2934</v>
      </c>
      <c r="B224" s="73">
        <v>45084.0</v>
      </c>
      <c r="C224" s="74">
        <v>45085.0</v>
      </c>
      <c r="D224" s="3">
        <v>3.0</v>
      </c>
      <c r="E224" s="3">
        <v>2.0</v>
      </c>
      <c r="F224" s="3">
        <f t="shared" si="1"/>
        <v>1</v>
      </c>
      <c r="G224" s="78" t="s">
        <v>2612</v>
      </c>
      <c r="H224" s="3" t="str">
        <f t="array" ref="H224">INDEX(driver_dataset!F:F,MATCH(G224,driver_dataset!A:A,0))</f>
        <v>Bike</v>
      </c>
    </row>
    <row r="225">
      <c r="A225" s="3" t="s">
        <v>2935</v>
      </c>
      <c r="B225" s="73">
        <v>45084.0</v>
      </c>
      <c r="C225" s="74">
        <v>45087.0</v>
      </c>
      <c r="D225" s="3">
        <v>3.0</v>
      </c>
      <c r="E225" s="3">
        <v>1.0</v>
      </c>
      <c r="F225" s="3">
        <f t="shared" si="1"/>
        <v>3</v>
      </c>
      <c r="G225" s="78" t="s">
        <v>2692</v>
      </c>
      <c r="H225" s="3" t="str">
        <f t="array" ref="H225">INDEX(driver_dataset!F:F,MATCH(G225,driver_dataset!A:A,0))</f>
        <v>Bike</v>
      </c>
    </row>
    <row r="226">
      <c r="A226" s="3" t="s">
        <v>2936</v>
      </c>
      <c r="B226" s="73">
        <v>45084.0</v>
      </c>
      <c r="C226" s="74">
        <v>45086.0</v>
      </c>
      <c r="D226" s="3">
        <v>4.0</v>
      </c>
      <c r="E226" s="3">
        <v>3.0</v>
      </c>
      <c r="F226" s="3">
        <f t="shared" si="1"/>
        <v>2</v>
      </c>
      <c r="G226" s="78" t="s">
        <v>2647</v>
      </c>
      <c r="H226" s="3" t="str">
        <f t="array" ref="H226">INDEX(driver_dataset!F:F,MATCH(G226,driver_dataset!A:A,0))</f>
        <v>Bike</v>
      </c>
    </row>
    <row r="227">
      <c r="A227" s="3" t="s">
        <v>2937</v>
      </c>
      <c r="B227" s="73">
        <v>45084.0</v>
      </c>
      <c r="C227" s="74">
        <v>45088.0</v>
      </c>
      <c r="D227" s="3">
        <v>5.0</v>
      </c>
      <c r="E227" s="3">
        <v>3.0</v>
      </c>
      <c r="F227" s="3">
        <f t="shared" si="1"/>
        <v>4</v>
      </c>
      <c r="G227" s="78" t="s">
        <v>2647</v>
      </c>
      <c r="H227" s="3" t="str">
        <f t="array" ref="H227">INDEX(driver_dataset!F:F,MATCH(G227,driver_dataset!A:A,0))</f>
        <v>Bike</v>
      </c>
    </row>
    <row r="228">
      <c r="A228" s="3" t="s">
        <v>2938</v>
      </c>
      <c r="B228" s="73">
        <v>45084.0</v>
      </c>
      <c r="C228" s="74">
        <v>45085.0</v>
      </c>
      <c r="D228" s="3">
        <v>2.0</v>
      </c>
      <c r="E228" s="3">
        <v>1.0</v>
      </c>
      <c r="F228" s="3">
        <f t="shared" si="1"/>
        <v>1</v>
      </c>
      <c r="G228" s="78" t="s">
        <v>2652</v>
      </c>
      <c r="H228" s="3" t="str">
        <f t="array" ref="H228">INDEX(driver_dataset!F:F,MATCH(G228,driver_dataset!A:A,0))</f>
        <v>Bike</v>
      </c>
    </row>
    <row r="229">
      <c r="A229" s="3" t="s">
        <v>2939</v>
      </c>
      <c r="B229" s="73">
        <v>45084.0</v>
      </c>
      <c r="C229" s="74">
        <v>45086.0</v>
      </c>
      <c r="D229" s="3">
        <v>5.0</v>
      </c>
      <c r="E229" s="3">
        <v>2.0</v>
      </c>
      <c r="F229" s="3">
        <f t="shared" si="1"/>
        <v>2</v>
      </c>
      <c r="G229" s="78" t="s">
        <v>2547</v>
      </c>
      <c r="H229" s="3" t="str">
        <f t="array" ref="H229">INDEX(driver_dataset!F:F,MATCH(G229,driver_dataset!A:A,0))</f>
        <v>Bike</v>
      </c>
    </row>
    <row r="230">
      <c r="A230" s="3" t="s">
        <v>2940</v>
      </c>
      <c r="B230" s="73">
        <v>45084.0</v>
      </c>
      <c r="C230" s="74">
        <v>45085.0</v>
      </c>
      <c r="D230" s="3">
        <v>4.0</v>
      </c>
      <c r="E230" s="3">
        <v>2.0</v>
      </c>
      <c r="F230" s="3">
        <f t="shared" si="1"/>
        <v>1</v>
      </c>
      <c r="G230" s="78" t="s">
        <v>2677</v>
      </c>
      <c r="H230" s="3" t="str">
        <f t="array" ref="H230">INDEX(driver_dataset!F:F,MATCH(G230,driver_dataset!A:A,0))</f>
        <v>Bike</v>
      </c>
    </row>
    <row r="231">
      <c r="A231" s="3" t="s">
        <v>2941</v>
      </c>
      <c r="B231" s="73">
        <v>45084.0</v>
      </c>
      <c r="C231" s="74">
        <v>45086.0</v>
      </c>
      <c r="D231" s="3">
        <v>3.0</v>
      </c>
      <c r="E231" s="3">
        <v>1.0</v>
      </c>
      <c r="F231" s="3">
        <f t="shared" si="1"/>
        <v>2</v>
      </c>
      <c r="G231" s="78" t="s">
        <v>2490</v>
      </c>
      <c r="H231" s="3" t="str">
        <f t="array" ref="H231">INDEX(driver_dataset!F:F,MATCH(G231,driver_dataset!A:A,0))</f>
        <v>Bike</v>
      </c>
    </row>
    <row r="232">
      <c r="A232" s="3" t="s">
        <v>2942</v>
      </c>
      <c r="B232" s="73">
        <v>45084.0</v>
      </c>
      <c r="C232" s="74">
        <v>45087.0</v>
      </c>
      <c r="D232" s="3">
        <v>5.0</v>
      </c>
      <c r="E232" s="3">
        <v>1.0</v>
      </c>
      <c r="F232" s="3">
        <f t="shared" si="1"/>
        <v>3</v>
      </c>
      <c r="G232" s="78" t="s">
        <v>2617</v>
      </c>
      <c r="H232" s="3" t="str">
        <f t="array" ref="H232">INDEX(driver_dataset!F:F,MATCH(G232,driver_dataset!A:A,0))</f>
        <v>Bike</v>
      </c>
    </row>
    <row r="233">
      <c r="A233" s="3" t="s">
        <v>2943</v>
      </c>
      <c r="B233" s="73">
        <v>45084.0</v>
      </c>
      <c r="C233" s="74">
        <v>45088.0</v>
      </c>
      <c r="D233" s="3">
        <v>5.0</v>
      </c>
      <c r="E233" s="3">
        <v>2.0</v>
      </c>
      <c r="F233" s="3">
        <f t="shared" si="1"/>
        <v>4</v>
      </c>
      <c r="G233" s="78" t="s">
        <v>2687</v>
      </c>
      <c r="H233" s="3" t="str">
        <f t="array" ref="H233">INDEX(driver_dataset!F:F,MATCH(G233,driver_dataset!A:A,0))</f>
        <v>Bike</v>
      </c>
    </row>
    <row r="234">
      <c r="A234" s="3" t="s">
        <v>2944</v>
      </c>
      <c r="B234" s="73">
        <v>45084.0</v>
      </c>
      <c r="C234" s="74">
        <v>45085.0</v>
      </c>
      <c r="D234" s="3">
        <v>3.0</v>
      </c>
      <c r="E234" s="3">
        <v>1.0</v>
      </c>
      <c r="F234" s="3">
        <f t="shared" si="1"/>
        <v>1</v>
      </c>
      <c r="G234" s="78" t="s">
        <v>2677</v>
      </c>
      <c r="H234" s="3" t="str">
        <f t="array" ref="H234">INDEX(driver_dataset!F:F,MATCH(G234,driver_dataset!A:A,0))</f>
        <v>Bike</v>
      </c>
    </row>
    <row r="235">
      <c r="A235" s="3" t="s">
        <v>2945</v>
      </c>
      <c r="B235" s="73">
        <v>45084.0</v>
      </c>
      <c r="C235" s="74">
        <v>45087.0</v>
      </c>
      <c r="D235" s="3">
        <v>3.0</v>
      </c>
      <c r="E235" s="3">
        <v>3.0</v>
      </c>
      <c r="F235" s="3">
        <f t="shared" si="1"/>
        <v>3</v>
      </c>
      <c r="G235" s="78" t="s">
        <v>2557</v>
      </c>
      <c r="H235" s="3" t="str">
        <f t="array" ref="H235">INDEX(driver_dataset!F:F,MATCH(G235,driver_dataset!A:A,0))</f>
        <v>Bike</v>
      </c>
    </row>
    <row r="236">
      <c r="A236" s="3" t="s">
        <v>2946</v>
      </c>
      <c r="B236" s="73">
        <v>45084.0</v>
      </c>
      <c r="C236" s="74">
        <v>45086.0</v>
      </c>
      <c r="D236" s="3">
        <v>20.0</v>
      </c>
      <c r="E236" s="3">
        <v>4.0</v>
      </c>
      <c r="F236" s="3">
        <f t="shared" si="1"/>
        <v>2</v>
      </c>
      <c r="G236" s="78" t="s">
        <v>2537</v>
      </c>
      <c r="H236" s="3" t="str">
        <f t="array" ref="H236">INDEX(driver_dataset!F:F,MATCH(G236,driver_dataset!A:A,0))</f>
        <v>Van</v>
      </c>
    </row>
    <row r="237">
      <c r="A237" s="3" t="s">
        <v>2947</v>
      </c>
      <c r="B237" s="73">
        <v>45084.0</v>
      </c>
      <c r="C237" s="74">
        <v>45089.0</v>
      </c>
      <c r="D237" s="3">
        <v>8.0</v>
      </c>
      <c r="E237" s="3">
        <v>10.0</v>
      </c>
      <c r="F237" s="3">
        <f t="shared" si="1"/>
        <v>5</v>
      </c>
      <c r="G237" s="78" t="s">
        <v>2484</v>
      </c>
      <c r="H237" s="3" t="str">
        <f t="array" ref="H237">INDEX(driver_dataset!F:F,MATCH(G237,driver_dataset!A:A,0))</f>
        <v>Van</v>
      </c>
    </row>
    <row r="238">
      <c r="A238" s="3" t="s">
        <v>2948</v>
      </c>
      <c r="B238" s="73">
        <v>45084.0</v>
      </c>
      <c r="C238" s="74">
        <v>45086.0</v>
      </c>
      <c r="D238" s="3">
        <v>7.0</v>
      </c>
      <c r="E238" s="3">
        <v>7.0</v>
      </c>
      <c r="F238" s="3">
        <f t="shared" si="1"/>
        <v>2</v>
      </c>
      <c r="G238" s="78" t="s">
        <v>2537</v>
      </c>
      <c r="H238" s="3" t="str">
        <f t="array" ref="H238">INDEX(driver_dataset!F:F,MATCH(G238,driver_dataset!A:A,0))</f>
        <v>Van</v>
      </c>
    </row>
    <row r="239">
      <c r="A239" s="3" t="s">
        <v>2949</v>
      </c>
      <c r="B239" s="73">
        <v>45084.0</v>
      </c>
      <c r="C239" s="74">
        <v>45086.0</v>
      </c>
      <c r="D239" s="3">
        <v>1.0</v>
      </c>
      <c r="E239" s="3">
        <v>1.0</v>
      </c>
      <c r="F239" s="3">
        <f t="shared" si="1"/>
        <v>2</v>
      </c>
      <c r="G239" s="78" t="s">
        <v>2506</v>
      </c>
      <c r="H239" s="3" t="str">
        <f t="array" ref="H239">INDEX(driver_dataset!F:F,MATCH(G239,driver_dataset!A:A,0))</f>
        <v>Bike</v>
      </c>
    </row>
    <row r="240">
      <c r="A240" s="3" t="s">
        <v>2950</v>
      </c>
      <c r="B240" s="73">
        <v>45084.0</v>
      </c>
      <c r="C240" s="74">
        <v>45086.0</v>
      </c>
      <c r="D240" s="3">
        <v>11.0</v>
      </c>
      <c r="E240" s="3">
        <v>4.0</v>
      </c>
      <c r="F240" s="3">
        <f t="shared" si="1"/>
        <v>2</v>
      </c>
      <c r="G240" s="78" t="s">
        <v>2607</v>
      </c>
      <c r="H240" s="3" t="str">
        <f t="array" ref="H240">INDEX(driver_dataset!F:F,MATCH(G240,driver_dataset!A:A,0))</f>
        <v>Van</v>
      </c>
    </row>
    <row r="241">
      <c r="A241" s="3" t="s">
        <v>2951</v>
      </c>
      <c r="B241" s="73">
        <v>45084.0</v>
      </c>
      <c r="C241" s="74">
        <v>45086.0</v>
      </c>
      <c r="D241" s="3">
        <v>2.0</v>
      </c>
      <c r="E241" s="3">
        <v>2.0</v>
      </c>
      <c r="F241" s="3">
        <f t="shared" si="1"/>
        <v>2</v>
      </c>
      <c r="G241" s="78" t="s">
        <v>2490</v>
      </c>
      <c r="H241" s="3" t="str">
        <f t="array" ref="H241">INDEX(driver_dataset!F:F,MATCH(G241,driver_dataset!A:A,0))</f>
        <v>Bike</v>
      </c>
    </row>
    <row r="242">
      <c r="A242" s="3" t="s">
        <v>2952</v>
      </c>
      <c r="B242" s="74">
        <v>45085.0</v>
      </c>
      <c r="C242" s="74">
        <v>45090.0</v>
      </c>
      <c r="D242" s="3">
        <v>5.0</v>
      </c>
      <c r="E242" s="3">
        <v>1.0</v>
      </c>
      <c r="F242" s="3">
        <f t="shared" si="1"/>
        <v>5</v>
      </c>
      <c r="G242" s="78" t="s">
        <v>2532</v>
      </c>
      <c r="H242" s="3" t="str">
        <f t="array" ref="H242">INDEX(driver_dataset!F:F,MATCH(G242,driver_dataset!A:A,0))</f>
        <v>Bike</v>
      </c>
    </row>
    <row r="243">
      <c r="A243" s="3" t="s">
        <v>2953</v>
      </c>
      <c r="B243" s="73">
        <v>45085.0</v>
      </c>
      <c r="C243" s="74">
        <v>45090.0</v>
      </c>
      <c r="D243" s="3">
        <v>35.0</v>
      </c>
      <c r="E243" s="3">
        <v>22.0</v>
      </c>
      <c r="F243" s="3">
        <f t="shared" si="1"/>
        <v>5</v>
      </c>
      <c r="G243" s="78" t="s">
        <v>2521</v>
      </c>
      <c r="H243" s="3" t="str">
        <f t="array" ref="H243">INDEX(driver_dataset!F:F,MATCH(G243,driver_dataset!A:A,0))</f>
        <v>Truck</v>
      </c>
    </row>
    <row r="244">
      <c r="A244" s="3" t="s">
        <v>2954</v>
      </c>
      <c r="B244" s="73">
        <v>45085.0</v>
      </c>
      <c r="C244" s="74">
        <v>45088.0</v>
      </c>
      <c r="D244" s="3">
        <v>3.0</v>
      </c>
      <c r="E244" s="3">
        <v>2.0</v>
      </c>
      <c r="F244" s="3">
        <f t="shared" si="1"/>
        <v>3</v>
      </c>
      <c r="G244" s="78" t="s">
        <v>2642</v>
      </c>
      <c r="H244" s="3" t="str">
        <f t="array" ref="H244">INDEX(driver_dataset!F:F,MATCH(G244,driver_dataset!A:A,0))</f>
        <v>Bike</v>
      </c>
    </row>
    <row r="245">
      <c r="A245" s="3" t="s">
        <v>2955</v>
      </c>
      <c r="B245" s="73">
        <v>45085.0</v>
      </c>
      <c r="C245" s="74">
        <v>45086.0</v>
      </c>
      <c r="D245" s="3">
        <v>18.0</v>
      </c>
      <c r="E245" s="3">
        <v>4.0</v>
      </c>
      <c r="F245" s="3">
        <f t="shared" si="1"/>
        <v>1</v>
      </c>
      <c r="G245" s="78" t="s">
        <v>2607</v>
      </c>
      <c r="H245" s="3" t="str">
        <f t="array" ref="H245">INDEX(driver_dataset!F:F,MATCH(G245,driver_dataset!A:A,0))</f>
        <v>Van</v>
      </c>
    </row>
    <row r="246">
      <c r="A246" s="3" t="s">
        <v>2956</v>
      </c>
      <c r="B246" s="73">
        <v>45085.0</v>
      </c>
      <c r="C246" s="74">
        <v>45088.0</v>
      </c>
      <c r="D246" s="3">
        <v>18.0</v>
      </c>
      <c r="E246" s="3">
        <v>5.0</v>
      </c>
      <c r="F246" s="3">
        <f t="shared" si="1"/>
        <v>3</v>
      </c>
      <c r="G246" s="78" t="s">
        <v>2637</v>
      </c>
      <c r="H246" s="3" t="str">
        <f t="array" ref="H246">INDEX(driver_dataset!F:F,MATCH(G246,driver_dataset!A:A,0))</f>
        <v>Van</v>
      </c>
    </row>
    <row r="247">
      <c r="A247" s="3" t="s">
        <v>2957</v>
      </c>
      <c r="B247" s="73">
        <v>45085.0</v>
      </c>
      <c r="C247" s="74">
        <v>45088.0</v>
      </c>
      <c r="D247" s="3">
        <v>9.0</v>
      </c>
      <c r="E247" s="3">
        <v>10.0</v>
      </c>
      <c r="F247" s="3">
        <f t="shared" si="1"/>
        <v>3</v>
      </c>
      <c r="G247" s="78" t="s">
        <v>2537</v>
      </c>
      <c r="H247" s="3" t="str">
        <f t="array" ref="H247">INDEX(driver_dataset!F:F,MATCH(G247,driver_dataset!A:A,0))</f>
        <v>Van</v>
      </c>
    </row>
    <row r="248">
      <c r="A248" s="3" t="s">
        <v>2958</v>
      </c>
      <c r="B248" s="73">
        <v>45085.0</v>
      </c>
      <c r="C248" s="74">
        <v>45086.0</v>
      </c>
      <c r="D248" s="3">
        <v>3.0</v>
      </c>
      <c r="E248" s="3">
        <v>3.0</v>
      </c>
      <c r="F248" s="3">
        <f t="shared" si="1"/>
        <v>1</v>
      </c>
      <c r="G248" s="78" t="s">
        <v>2572</v>
      </c>
      <c r="H248" s="3" t="str">
        <f t="array" ref="H248">INDEX(driver_dataset!F:F,MATCH(G248,driver_dataset!A:A,0))</f>
        <v>Bike</v>
      </c>
    </row>
    <row r="249">
      <c r="A249" s="3" t="s">
        <v>2959</v>
      </c>
      <c r="B249" s="73">
        <v>45085.0</v>
      </c>
      <c r="C249" s="74">
        <v>45089.0</v>
      </c>
      <c r="D249" s="3">
        <v>1.0</v>
      </c>
      <c r="E249" s="3">
        <v>2.0</v>
      </c>
      <c r="F249" s="3">
        <f t="shared" si="1"/>
        <v>4</v>
      </c>
      <c r="G249" s="78" t="s">
        <v>2527</v>
      </c>
      <c r="H249" s="3" t="str">
        <f t="array" ref="H249">INDEX(driver_dataset!F:F,MATCH(G249,driver_dataset!A:A,0))</f>
        <v>Bike</v>
      </c>
    </row>
    <row r="250">
      <c r="A250" s="3" t="s">
        <v>2960</v>
      </c>
      <c r="B250" s="73">
        <v>45085.0</v>
      </c>
      <c r="C250" s="74">
        <v>45087.0</v>
      </c>
      <c r="D250" s="3">
        <v>5.0</v>
      </c>
      <c r="E250" s="3">
        <v>3.0</v>
      </c>
      <c r="F250" s="3">
        <f t="shared" si="1"/>
        <v>2</v>
      </c>
      <c r="G250" s="78" t="s">
        <v>2532</v>
      </c>
      <c r="H250" s="3" t="str">
        <f t="array" ref="H250">INDEX(driver_dataset!F:F,MATCH(G250,driver_dataset!A:A,0))</f>
        <v>Bike</v>
      </c>
    </row>
    <row r="251">
      <c r="A251" s="3" t="s">
        <v>2961</v>
      </c>
      <c r="B251" s="73">
        <v>45085.0</v>
      </c>
      <c r="C251" s="74">
        <v>45088.0</v>
      </c>
      <c r="D251" s="3">
        <v>43.0</v>
      </c>
      <c r="E251" s="3">
        <v>16.0</v>
      </c>
      <c r="F251" s="3">
        <f t="shared" si="1"/>
        <v>3</v>
      </c>
      <c r="G251" s="78" t="s">
        <v>2521</v>
      </c>
      <c r="H251" s="3" t="str">
        <f t="array" ref="H251">INDEX(driver_dataset!F:F,MATCH(G251,driver_dataset!A:A,0))</f>
        <v>Truck</v>
      </c>
    </row>
    <row r="252">
      <c r="A252" s="3" t="s">
        <v>2962</v>
      </c>
      <c r="B252" s="73">
        <v>45085.0</v>
      </c>
      <c r="C252" s="74">
        <v>45088.0</v>
      </c>
      <c r="D252" s="3">
        <v>6.0</v>
      </c>
      <c r="E252" s="3">
        <v>2.0</v>
      </c>
      <c r="F252" s="3">
        <f t="shared" si="1"/>
        <v>3</v>
      </c>
      <c r="G252" s="78" t="s">
        <v>2567</v>
      </c>
      <c r="H252" s="3" t="str">
        <f t="array" ref="H252">INDEX(driver_dataset!F:F,MATCH(G252,driver_dataset!A:A,0))</f>
        <v>Bike</v>
      </c>
    </row>
    <row r="253">
      <c r="A253" s="3" t="s">
        <v>2963</v>
      </c>
      <c r="B253" s="73">
        <v>45085.0</v>
      </c>
      <c r="C253" s="74">
        <v>45088.0</v>
      </c>
      <c r="D253" s="3">
        <v>1.0</v>
      </c>
      <c r="E253" s="3">
        <v>1.0</v>
      </c>
      <c r="F253" s="3">
        <f t="shared" si="1"/>
        <v>3</v>
      </c>
      <c r="G253" s="78" t="s">
        <v>2547</v>
      </c>
      <c r="H253" s="3" t="str">
        <f t="array" ref="H253">INDEX(driver_dataset!F:F,MATCH(G253,driver_dataset!A:A,0))</f>
        <v>Bike</v>
      </c>
    </row>
    <row r="254">
      <c r="A254" s="3" t="s">
        <v>2964</v>
      </c>
      <c r="B254" s="73">
        <v>45085.0</v>
      </c>
      <c r="C254" s="74">
        <v>45090.0</v>
      </c>
      <c r="D254" s="3">
        <v>58.0</v>
      </c>
      <c r="E254" s="3">
        <v>12.0</v>
      </c>
      <c r="F254" s="3">
        <f t="shared" si="1"/>
        <v>5</v>
      </c>
      <c r="G254" s="78" t="s">
        <v>2521</v>
      </c>
      <c r="H254" s="3" t="str">
        <f t="array" ref="H254">INDEX(driver_dataset!F:F,MATCH(G254,driver_dataset!A:A,0))</f>
        <v>Truck</v>
      </c>
    </row>
    <row r="255">
      <c r="A255" s="3" t="s">
        <v>2965</v>
      </c>
      <c r="B255" s="73">
        <v>45085.0</v>
      </c>
      <c r="C255" s="74">
        <v>45087.0</v>
      </c>
      <c r="D255" s="3">
        <v>6.0</v>
      </c>
      <c r="E255" s="3">
        <v>1.0</v>
      </c>
      <c r="F255" s="3">
        <f t="shared" si="1"/>
        <v>2</v>
      </c>
      <c r="G255" s="78" t="s">
        <v>2622</v>
      </c>
      <c r="H255" s="3" t="str">
        <f t="array" ref="H255">INDEX(driver_dataset!F:F,MATCH(G255,driver_dataset!A:A,0))</f>
        <v>Bike</v>
      </c>
    </row>
    <row r="256">
      <c r="A256" s="3" t="s">
        <v>2966</v>
      </c>
      <c r="B256" s="73">
        <v>45085.0</v>
      </c>
      <c r="C256" s="74">
        <v>45089.0</v>
      </c>
      <c r="D256" s="3">
        <v>15.0</v>
      </c>
      <c r="E256" s="3">
        <v>8.0</v>
      </c>
      <c r="F256" s="3">
        <f t="shared" si="1"/>
        <v>4</v>
      </c>
      <c r="G256" s="78" t="s">
        <v>2537</v>
      </c>
      <c r="H256" s="3" t="str">
        <f t="array" ref="H256">INDEX(driver_dataset!F:F,MATCH(G256,driver_dataset!A:A,0))</f>
        <v>Van</v>
      </c>
    </row>
    <row r="257">
      <c r="A257" s="3" t="s">
        <v>2967</v>
      </c>
      <c r="B257" s="73">
        <v>45085.0</v>
      </c>
      <c r="C257" s="74">
        <v>45087.0</v>
      </c>
      <c r="D257" s="3">
        <v>2.0</v>
      </c>
      <c r="E257" s="3">
        <v>1.0</v>
      </c>
      <c r="F257" s="3">
        <f t="shared" si="1"/>
        <v>2</v>
      </c>
      <c r="G257" s="78" t="s">
        <v>2602</v>
      </c>
      <c r="H257" s="3" t="str">
        <f t="array" ref="H257">INDEX(driver_dataset!F:F,MATCH(G257,driver_dataset!A:A,0))</f>
        <v>Bike</v>
      </c>
    </row>
    <row r="258">
      <c r="A258" s="3" t="s">
        <v>2968</v>
      </c>
      <c r="B258" s="73">
        <v>45085.0</v>
      </c>
      <c r="C258" s="74">
        <v>45089.0</v>
      </c>
      <c r="D258" s="3">
        <v>4.0</v>
      </c>
      <c r="E258" s="3">
        <v>2.0</v>
      </c>
      <c r="F258" s="3">
        <f t="shared" si="1"/>
        <v>4</v>
      </c>
      <c r="G258" s="78" t="s">
        <v>2506</v>
      </c>
      <c r="H258" s="3" t="str">
        <f t="array" ref="H258">INDEX(driver_dataset!F:F,MATCH(G258,driver_dataset!A:A,0))</f>
        <v>Bike</v>
      </c>
    </row>
    <row r="259">
      <c r="A259" s="3" t="s">
        <v>2969</v>
      </c>
      <c r="B259" s="73">
        <v>45085.0</v>
      </c>
      <c r="C259" s="74">
        <v>45087.0</v>
      </c>
      <c r="D259" s="3">
        <v>8.0</v>
      </c>
      <c r="E259" s="3">
        <v>7.0</v>
      </c>
      <c r="F259" s="3">
        <f t="shared" si="1"/>
        <v>2</v>
      </c>
      <c r="G259" s="78" t="s">
        <v>2537</v>
      </c>
      <c r="H259" s="3" t="str">
        <f t="array" ref="H259">INDEX(driver_dataset!F:F,MATCH(G259,driver_dataset!A:A,0))</f>
        <v>Van</v>
      </c>
    </row>
    <row r="260">
      <c r="A260" s="3" t="s">
        <v>2970</v>
      </c>
      <c r="B260" s="73">
        <v>45085.0</v>
      </c>
      <c r="C260" s="74">
        <v>45089.0</v>
      </c>
      <c r="D260" s="3">
        <v>1.0</v>
      </c>
      <c r="E260" s="3">
        <v>3.0</v>
      </c>
      <c r="F260" s="3">
        <f t="shared" si="1"/>
        <v>4</v>
      </c>
      <c r="G260" s="78" t="s">
        <v>2567</v>
      </c>
      <c r="H260" s="3" t="str">
        <f t="array" ref="H260">INDEX(driver_dataset!F:F,MATCH(G260,driver_dataset!A:A,0))</f>
        <v>Bike</v>
      </c>
    </row>
    <row r="261">
      <c r="A261" s="3" t="s">
        <v>2971</v>
      </c>
      <c r="B261" s="73">
        <v>45085.0</v>
      </c>
      <c r="C261" s="74">
        <v>45088.0</v>
      </c>
      <c r="D261" s="3">
        <v>18.0</v>
      </c>
      <c r="E261" s="3">
        <v>4.0</v>
      </c>
      <c r="F261" s="3">
        <f t="shared" si="1"/>
        <v>3</v>
      </c>
      <c r="G261" s="78" t="s">
        <v>2627</v>
      </c>
      <c r="H261" s="3" t="str">
        <f t="array" ref="H261">INDEX(driver_dataset!F:F,MATCH(G261,driver_dataset!A:A,0))</f>
        <v>Van</v>
      </c>
    </row>
    <row r="262">
      <c r="A262" s="3" t="s">
        <v>2972</v>
      </c>
      <c r="B262" s="73">
        <v>45085.0</v>
      </c>
      <c r="C262" s="74">
        <v>45086.0</v>
      </c>
      <c r="D262" s="3">
        <v>9.0</v>
      </c>
      <c r="E262" s="3">
        <v>9.0</v>
      </c>
      <c r="F262" s="3">
        <f t="shared" si="1"/>
        <v>1</v>
      </c>
      <c r="G262" s="78" t="s">
        <v>2667</v>
      </c>
      <c r="H262" s="3" t="str">
        <f t="array" ref="H262">INDEX(driver_dataset!F:F,MATCH(G262,driver_dataset!A:A,0))</f>
        <v>Van</v>
      </c>
    </row>
    <row r="263">
      <c r="A263" s="3" t="s">
        <v>2973</v>
      </c>
      <c r="B263" s="73">
        <v>45085.0</v>
      </c>
      <c r="C263" s="74">
        <v>45088.0</v>
      </c>
      <c r="D263" s="3">
        <v>5.0</v>
      </c>
      <c r="E263" s="3">
        <v>1.0</v>
      </c>
      <c r="F263" s="3">
        <f t="shared" si="1"/>
        <v>3</v>
      </c>
      <c r="G263" s="78" t="s">
        <v>2506</v>
      </c>
      <c r="H263" s="3" t="str">
        <f t="array" ref="H263">INDEX(driver_dataset!F:F,MATCH(G263,driver_dataset!A:A,0))</f>
        <v>Bike</v>
      </c>
    </row>
    <row r="264">
      <c r="A264" s="3" t="s">
        <v>2974</v>
      </c>
      <c r="B264" s="73">
        <v>45085.0</v>
      </c>
      <c r="C264" s="74">
        <v>45089.0</v>
      </c>
      <c r="D264" s="3">
        <v>24.0</v>
      </c>
      <c r="E264" s="3">
        <v>11.0</v>
      </c>
      <c r="F264" s="3">
        <f t="shared" si="1"/>
        <v>4</v>
      </c>
      <c r="G264" s="78" t="s">
        <v>2521</v>
      </c>
      <c r="H264" s="3" t="str">
        <f t="array" ref="H264">INDEX(driver_dataset!F:F,MATCH(G264,driver_dataset!A:A,0))</f>
        <v>Truck</v>
      </c>
    </row>
    <row r="265">
      <c r="A265" s="3" t="s">
        <v>2975</v>
      </c>
      <c r="B265" s="73">
        <v>45085.0</v>
      </c>
      <c r="C265" s="74">
        <v>45090.0</v>
      </c>
      <c r="D265" s="3">
        <v>5.0</v>
      </c>
      <c r="E265" s="3">
        <v>2.0</v>
      </c>
      <c r="F265" s="3">
        <f t="shared" si="1"/>
        <v>5</v>
      </c>
      <c r="G265" s="78" t="s">
        <v>2597</v>
      </c>
      <c r="H265" s="3" t="str">
        <f t="array" ref="H265">INDEX(driver_dataset!F:F,MATCH(G265,driver_dataset!A:A,0))</f>
        <v>Bike</v>
      </c>
    </row>
    <row r="266">
      <c r="A266" s="3" t="s">
        <v>2976</v>
      </c>
      <c r="B266" s="73">
        <v>45085.0</v>
      </c>
      <c r="C266" s="74">
        <v>45088.0</v>
      </c>
      <c r="D266" s="3">
        <v>12.0</v>
      </c>
      <c r="E266" s="3">
        <v>9.0</v>
      </c>
      <c r="F266" s="3">
        <f t="shared" si="1"/>
        <v>3</v>
      </c>
      <c r="G266" s="78" t="s">
        <v>2667</v>
      </c>
      <c r="H266" s="3" t="str">
        <f t="array" ref="H266">INDEX(driver_dataset!F:F,MATCH(G266,driver_dataset!A:A,0))</f>
        <v>Van</v>
      </c>
    </row>
    <row r="267">
      <c r="A267" s="3" t="s">
        <v>2977</v>
      </c>
      <c r="B267" s="73">
        <v>45085.0</v>
      </c>
      <c r="C267" s="74">
        <v>45086.0</v>
      </c>
      <c r="D267" s="3">
        <v>12.0</v>
      </c>
      <c r="E267" s="3">
        <v>6.0</v>
      </c>
      <c r="F267" s="3">
        <f t="shared" si="1"/>
        <v>1</v>
      </c>
      <c r="G267" s="78" t="s">
        <v>2537</v>
      </c>
      <c r="H267" s="3" t="str">
        <f t="array" ref="H267">INDEX(driver_dataset!F:F,MATCH(G267,driver_dataset!A:A,0))</f>
        <v>Van</v>
      </c>
    </row>
    <row r="268">
      <c r="A268" s="3" t="s">
        <v>2978</v>
      </c>
      <c r="B268" s="73">
        <v>45085.0</v>
      </c>
      <c r="C268" s="74">
        <v>45089.0</v>
      </c>
      <c r="D268" s="3">
        <v>19.0</v>
      </c>
      <c r="E268" s="3">
        <v>4.0</v>
      </c>
      <c r="F268" s="3">
        <f t="shared" si="1"/>
        <v>4</v>
      </c>
      <c r="G268" s="78" t="s">
        <v>2537</v>
      </c>
      <c r="H268" s="3" t="str">
        <f t="array" ref="H268">INDEX(driver_dataset!F:F,MATCH(G268,driver_dataset!A:A,0))</f>
        <v>Van</v>
      </c>
    </row>
    <row r="269">
      <c r="A269" s="3" t="s">
        <v>2979</v>
      </c>
      <c r="B269" s="73">
        <v>45085.0</v>
      </c>
      <c r="C269" s="74">
        <v>45087.0</v>
      </c>
      <c r="D269" s="3">
        <v>1.0</v>
      </c>
      <c r="E269" s="3">
        <v>1.0</v>
      </c>
      <c r="F269" s="3">
        <f t="shared" si="1"/>
        <v>2</v>
      </c>
      <c r="G269" s="78" t="s">
        <v>2496</v>
      </c>
      <c r="H269" s="3" t="str">
        <f t="array" ref="H269">INDEX(driver_dataset!F:F,MATCH(G269,driver_dataset!A:A,0))</f>
        <v>Bike</v>
      </c>
    </row>
    <row r="270">
      <c r="A270" s="3" t="s">
        <v>2980</v>
      </c>
      <c r="B270" s="73">
        <v>45085.0</v>
      </c>
      <c r="C270" s="74">
        <v>45089.0</v>
      </c>
      <c r="D270" s="3">
        <v>43.0</v>
      </c>
      <c r="E270" s="3">
        <v>22.0</v>
      </c>
      <c r="F270" s="3">
        <f t="shared" si="1"/>
        <v>4</v>
      </c>
      <c r="G270" s="78" t="s">
        <v>2521</v>
      </c>
      <c r="H270" s="3" t="str">
        <f t="array" ref="H270">INDEX(driver_dataset!F:F,MATCH(G270,driver_dataset!A:A,0))</f>
        <v>Truck</v>
      </c>
    </row>
    <row r="271">
      <c r="A271" s="3" t="s">
        <v>2981</v>
      </c>
      <c r="B271" s="73">
        <v>45085.0</v>
      </c>
      <c r="C271" s="74">
        <v>45086.0</v>
      </c>
      <c r="D271" s="3">
        <v>1.0</v>
      </c>
      <c r="E271" s="3">
        <v>3.0</v>
      </c>
      <c r="F271" s="3">
        <f t="shared" si="1"/>
        <v>1</v>
      </c>
      <c r="G271" s="78" t="s">
        <v>2577</v>
      </c>
      <c r="H271" s="3" t="str">
        <f t="array" ref="H271">INDEX(driver_dataset!F:F,MATCH(G271,driver_dataset!A:A,0))</f>
        <v>Bike</v>
      </c>
    </row>
    <row r="272">
      <c r="A272" s="3" t="s">
        <v>2982</v>
      </c>
      <c r="B272" s="73">
        <v>45085.0</v>
      </c>
      <c r="C272" s="74">
        <v>45087.0</v>
      </c>
      <c r="D272" s="3">
        <v>5.0</v>
      </c>
      <c r="E272" s="3">
        <v>1.0</v>
      </c>
      <c r="F272" s="3">
        <f t="shared" si="1"/>
        <v>2</v>
      </c>
      <c r="G272" s="78" t="s">
        <v>2516</v>
      </c>
      <c r="H272" s="3" t="str">
        <f t="array" ref="H272">INDEX(driver_dataset!F:F,MATCH(G272,driver_dataset!A:A,0))</f>
        <v>Bike</v>
      </c>
    </row>
    <row r="273">
      <c r="A273" s="3" t="s">
        <v>2983</v>
      </c>
      <c r="B273" s="74">
        <v>45086.0</v>
      </c>
      <c r="C273" s="74">
        <v>45087.0</v>
      </c>
      <c r="D273" s="3">
        <v>3.0</v>
      </c>
      <c r="E273" s="3">
        <v>2.0</v>
      </c>
      <c r="F273" s="3">
        <f t="shared" si="1"/>
        <v>1</v>
      </c>
      <c r="G273" s="78" t="s">
        <v>2527</v>
      </c>
      <c r="H273" s="3" t="str">
        <f t="array" ref="H273">INDEX(driver_dataset!F:F,MATCH(G273,driver_dataset!A:A,0))</f>
        <v>Bike</v>
      </c>
    </row>
    <row r="274">
      <c r="A274" s="3" t="s">
        <v>2984</v>
      </c>
      <c r="B274" s="74">
        <v>45086.0</v>
      </c>
      <c r="C274" s="74">
        <v>45089.0</v>
      </c>
      <c r="D274" s="3">
        <v>1.0</v>
      </c>
      <c r="E274" s="3">
        <v>2.0</v>
      </c>
      <c r="F274" s="3">
        <f t="shared" si="1"/>
        <v>3</v>
      </c>
      <c r="G274" s="78" t="s">
        <v>2617</v>
      </c>
      <c r="H274" s="3" t="str">
        <f t="array" ref="H274">INDEX(driver_dataset!F:F,MATCH(G274,driver_dataset!A:A,0))</f>
        <v>Bike</v>
      </c>
    </row>
    <row r="275">
      <c r="A275" s="3" t="s">
        <v>2985</v>
      </c>
      <c r="B275" s="73">
        <v>45086.0</v>
      </c>
      <c r="C275" s="74">
        <v>45091.0</v>
      </c>
      <c r="D275" s="3">
        <v>15.0</v>
      </c>
      <c r="E275" s="3">
        <v>9.0</v>
      </c>
      <c r="F275" s="3">
        <f t="shared" si="1"/>
        <v>5</v>
      </c>
      <c r="G275" s="78" t="s">
        <v>2662</v>
      </c>
      <c r="H275" s="3" t="str">
        <f t="array" ref="H275">INDEX(driver_dataset!F:F,MATCH(G275,driver_dataset!A:A,0))</f>
        <v>Van</v>
      </c>
    </row>
    <row r="276">
      <c r="A276" s="3" t="s">
        <v>2986</v>
      </c>
      <c r="B276" s="73">
        <v>45086.0</v>
      </c>
      <c r="C276" s="74">
        <v>45090.0</v>
      </c>
      <c r="D276" s="3">
        <v>13.0</v>
      </c>
      <c r="E276" s="3">
        <v>6.0</v>
      </c>
      <c r="F276" s="3">
        <f t="shared" si="1"/>
        <v>4</v>
      </c>
      <c r="G276" s="78" t="s">
        <v>2537</v>
      </c>
      <c r="H276" s="3" t="str">
        <f t="array" ref="H276">INDEX(driver_dataset!F:F,MATCH(G276,driver_dataset!A:A,0))</f>
        <v>Van</v>
      </c>
    </row>
    <row r="277">
      <c r="A277" s="3" t="s">
        <v>2987</v>
      </c>
      <c r="B277" s="73">
        <v>45086.0</v>
      </c>
      <c r="C277" s="74">
        <v>45088.0</v>
      </c>
      <c r="D277" s="3">
        <v>6.0</v>
      </c>
      <c r="E277" s="3">
        <v>2.0</v>
      </c>
      <c r="F277" s="3">
        <f t="shared" si="1"/>
        <v>2</v>
      </c>
      <c r="G277" s="78" t="s">
        <v>2612</v>
      </c>
      <c r="H277" s="3" t="str">
        <f t="array" ref="H277">INDEX(driver_dataset!F:F,MATCH(G277,driver_dataset!A:A,0))</f>
        <v>Bike</v>
      </c>
    </row>
    <row r="278">
      <c r="A278" s="3" t="s">
        <v>2988</v>
      </c>
      <c r="B278" s="73">
        <v>45086.0</v>
      </c>
      <c r="C278" s="74">
        <v>45090.0</v>
      </c>
      <c r="D278" s="3">
        <v>1.0</v>
      </c>
      <c r="E278" s="3">
        <v>3.0</v>
      </c>
      <c r="F278" s="3">
        <f t="shared" si="1"/>
        <v>4</v>
      </c>
      <c r="G278" s="78" t="s">
        <v>2647</v>
      </c>
      <c r="H278" s="3" t="str">
        <f t="array" ref="H278">INDEX(driver_dataset!F:F,MATCH(G278,driver_dataset!A:A,0))</f>
        <v>Bike</v>
      </c>
    </row>
    <row r="279">
      <c r="A279" s="3" t="s">
        <v>2989</v>
      </c>
      <c r="B279" s="73">
        <v>45086.0</v>
      </c>
      <c r="C279" s="74">
        <v>45087.0</v>
      </c>
      <c r="D279" s="3">
        <v>19.0</v>
      </c>
      <c r="E279" s="3">
        <v>10.0</v>
      </c>
      <c r="F279" s="3">
        <f t="shared" si="1"/>
        <v>1</v>
      </c>
      <c r="G279" s="78" t="s">
        <v>2637</v>
      </c>
      <c r="H279" s="3" t="str">
        <f t="array" ref="H279">INDEX(driver_dataset!F:F,MATCH(G279,driver_dataset!A:A,0))</f>
        <v>Van</v>
      </c>
    </row>
    <row r="280">
      <c r="A280" s="3" t="s">
        <v>2990</v>
      </c>
      <c r="B280" s="73">
        <v>45086.0</v>
      </c>
      <c r="C280" s="74">
        <v>45088.0</v>
      </c>
      <c r="D280" s="3">
        <v>2.0</v>
      </c>
      <c r="E280" s="3">
        <v>2.0</v>
      </c>
      <c r="F280" s="3">
        <f t="shared" si="1"/>
        <v>2</v>
      </c>
      <c r="G280" s="78" t="s">
        <v>2632</v>
      </c>
      <c r="H280" s="3" t="str">
        <f t="array" ref="H280">INDEX(driver_dataset!F:F,MATCH(G280,driver_dataset!A:A,0))</f>
        <v>Bike</v>
      </c>
    </row>
    <row r="281">
      <c r="A281" s="3" t="s">
        <v>2991</v>
      </c>
      <c r="B281" s="73">
        <v>45086.0</v>
      </c>
      <c r="C281" s="74">
        <v>45089.0</v>
      </c>
      <c r="D281" s="3">
        <v>4.0</v>
      </c>
      <c r="E281" s="3">
        <v>2.0</v>
      </c>
      <c r="F281" s="3">
        <f t="shared" si="1"/>
        <v>3</v>
      </c>
      <c r="G281" s="78" t="s">
        <v>2562</v>
      </c>
      <c r="H281" s="3" t="str">
        <f t="array" ref="H281">INDEX(driver_dataset!F:F,MATCH(G281,driver_dataset!A:A,0))</f>
        <v>Bike</v>
      </c>
    </row>
    <row r="282">
      <c r="A282" s="3" t="s">
        <v>2992</v>
      </c>
      <c r="B282" s="73">
        <v>45086.0</v>
      </c>
      <c r="C282" s="74">
        <v>45090.0</v>
      </c>
      <c r="D282" s="3">
        <v>2.0</v>
      </c>
      <c r="E282" s="3">
        <v>2.0</v>
      </c>
      <c r="F282" s="3">
        <f t="shared" si="1"/>
        <v>4</v>
      </c>
      <c r="G282" s="78" t="s">
        <v>2617</v>
      </c>
      <c r="H282" s="3" t="str">
        <f t="array" ref="H282">INDEX(driver_dataset!F:F,MATCH(G282,driver_dataset!A:A,0))</f>
        <v>Bike</v>
      </c>
    </row>
    <row r="283">
      <c r="A283" s="3" t="s">
        <v>2993</v>
      </c>
      <c r="B283" s="73">
        <v>45086.0</v>
      </c>
      <c r="C283" s="74">
        <v>45088.0</v>
      </c>
      <c r="D283" s="3">
        <v>6.0</v>
      </c>
      <c r="E283" s="3">
        <v>1.0</v>
      </c>
      <c r="F283" s="3">
        <f t="shared" si="1"/>
        <v>2</v>
      </c>
      <c r="G283" s="78" t="s">
        <v>2547</v>
      </c>
      <c r="H283" s="3" t="str">
        <f t="array" ref="H283">INDEX(driver_dataset!F:F,MATCH(G283,driver_dataset!A:A,0))</f>
        <v>Bike</v>
      </c>
    </row>
    <row r="284">
      <c r="A284" s="3" t="s">
        <v>2994</v>
      </c>
      <c r="B284" s="73">
        <v>45086.0</v>
      </c>
      <c r="C284" s="74">
        <v>45087.0</v>
      </c>
      <c r="D284" s="3">
        <v>13.0</v>
      </c>
      <c r="E284" s="3">
        <v>8.0</v>
      </c>
      <c r="F284" s="3">
        <f t="shared" si="1"/>
        <v>1</v>
      </c>
      <c r="G284" s="78" t="s">
        <v>2667</v>
      </c>
      <c r="H284" s="3" t="str">
        <f t="array" ref="H284">INDEX(driver_dataset!F:F,MATCH(G284,driver_dataset!A:A,0))</f>
        <v>Van</v>
      </c>
    </row>
    <row r="285">
      <c r="A285" s="3" t="s">
        <v>2995</v>
      </c>
      <c r="B285" s="73">
        <v>45086.0</v>
      </c>
      <c r="C285" s="74">
        <v>45087.0</v>
      </c>
      <c r="D285" s="3">
        <v>11.0</v>
      </c>
      <c r="E285" s="3">
        <v>7.0</v>
      </c>
      <c r="F285" s="3">
        <f t="shared" si="1"/>
        <v>1</v>
      </c>
      <c r="G285" s="78" t="s">
        <v>2662</v>
      </c>
      <c r="H285" s="3" t="str">
        <f t="array" ref="H285">INDEX(driver_dataset!F:F,MATCH(G285,driver_dataset!A:A,0))</f>
        <v>Van</v>
      </c>
    </row>
    <row r="286">
      <c r="A286" s="3" t="s">
        <v>2996</v>
      </c>
      <c r="B286" s="73">
        <v>45086.0</v>
      </c>
      <c r="C286" s="74">
        <v>45090.0</v>
      </c>
      <c r="D286" s="3">
        <v>5.0</v>
      </c>
      <c r="E286" s="3">
        <v>1.0</v>
      </c>
      <c r="F286" s="3">
        <f t="shared" si="1"/>
        <v>4</v>
      </c>
      <c r="G286" s="78" t="s">
        <v>2692</v>
      </c>
      <c r="H286" s="3" t="str">
        <f t="array" ref="H286">INDEX(driver_dataset!F:F,MATCH(G286,driver_dataset!A:A,0))</f>
        <v>Bike</v>
      </c>
    </row>
    <row r="287">
      <c r="A287" s="3" t="s">
        <v>2997</v>
      </c>
      <c r="B287" s="73">
        <v>45086.0</v>
      </c>
      <c r="C287" s="74">
        <v>45089.0</v>
      </c>
      <c r="D287" s="3">
        <v>1.0</v>
      </c>
      <c r="E287" s="3">
        <v>1.0</v>
      </c>
      <c r="F287" s="3">
        <f t="shared" si="1"/>
        <v>3</v>
      </c>
      <c r="G287" s="78" t="s">
        <v>2567</v>
      </c>
      <c r="H287" s="3" t="str">
        <f t="array" ref="H287">INDEX(driver_dataset!F:F,MATCH(G287,driver_dataset!A:A,0))</f>
        <v>Bike</v>
      </c>
    </row>
    <row r="288">
      <c r="A288" s="3" t="s">
        <v>2998</v>
      </c>
      <c r="B288" s="73">
        <v>45086.0</v>
      </c>
      <c r="C288" s="74">
        <v>45090.0</v>
      </c>
      <c r="D288" s="3">
        <v>4.0</v>
      </c>
      <c r="E288" s="3">
        <v>2.0</v>
      </c>
      <c r="F288" s="3">
        <f t="shared" si="1"/>
        <v>4</v>
      </c>
      <c r="G288" s="78" t="s">
        <v>2557</v>
      </c>
      <c r="H288" s="3" t="str">
        <f t="array" ref="H288">INDEX(driver_dataset!F:F,MATCH(G288,driver_dataset!A:A,0))</f>
        <v>Bike</v>
      </c>
    </row>
    <row r="289">
      <c r="A289" s="3" t="s">
        <v>2999</v>
      </c>
      <c r="B289" s="73">
        <v>45086.0</v>
      </c>
      <c r="C289" s="74">
        <v>45091.0</v>
      </c>
      <c r="D289" s="3">
        <v>11.0</v>
      </c>
      <c r="E289" s="3">
        <v>4.0</v>
      </c>
      <c r="F289" s="3">
        <f t="shared" si="1"/>
        <v>5</v>
      </c>
      <c r="G289" s="78" t="s">
        <v>2697</v>
      </c>
      <c r="H289" s="3" t="str">
        <f t="array" ref="H289">INDEX(driver_dataset!F:F,MATCH(G289,driver_dataset!A:A,0))</f>
        <v>Van</v>
      </c>
    </row>
    <row r="290">
      <c r="A290" s="3" t="s">
        <v>3000</v>
      </c>
      <c r="B290" s="73">
        <v>45086.0</v>
      </c>
      <c r="C290" s="74">
        <v>45087.0</v>
      </c>
      <c r="D290" s="3">
        <v>6.0</v>
      </c>
      <c r="E290" s="3">
        <v>1.0</v>
      </c>
      <c r="F290" s="3">
        <f t="shared" si="1"/>
        <v>1</v>
      </c>
      <c r="G290" s="78" t="s">
        <v>2617</v>
      </c>
      <c r="H290" s="3" t="str">
        <f t="array" ref="H290">INDEX(driver_dataset!F:F,MATCH(G290,driver_dataset!A:A,0))</f>
        <v>Bike</v>
      </c>
    </row>
    <row r="291">
      <c r="A291" s="3" t="s">
        <v>3001</v>
      </c>
      <c r="B291" s="73">
        <v>45086.0</v>
      </c>
      <c r="C291" s="74">
        <v>45088.0</v>
      </c>
      <c r="D291" s="3">
        <v>4.0</v>
      </c>
      <c r="E291" s="3">
        <v>2.0</v>
      </c>
      <c r="F291" s="3">
        <f t="shared" si="1"/>
        <v>2</v>
      </c>
      <c r="G291" s="78" t="s">
        <v>2506</v>
      </c>
      <c r="H291" s="3" t="str">
        <f t="array" ref="H291">INDEX(driver_dataset!F:F,MATCH(G291,driver_dataset!A:A,0))</f>
        <v>Bike</v>
      </c>
    </row>
    <row r="292">
      <c r="A292" s="3" t="s">
        <v>3002</v>
      </c>
      <c r="B292" s="73">
        <v>45086.0</v>
      </c>
      <c r="C292" s="74">
        <v>45089.0</v>
      </c>
      <c r="D292" s="3">
        <v>6.0</v>
      </c>
      <c r="E292" s="3">
        <v>1.0</v>
      </c>
      <c r="F292" s="3">
        <f t="shared" si="1"/>
        <v>3</v>
      </c>
      <c r="G292" s="78" t="s">
        <v>2506</v>
      </c>
      <c r="H292" s="3" t="str">
        <f t="array" ref="H292">INDEX(driver_dataset!F:F,MATCH(G292,driver_dataset!A:A,0))</f>
        <v>Bike</v>
      </c>
    </row>
    <row r="293">
      <c r="A293" s="3" t="s">
        <v>3003</v>
      </c>
      <c r="B293" s="73">
        <v>45086.0</v>
      </c>
      <c r="C293" s="74">
        <v>45088.0</v>
      </c>
      <c r="D293" s="3">
        <v>11.0</v>
      </c>
      <c r="E293" s="3">
        <v>10.0</v>
      </c>
      <c r="F293" s="3">
        <f t="shared" si="1"/>
        <v>2</v>
      </c>
      <c r="G293" s="78" t="s">
        <v>2607</v>
      </c>
      <c r="H293" s="3" t="str">
        <f t="array" ref="H293">INDEX(driver_dataset!F:F,MATCH(G293,driver_dataset!A:A,0))</f>
        <v>Van</v>
      </c>
    </row>
    <row r="294">
      <c r="A294" s="3" t="s">
        <v>3004</v>
      </c>
      <c r="B294" s="73">
        <v>45086.0</v>
      </c>
      <c r="C294" s="74">
        <v>45088.0</v>
      </c>
      <c r="D294" s="3">
        <v>17.0</v>
      </c>
      <c r="E294" s="3">
        <v>5.0</v>
      </c>
      <c r="F294" s="3">
        <f t="shared" si="1"/>
        <v>2</v>
      </c>
      <c r="G294" s="78" t="s">
        <v>2537</v>
      </c>
      <c r="H294" s="3" t="str">
        <f t="array" ref="H294">INDEX(driver_dataset!F:F,MATCH(G294,driver_dataset!A:A,0))</f>
        <v>Van</v>
      </c>
    </row>
    <row r="295">
      <c r="A295" s="3" t="s">
        <v>3005</v>
      </c>
      <c r="B295" s="73">
        <v>45086.0</v>
      </c>
      <c r="C295" s="74">
        <v>45087.0</v>
      </c>
      <c r="D295" s="3">
        <v>6.0</v>
      </c>
      <c r="E295" s="3">
        <v>1.0</v>
      </c>
      <c r="F295" s="3">
        <f t="shared" si="1"/>
        <v>1</v>
      </c>
      <c r="G295" s="78" t="s">
        <v>2516</v>
      </c>
      <c r="H295" s="3" t="str">
        <f t="array" ref="H295">INDEX(driver_dataset!F:F,MATCH(G295,driver_dataset!A:A,0))</f>
        <v>Bike</v>
      </c>
    </row>
    <row r="296">
      <c r="A296" s="3" t="s">
        <v>3006</v>
      </c>
      <c r="B296" s="73">
        <v>45086.0</v>
      </c>
      <c r="C296" s="74">
        <v>45090.0</v>
      </c>
      <c r="D296" s="3">
        <v>6.0</v>
      </c>
      <c r="E296" s="3">
        <v>2.0</v>
      </c>
      <c r="F296" s="3">
        <f t="shared" si="1"/>
        <v>4</v>
      </c>
      <c r="G296" s="78" t="s">
        <v>2622</v>
      </c>
      <c r="H296" s="3" t="str">
        <f t="array" ref="H296">INDEX(driver_dataset!F:F,MATCH(G296,driver_dataset!A:A,0))</f>
        <v>Bike</v>
      </c>
    </row>
    <row r="297">
      <c r="A297" s="3" t="s">
        <v>3007</v>
      </c>
      <c r="B297" s="73">
        <v>45086.0</v>
      </c>
      <c r="C297" s="74">
        <v>45090.0</v>
      </c>
      <c r="D297" s="3">
        <v>3.0</v>
      </c>
      <c r="E297" s="3">
        <v>1.0</v>
      </c>
      <c r="F297" s="3">
        <f t="shared" si="1"/>
        <v>4</v>
      </c>
      <c r="G297" s="78" t="s">
        <v>2622</v>
      </c>
      <c r="H297" s="3" t="str">
        <f t="array" ref="H297">INDEX(driver_dataset!F:F,MATCH(G297,driver_dataset!A:A,0))</f>
        <v>Bike</v>
      </c>
    </row>
    <row r="298">
      <c r="A298" s="3" t="s">
        <v>3008</v>
      </c>
      <c r="B298" s="73">
        <v>45086.0</v>
      </c>
      <c r="C298" s="74">
        <v>45089.0</v>
      </c>
      <c r="D298" s="3">
        <v>4.0</v>
      </c>
      <c r="E298" s="3">
        <v>1.0</v>
      </c>
      <c r="F298" s="3">
        <f t="shared" si="1"/>
        <v>3</v>
      </c>
      <c r="G298" s="78" t="s">
        <v>2687</v>
      </c>
      <c r="H298" s="3" t="str">
        <f t="array" ref="H298">INDEX(driver_dataset!F:F,MATCH(G298,driver_dataset!A:A,0))</f>
        <v>Bike</v>
      </c>
    </row>
    <row r="299">
      <c r="A299" s="3" t="s">
        <v>3009</v>
      </c>
      <c r="B299" s="73">
        <v>45086.0</v>
      </c>
      <c r="C299" s="74">
        <v>45090.0</v>
      </c>
      <c r="D299" s="3">
        <v>3.0</v>
      </c>
      <c r="E299" s="3">
        <v>1.0</v>
      </c>
      <c r="F299" s="3">
        <f t="shared" si="1"/>
        <v>4</v>
      </c>
      <c r="G299" s="78" t="s">
        <v>2692</v>
      </c>
      <c r="H299" s="3" t="str">
        <f t="array" ref="H299">INDEX(driver_dataset!F:F,MATCH(G299,driver_dataset!A:A,0))</f>
        <v>Bike</v>
      </c>
    </row>
    <row r="300">
      <c r="A300" s="3" t="s">
        <v>3010</v>
      </c>
      <c r="B300" s="73">
        <v>45086.0</v>
      </c>
      <c r="C300" s="74">
        <v>45088.0</v>
      </c>
      <c r="D300" s="3">
        <v>12.0</v>
      </c>
      <c r="E300" s="3">
        <v>4.0</v>
      </c>
      <c r="F300" s="3">
        <f t="shared" si="1"/>
        <v>2</v>
      </c>
      <c r="G300" s="78" t="s">
        <v>2637</v>
      </c>
      <c r="H300" s="3" t="str">
        <f t="array" ref="H300">INDEX(driver_dataset!F:F,MATCH(G300,driver_dataset!A:A,0))</f>
        <v>Van</v>
      </c>
    </row>
    <row r="301">
      <c r="A301" s="3" t="s">
        <v>3011</v>
      </c>
      <c r="B301" s="73">
        <v>45086.0</v>
      </c>
      <c r="C301" s="74">
        <v>45088.0</v>
      </c>
      <c r="D301" s="3">
        <v>6.0</v>
      </c>
      <c r="E301" s="3">
        <v>3.0</v>
      </c>
      <c r="F301" s="3">
        <f t="shared" si="1"/>
        <v>2</v>
      </c>
      <c r="G301" s="78" t="s">
        <v>2632</v>
      </c>
      <c r="H301" s="3" t="str">
        <f t="array" ref="H301">INDEX(driver_dataset!F:F,MATCH(G301,driver_dataset!A:A,0))</f>
        <v>Bike</v>
      </c>
    </row>
    <row r="302">
      <c r="A302" s="3" t="s">
        <v>3012</v>
      </c>
      <c r="B302" s="73">
        <v>45086.0</v>
      </c>
      <c r="C302" s="74">
        <v>45091.0</v>
      </c>
      <c r="D302" s="3">
        <v>5.0</v>
      </c>
      <c r="E302" s="3">
        <v>2.0</v>
      </c>
      <c r="F302" s="3">
        <f t="shared" si="1"/>
        <v>5</v>
      </c>
      <c r="G302" s="78" t="s">
        <v>2602</v>
      </c>
      <c r="H302" s="3" t="str">
        <f t="array" ref="H302">INDEX(driver_dataset!F:F,MATCH(G302,driver_dataset!A:A,0))</f>
        <v>Bike</v>
      </c>
    </row>
    <row r="303">
      <c r="A303" s="3" t="s">
        <v>3013</v>
      </c>
      <c r="B303" s="73">
        <v>45086.0</v>
      </c>
      <c r="C303" s="74">
        <v>45088.0</v>
      </c>
      <c r="D303" s="3">
        <v>1.0</v>
      </c>
      <c r="E303" s="3">
        <v>2.0</v>
      </c>
      <c r="F303" s="3">
        <f t="shared" si="1"/>
        <v>2</v>
      </c>
      <c r="G303" s="78" t="s">
        <v>2597</v>
      </c>
      <c r="H303" s="3" t="str">
        <f t="array" ref="H303">INDEX(driver_dataset!F:F,MATCH(G303,driver_dataset!A:A,0))</f>
        <v>Bike</v>
      </c>
    </row>
    <row r="304">
      <c r="A304" s="3" t="s">
        <v>3014</v>
      </c>
      <c r="B304" s="74">
        <v>45087.0</v>
      </c>
      <c r="C304" s="74">
        <v>45089.0</v>
      </c>
      <c r="D304" s="3">
        <v>17.0</v>
      </c>
      <c r="E304" s="3">
        <v>4.0</v>
      </c>
      <c r="F304" s="3">
        <f t="shared" si="1"/>
        <v>2</v>
      </c>
      <c r="G304" s="78" t="s">
        <v>2672</v>
      </c>
      <c r="H304" s="3" t="str">
        <f t="array" ref="H304">INDEX(driver_dataset!F:F,MATCH(G304,driver_dataset!A:A,0))</f>
        <v>Van</v>
      </c>
    </row>
    <row r="305">
      <c r="A305" s="3" t="s">
        <v>3015</v>
      </c>
      <c r="B305" s="73">
        <v>45087.0</v>
      </c>
      <c r="C305" s="74">
        <v>45088.0</v>
      </c>
      <c r="D305" s="3">
        <v>6.0</v>
      </c>
      <c r="E305" s="3">
        <v>2.0</v>
      </c>
      <c r="F305" s="3">
        <f t="shared" si="1"/>
        <v>1</v>
      </c>
      <c r="G305" s="78" t="s">
        <v>2557</v>
      </c>
      <c r="H305" s="3" t="str">
        <f t="array" ref="H305">INDEX(driver_dataset!F:F,MATCH(G305,driver_dataset!A:A,0))</f>
        <v>Bike</v>
      </c>
    </row>
    <row r="306">
      <c r="A306" s="3" t="s">
        <v>3016</v>
      </c>
      <c r="B306" s="73">
        <v>45087.0</v>
      </c>
      <c r="C306" s="74">
        <v>45090.0</v>
      </c>
      <c r="D306" s="3">
        <v>17.0</v>
      </c>
      <c r="E306" s="3">
        <v>9.0</v>
      </c>
      <c r="F306" s="3">
        <f t="shared" si="1"/>
        <v>3</v>
      </c>
      <c r="G306" s="78" t="s">
        <v>2697</v>
      </c>
      <c r="H306" s="3" t="str">
        <f t="array" ref="H306">INDEX(driver_dataset!F:F,MATCH(G306,driver_dataset!A:A,0))</f>
        <v>Van</v>
      </c>
    </row>
    <row r="307">
      <c r="A307" s="3" t="s">
        <v>3017</v>
      </c>
      <c r="B307" s="73">
        <v>45087.0</v>
      </c>
      <c r="C307" s="74">
        <v>45088.0</v>
      </c>
      <c r="D307" s="3">
        <v>6.0</v>
      </c>
      <c r="E307" s="3">
        <v>2.0</v>
      </c>
      <c r="F307" s="3">
        <f t="shared" si="1"/>
        <v>1</v>
      </c>
      <c r="G307" s="78" t="s">
        <v>2682</v>
      </c>
      <c r="H307" s="3" t="str">
        <f t="array" ref="H307">INDEX(driver_dataset!F:F,MATCH(G307,driver_dataset!A:A,0))</f>
        <v>Bike</v>
      </c>
    </row>
    <row r="308">
      <c r="A308" s="3" t="s">
        <v>3018</v>
      </c>
      <c r="B308" s="73">
        <v>45087.0</v>
      </c>
      <c r="C308" s="74">
        <v>45088.0</v>
      </c>
      <c r="D308" s="3">
        <v>6.0</v>
      </c>
      <c r="E308" s="3">
        <v>1.0</v>
      </c>
      <c r="F308" s="3">
        <f t="shared" si="1"/>
        <v>1</v>
      </c>
      <c r="G308" s="78" t="s">
        <v>2527</v>
      </c>
      <c r="H308" s="3" t="str">
        <f t="array" ref="H308">INDEX(driver_dataset!F:F,MATCH(G308,driver_dataset!A:A,0))</f>
        <v>Bike</v>
      </c>
    </row>
    <row r="309">
      <c r="A309" s="3" t="s">
        <v>3019</v>
      </c>
      <c r="B309" s="73">
        <v>45087.0</v>
      </c>
      <c r="C309" s="74">
        <v>45090.0</v>
      </c>
      <c r="D309" s="3">
        <v>3.0</v>
      </c>
      <c r="E309" s="3">
        <v>1.0</v>
      </c>
      <c r="F309" s="3">
        <f t="shared" si="1"/>
        <v>3</v>
      </c>
      <c r="G309" s="78" t="s">
        <v>2632</v>
      </c>
      <c r="H309" s="3" t="str">
        <f t="array" ref="H309">INDEX(driver_dataset!F:F,MATCH(G309,driver_dataset!A:A,0))</f>
        <v>Bike</v>
      </c>
    </row>
    <row r="310">
      <c r="A310" s="3" t="s">
        <v>3020</v>
      </c>
      <c r="B310" s="73">
        <v>45087.0</v>
      </c>
      <c r="C310" s="74">
        <v>45092.0</v>
      </c>
      <c r="D310" s="3">
        <v>2.0</v>
      </c>
      <c r="E310" s="3">
        <v>1.0</v>
      </c>
      <c r="F310" s="3">
        <f t="shared" si="1"/>
        <v>5</v>
      </c>
      <c r="G310" s="78" t="s">
        <v>2612</v>
      </c>
      <c r="H310" s="3" t="str">
        <f t="array" ref="H310">INDEX(driver_dataset!F:F,MATCH(G310,driver_dataset!A:A,0))</f>
        <v>Bike</v>
      </c>
    </row>
    <row r="311">
      <c r="A311" s="3" t="s">
        <v>3021</v>
      </c>
      <c r="B311" s="73">
        <v>45087.0</v>
      </c>
      <c r="C311" s="74">
        <v>45090.0</v>
      </c>
      <c r="D311" s="3">
        <v>1.0</v>
      </c>
      <c r="E311" s="3">
        <v>1.0</v>
      </c>
      <c r="F311" s="3">
        <f t="shared" si="1"/>
        <v>3</v>
      </c>
      <c r="G311" s="78" t="s">
        <v>2602</v>
      </c>
      <c r="H311" s="3" t="str">
        <f t="array" ref="H311">INDEX(driver_dataset!F:F,MATCH(G311,driver_dataset!A:A,0))</f>
        <v>Bike</v>
      </c>
    </row>
    <row r="312">
      <c r="A312" s="3" t="s">
        <v>3022</v>
      </c>
      <c r="B312" s="73">
        <v>45087.0</v>
      </c>
      <c r="C312" s="74">
        <v>45088.0</v>
      </c>
      <c r="D312" s="3">
        <v>11.0</v>
      </c>
      <c r="E312" s="3">
        <v>5.0</v>
      </c>
      <c r="F312" s="3">
        <f t="shared" si="1"/>
        <v>1</v>
      </c>
      <c r="G312" s="78" t="s">
        <v>2587</v>
      </c>
      <c r="H312" s="3" t="str">
        <f t="array" ref="H312">INDEX(driver_dataset!F:F,MATCH(G312,driver_dataset!A:A,0))</f>
        <v>Van</v>
      </c>
    </row>
    <row r="313">
      <c r="A313" s="3" t="s">
        <v>3023</v>
      </c>
      <c r="B313" s="73">
        <v>45087.0</v>
      </c>
      <c r="C313" s="74">
        <v>45092.0</v>
      </c>
      <c r="D313" s="3">
        <v>4.0</v>
      </c>
      <c r="E313" s="3">
        <v>2.0</v>
      </c>
      <c r="F313" s="3">
        <f t="shared" si="1"/>
        <v>5</v>
      </c>
      <c r="G313" s="78" t="s">
        <v>2582</v>
      </c>
      <c r="H313" s="3" t="str">
        <f t="array" ref="H313">INDEX(driver_dataset!F:F,MATCH(G313,driver_dataset!A:A,0))</f>
        <v>Bike</v>
      </c>
    </row>
    <row r="314">
      <c r="A314" s="3" t="s">
        <v>3024</v>
      </c>
      <c r="B314" s="73">
        <v>45087.0</v>
      </c>
      <c r="C314" s="74">
        <v>45092.0</v>
      </c>
      <c r="D314" s="3">
        <v>4.0</v>
      </c>
      <c r="E314" s="3">
        <v>1.0</v>
      </c>
      <c r="F314" s="3">
        <f t="shared" si="1"/>
        <v>5</v>
      </c>
      <c r="G314" s="78" t="s">
        <v>2612</v>
      </c>
      <c r="H314" s="3" t="str">
        <f t="array" ref="H314">INDEX(driver_dataset!F:F,MATCH(G314,driver_dataset!A:A,0))</f>
        <v>Bike</v>
      </c>
    </row>
    <row r="315">
      <c r="A315" s="3" t="s">
        <v>3025</v>
      </c>
      <c r="B315" s="73">
        <v>45087.0</v>
      </c>
      <c r="C315" s="74">
        <v>45091.0</v>
      </c>
      <c r="D315" s="3">
        <v>3.0</v>
      </c>
      <c r="E315" s="3">
        <v>1.0</v>
      </c>
      <c r="F315" s="3">
        <f t="shared" si="1"/>
        <v>4</v>
      </c>
      <c r="G315" s="78" t="s">
        <v>2652</v>
      </c>
      <c r="H315" s="3" t="str">
        <f t="array" ref="H315">INDEX(driver_dataset!F:F,MATCH(G315,driver_dataset!A:A,0))</f>
        <v>Bike</v>
      </c>
    </row>
    <row r="316">
      <c r="A316" s="3" t="s">
        <v>3026</v>
      </c>
      <c r="B316" s="73">
        <v>45087.0</v>
      </c>
      <c r="C316" s="74">
        <v>45088.0</v>
      </c>
      <c r="D316" s="3">
        <v>2.0</v>
      </c>
      <c r="E316" s="3">
        <v>2.0</v>
      </c>
      <c r="F316" s="3">
        <f t="shared" si="1"/>
        <v>1</v>
      </c>
      <c r="G316" s="78" t="s">
        <v>2511</v>
      </c>
      <c r="H316" s="3" t="str">
        <f t="array" ref="H316">INDEX(driver_dataset!F:F,MATCH(G316,driver_dataset!A:A,0))</f>
        <v>Bike</v>
      </c>
    </row>
    <row r="317">
      <c r="A317" s="3" t="s">
        <v>3027</v>
      </c>
      <c r="B317" s="73">
        <v>45087.0</v>
      </c>
      <c r="C317" s="74">
        <v>45090.0</v>
      </c>
      <c r="D317" s="3">
        <v>19.0</v>
      </c>
      <c r="E317" s="3">
        <v>8.0</v>
      </c>
      <c r="F317" s="3">
        <f t="shared" si="1"/>
        <v>3</v>
      </c>
      <c r="G317" s="78" t="s">
        <v>2501</v>
      </c>
      <c r="H317" s="3" t="str">
        <f t="array" ref="H317">INDEX(driver_dataset!F:F,MATCH(G317,driver_dataset!A:A,0))</f>
        <v>Van</v>
      </c>
    </row>
    <row r="318">
      <c r="A318" s="3" t="s">
        <v>3028</v>
      </c>
      <c r="B318" s="73">
        <v>45087.0</v>
      </c>
      <c r="C318" s="74">
        <v>45092.0</v>
      </c>
      <c r="D318" s="3">
        <v>2.0</v>
      </c>
      <c r="E318" s="3">
        <v>3.0</v>
      </c>
      <c r="F318" s="3">
        <f t="shared" si="1"/>
        <v>5</v>
      </c>
      <c r="G318" s="78" t="s">
        <v>2622</v>
      </c>
      <c r="H318" s="3" t="str">
        <f t="array" ref="H318">INDEX(driver_dataset!F:F,MATCH(G318,driver_dataset!A:A,0))</f>
        <v>Bike</v>
      </c>
    </row>
    <row r="319">
      <c r="A319" s="3" t="s">
        <v>3029</v>
      </c>
      <c r="B319" s="73">
        <v>45087.0</v>
      </c>
      <c r="C319" s="74">
        <v>45092.0</v>
      </c>
      <c r="D319" s="3">
        <v>6.0</v>
      </c>
      <c r="E319" s="3">
        <v>1.0</v>
      </c>
      <c r="F319" s="3">
        <f t="shared" si="1"/>
        <v>5</v>
      </c>
      <c r="G319" s="78" t="s">
        <v>2687</v>
      </c>
      <c r="H319" s="3" t="str">
        <f t="array" ref="H319">INDEX(driver_dataset!F:F,MATCH(G319,driver_dataset!A:A,0))</f>
        <v>Bike</v>
      </c>
    </row>
    <row r="320">
      <c r="A320" s="3" t="s">
        <v>3030</v>
      </c>
      <c r="B320" s="73">
        <v>45087.0</v>
      </c>
      <c r="C320" s="74">
        <v>45092.0</v>
      </c>
      <c r="D320" s="3">
        <v>4.0</v>
      </c>
      <c r="E320" s="3">
        <v>3.0</v>
      </c>
      <c r="F320" s="3">
        <f t="shared" si="1"/>
        <v>5</v>
      </c>
      <c r="G320" s="78" t="s">
        <v>2490</v>
      </c>
      <c r="H320" s="3" t="str">
        <f t="array" ref="H320">INDEX(driver_dataset!F:F,MATCH(G320,driver_dataset!A:A,0))</f>
        <v>Bike</v>
      </c>
    </row>
    <row r="321">
      <c r="A321" s="3" t="s">
        <v>3031</v>
      </c>
      <c r="B321" s="73">
        <v>45087.0</v>
      </c>
      <c r="C321" s="74">
        <v>45088.0</v>
      </c>
      <c r="D321" s="3">
        <v>5.0</v>
      </c>
      <c r="E321" s="3">
        <v>2.0</v>
      </c>
      <c r="F321" s="3">
        <f t="shared" si="1"/>
        <v>1</v>
      </c>
      <c r="G321" s="78" t="s">
        <v>2642</v>
      </c>
      <c r="H321" s="3" t="str">
        <f t="array" ref="H321">INDEX(driver_dataset!F:F,MATCH(G321,driver_dataset!A:A,0))</f>
        <v>Bike</v>
      </c>
    </row>
    <row r="322">
      <c r="A322" s="3" t="s">
        <v>3032</v>
      </c>
      <c r="B322" s="73">
        <v>45087.0</v>
      </c>
      <c r="C322" s="74">
        <v>45088.0</v>
      </c>
      <c r="D322" s="3">
        <v>1.0</v>
      </c>
      <c r="E322" s="3">
        <v>2.0</v>
      </c>
      <c r="F322" s="3">
        <f t="shared" si="1"/>
        <v>1</v>
      </c>
      <c r="G322" s="78" t="s">
        <v>2496</v>
      </c>
      <c r="H322" s="3" t="str">
        <f t="array" ref="H322">INDEX(driver_dataset!F:F,MATCH(G322,driver_dataset!A:A,0))</f>
        <v>Bike</v>
      </c>
    </row>
    <row r="323">
      <c r="A323" s="3" t="s">
        <v>3033</v>
      </c>
      <c r="B323" s="73">
        <v>45087.0</v>
      </c>
      <c r="C323" s="74">
        <v>45091.0</v>
      </c>
      <c r="D323" s="3">
        <v>7.0</v>
      </c>
      <c r="E323" s="3">
        <v>10.0</v>
      </c>
      <c r="F323" s="3">
        <f t="shared" si="1"/>
        <v>4</v>
      </c>
      <c r="G323" s="78" t="s">
        <v>2587</v>
      </c>
      <c r="H323" s="3" t="str">
        <f t="array" ref="H323">INDEX(driver_dataset!F:F,MATCH(G323,driver_dataset!A:A,0))</f>
        <v>Van</v>
      </c>
    </row>
    <row r="324">
      <c r="A324" s="3" t="s">
        <v>3034</v>
      </c>
      <c r="B324" s="73">
        <v>45087.0</v>
      </c>
      <c r="C324" s="74">
        <v>45088.0</v>
      </c>
      <c r="D324" s="3">
        <v>12.0</v>
      </c>
      <c r="E324" s="3">
        <v>4.0</v>
      </c>
      <c r="F324" s="3">
        <f t="shared" si="1"/>
        <v>1</v>
      </c>
      <c r="G324" s="78" t="s">
        <v>2662</v>
      </c>
      <c r="H324" s="3" t="str">
        <f t="array" ref="H324">INDEX(driver_dataset!F:F,MATCH(G324,driver_dataset!A:A,0))</f>
        <v>Van</v>
      </c>
    </row>
    <row r="325">
      <c r="A325" s="3" t="s">
        <v>3035</v>
      </c>
      <c r="B325" s="73">
        <v>45087.0</v>
      </c>
      <c r="C325" s="74">
        <v>45091.0</v>
      </c>
      <c r="D325" s="3">
        <v>1.0</v>
      </c>
      <c r="E325" s="3">
        <v>2.0</v>
      </c>
      <c r="F325" s="3">
        <f t="shared" si="1"/>
        <v>4</v>
      </c>
      <c r="G325" s="78" t="s">
        <v>2617</v>
      </c>
      <c r="H325" s="3" t="str">
        <f t="array" ref="H325">INDEX(driver_dataset!F:F,MATCH(G325,driver_dataset!A:A,0))</f>
        <v>Bike</v>
      </c>
    </row>
    <row r="326">
      <c r="A326" s="3" t="s">
        <v>3036</v>
      </c>
      <c r="B326" s="73">
        <v>45087.0</v>
      </c>
      <c r="C326" s="74">
        <v>45092.0</v>
      </c>
      <c r="D326" s="3">
        <v>20.0</v>
      </c>
      <c r="E326" s="3">
        <v>7.0</v>
      </c>
      <c r="F326" s="3">
        <f t="shared" si="1"/>
        <v>5</v>
      </c>
      <c r="G326" s="78" t="s">
        <v>2667</v>
      </c>
      <c r="H326" s="3" t="str">
        <f t="array" ref="H326">INDEX(driver_dataset!F:F,MATCH(G326,driver_dataset!A:A,0))</f>
        <v>Van</v>
      </c>
    </row>
    <row r="327">
      <c r="A327" s="3" t="s">
        <v>3037</v>
      </c>
      <c r="B327" s="73">
        <v>45087.0</v>
      </c>
      <c r="C327" s="74">
        <v>45092.0</v>
      </c>
      <c r="D327" s="3">
        <v>17.0</v>
      </c>
      <c r="E327" s="3">
        <v>4.0</v>
      </c>
      <c r="F327" s="3">
        <f t="shared" si="1"/>
        <v>5</v>
      </c>
      <c r="G327" s="78" t="s">
        <v>2501</v>
      </c>
      <c r="H327" s="3" t="str">
        <f t="array" ref="H327">INDEX(driver_dataset!F:F,MATCH(G327,driver_dataset!A:A,0))</f>
        <v>Van</v>
      </c>
    </row>
    <row r="328">
      <c r="A328" s="3" t="s">
        <v>3038</v>
      </c>
      <c r="B328" s="73">
        <v>45087.0</v>
      </c>
      <c r="C328" s="74">
        <v>45089.0</v>
      </c>
      <c r="D328" s="3">
        <v>2.0</v>
      </c>
      <c r="E328" s="3">
        <v>3.0</v>
      </c>
      <c r="F328" s="3">
        <f t="shared" si="1"/>
        <v>2</v>
      </c>
      <c r="G328" s="78" t="s">
        <v>2572</v>
      </c>
      <c r="H328" s="3" t="str">
        <f t="array" ref="H328">INDEX(driver_dataset!F:F,MATCH(G328,driver_dataset!A:A,0))</f>
        <v>Bike</v>
      </c>
    </row>
    <row r="329">
      <c r="A329" s="3" t="s">
        <v>3039</v>
      </c>
      <c r="B329" s="73">
        <v>45087.0</v>
      </c>
      <c r="C329" s="74">
        <v>45092.0</v>
      </c>
      <c r="D329" s="3">
        <v>16.0</v>
      </c>
      <c r="E329" s="3">
        <v>5.0</v>
      </c>
      <c r="F329" s="3">
        <f t="shared" si="1"/>
        <v>5</v>
      </c>
      <c r="G329" s="78" t="s">
        <v>2587</v>
      </c>
      <c r="H329" s="3" t="str">
        <f t="array" ref="H329">INDEX(driver_dataset!F:F,MATCH(G329,driver_dataset!A:A,0))</f>
        <v>Van</v>
      </c>
    </row>
    <row r="330">
      <c r="A330" s="3" t="s">
        <v>3040</v>
      </c>
      <c r="B330" s="73">
        <v>45087.0</v>
      </c>
      <c r="C330" s="74">
        <v>45092.0</v>
      </c>
      <c r="D330" s="3">
        <v>5.0</v>
      </c>
      <c r="E330" s="3">
        <v>2.0</v>
      </c>
      <c r="F330" s="3">
        <f t="shared" si="1"/>
        <v>5</v>
      </c>
      <c r="G330" s="78" t="s">
        <v>2682</v>
      </c>
      <c r="H330" s="3" t="str">
        <f t="array" ref="H330">INDEX(driver_dataset!F:F,MATCH(G330,driver_dataset!A:A,0))</f>
        <v>Bike</v>
      </c>
    </row>
    <row r="331">
      <c r="A331" s="3" t="s">
        <v>3041</v>
      </c>
      <c r="B331" s="73">
        <v>45087.0</v>
      </c>
      <c r="C331" s="74">
        <v>45090.0</v>
      </c>
      <c r="D331" s="3">
        <v>1.0</v>
      </c>
      <c r="E331" s="3">
        <v>2.0</v>
      </c>
      <c r="F331" s="3">
        <f t="shared" si="1"/>
        <v>3</v>
      </c>
      <c r="G331" s="78" t="s">
        <v>2692</v>
      </c>
      <c r="H331" s="3" t="str">
        <f t="array" ref="H331">INDEX(driver_dataset!F:F,MATCH(G331,driver_dataset!A:A,0))</f>
        <v>Bike</v>
      </c>
    </row>
    <row r="332">
      <c r="A332" s="3" t="s">
        <v>3042</v>
      </c>
      <c r="B332" s="73">
        <v>45087.0</v>
      </c>
      <c r="C332" s="74">
        <v>45088.0</v>
      </c>
      <c r="D332" s="3">
        <v>3.0</v>
      </c>
      <c r="E332" s="3">
        <v>2.0</v>
      </c>
      <c r="F332" s="3">
        <f t="shared" si="1"/>
        <v>1</v>
      </c>
      <c r="G332" s="78" t="s">
        <v>2682</v>
      </c>
      <c r="H332" s="3" t="str">
        <f t="array" ref="H332">INDEX(driver_dataset!F:F,MATCH(G332,driver_dataset!A:A,0))</f>
        <v>Bike</v>
      </c>
    </row>
    <row r="333">
      <c r="A333" s="3" t="s">
        <v>3043</v>
      </c>
      <c r="B333" s="73">
        <v>45087.0</v>
      </c>
      <c r="C333" s="74">
        <v>45088.0</v>
      </c>
      <c r="D333" s="3">
        <v>15.0</v>
      </c>
      <c r="E333" s="3">
        <v>7.0</v>
      </c>
      <c r="F333" s="3">
        <f t="shared" si="1"/>
        <v>1</v>
      </c>
      <c r="G333" s="78" t="s">
        <v>2587</v>
      </c>
      <c r="H333" s="3" t="str">
        <f t="array" ref="H333">INDEX(driver_dataset!F:F,MATCH(G333,driver_dataset!A:A,0))</f>
        <v>Van</v>
      </c>
    </row>
    <row r="334">
      <c r="A334" s="3" t="s">
        <v>3044</v>
      </c>
      <c r="B334" s="73">
        <v>45087.0</v>
      </c>
      <c r="C334" s="74">
        <v>45089.0</v>
      </c>
      <c r="D334" s="3">
        <v>6.0</v>
      </c>
      <c r="E334" s="3">
        <v>3.0</v>
      </c>
      <c r="F334" s="3">
        <f t="shared" si="1"/>
        <v>2</v>
      </c>
      <c r="G334" s="78" t="s">
        <v>2597</v>
      </c>
      <c r="H334" s="3" t="str">
        <f t="array" ref="H334">INDEX(driver_dataset!F:F,MATCH(G334,driver_dataset!A:A,0))</f>
        <v>Bike</v>
      </c>
    </row>
    <row r="335">
      <c r="A335" s="3" t="s">
        <v>3045</v>
      </c>
      <c r="B335" s="73">
        <v>45087.0</v>
      </c>
      <c r="C335" s="74">
        <v>45091.0</v>
      </c>
      <c r="D335" s="3">
        <v>11.0</v>
      </c>
      <c r="E335" s="3">
        <v>6.0</v>
      </c>
      <c r="F335" s="3">
        <f t="shared" si="1"/>
        <v>4</v>
      </c>
      <c r="G335" s="78" t="s">
        <v>2672</v>
      </c>
      <c r="H335" s="3" t="str">
        <f t="array" ref="H335">INDEX(driver_dataset!F:F,MATCH(G335,driver_dataset!A:A,0))</f>
        <v>Van</v>
      </c>
    </row>
    <row r="336">
      <c r="A336" s="3" t="s">
        <v>3046</v>
      </c>
      <c r="B336" s="74">
        <v>45088.0</v>
      </c>
      <c r="C336" s="74">
        <v>45092.0</v>
      </c>
      <c r="D336" s="3">
        <v>1.0</v>
      </c>
      <c r="E336" s="3">
        <v>1.0</v>
      </c>
      <c r="F336" s="3">
        <f t="shared" si="1"/>
        <v>4</v>
      </c>
      <c r="G336" s="3" t="s">
        <v>2542</v>
      </c>
      <c r="H336" s="3" t="str">
        <f t="array" ref="H336">INDEX(driver_dataset!F:F,MATCH(G336,driver_dataset!A:A,0))</f>
        <v>Bike</v>
      </c>
    </row>
    <row r="337">
      <c r="A337" s="3" t="s">
        <v>3047</v>
      </c>
      <c r="B337" s="73">
        <v>45088.0</v>
      </c>
      <c r="C337" s="74">
        <v>45089.0</v>
      </c>
      <c r="D337" s="3">
        <v>4.0</v>
      </c>
      <c r="E337" s="3">
        <v>2.0</v>
      </c>
      <c r="F337" s="3">
        <f t="shared" si="1"/>
        <v>1</v>
      </c>
      <c r="G337" s="78" t="s">
        <v>2562</v>
      </c>
      <c r="H337" s="3" t="str">
        <f t="array" ref="H337">INDEX(driver_dataset!F:F,MATCH(G337,driver_dataset!A:A,0))</f>
        <v>Bike</v>
      </c>
    </row>
    <row r="338">
      <c r="A338" s="3" t="s">
        <v>3048</v>
      </c>
      <c r="B338" s="73">
        <v>45088.0</v>
      </c>
      <c r="C338" s="74">
        <v>45090.0</v>
      </c>
      <c r="D338" s="3">
        <v>1.0</v>
      </c>
      <c r="E338" s="3">
        <v>3.0</v>
      </c>
      <c r="F338" s="3">
        <f t="shared" si="1"/>
        <v>2</v>
      </c>
      <c r="G338" s="78" t="s">
        <v>2577</v>
      </c>
      <c r="H338" s="3" t="str">
        <f t="array" ref="H338">INDEX(driver_dataset!F:F,MATCH(G338,driver_dataset!A:A,0))</f>
        <v>Bike</v>
      </c>
    </row>
    <row r="339">
      <c r="A339" s="3" t="s">
        <v>3049</v>
      </c>
      <c r="B339" s="73">
        <v>45088.0</v>
      </c>
      <c r="C339" s="74">
        <v>45092.0</v>
      </c>
      <c r="D339" s="3">
        <v>2.0</v>
      </c>
      <c r="E339" s="3">
        <v>3.0</v>
      </c>
      <c r="F339" s="3">
        <f t="shared" si="1"/>
        <v>4</v>
      </c>
      <c r="G339" s="78" t="s">
        <v>2562</v>
      </c>
      <c r="H339" s="3" t="str">
        <f t="array" ref="H339">INDEX(driver_dataset!F:F,MATCH(G339,driver_dataset!A:A,0))</f>
        <v>Bike</v>
      </c>
    </row>
    <row r="340">
      <c r="A340" s="3" t="s">
        <v>3050</v>
      </c>
      <c r="B340" s="73">
        <v>45088.0</v>
      </c>
      <c r="C340" s="74">
        <v>45093.0</v>
      </c>
      <c r="D340" s="3">
        <v>1.0</v>
      </c>
      <c r="E340" s="3">
        <v>3.0</v>
      </c>
      <c r="F340" s="3">
        <f t="shared" si="1"/>
        <v>5</v>
      </c>
      <c r="G340" s="78" t="s">
        <v>2577</v>
      </c>
      <c r="H340" s="3" t="str">
        <f t="array" ref="H340">INDEX(driver_dataset!F:F,MATCH(G340,driver_dataset!A:A,0))</f>
        <v>Bike</v>
      </c>
    </row>
    <row r="341">
      <c r="A341" s="3" t="s">
        <v>3051</v>
      </c>
      <c r="B341" s="73">
        <v>45088.0</v>
      </c>
      <c r="C341" s="74">
        <v>45089.0</v>
      </c>
      <c r="D341" s="3">
        <v>77.0</v>
      </c>
      <c r="E341" s="3">
        <v>11.0</v>
      </c>
      <c r="F341" s="3">
        <f t="shared" si="1"/>
        <v>1</v>
      </c>
      <c r="G341" s="78" t="s">
        <v>2552</v>
      </c>
      <c r="H341" s="3" t="str">
        <f t="array" ref="H341">INDEX(driver_dataset!F:F,MATCH(G341,driver_dataset!A:A,0))</f>
        <v>Truck</v>
      </c>
    </row>
    <row r="342">
      <c r="A342" s="3" t="s">
        <v>3052</v>
      </c>
      <c r="B342" s="73">
        <v>45088.0</v>
      </c>
      <c r="C342" s="74">
        <v>45093.0</v>
      </c>
      <c r="D342" s="3">
        <v>3.0</v>
      </c>
      <c r="E342" s="3">
        <v>2.0</v>
      </c>
      <c r="F342" s="3">
        <f t="shared" si="1"/>
        <v>5</v>
      </c>
      <c r="G342" s="78" t="s">
        <v>2682</v>
      </c>
      <c r="H342" s="3" t="str">
        <f t="array" ref="H342">INDEX(driver_dataset!F:F,MATCH(G342,driver_dataset!A:A,0))</f>
        <v>Bike</v>
      </c>
    </row>
    <row r="343">
      <c r="A343" s="3" t="s">
        <v>3053</v>
      </c>
      <c r="B343" s="73">
        <v>45088.0</v>
      </c>
      <c r="C343" s="74">
        <v>45093.0</v>
      </c>
      <c r="D343" s="3">
        <v>9.0</v>
      </c>
      <c r="E343" s="3">
        <v>10.0</v>
      </c>
      <c r="F343" s="3">
        <f t="shared" si="1"/>
        <v>5</v>
      </c>
      <c r="G343" s="78" t="s">
        <v>2697</v>
      </c>
      <c r="H343" s="3" t="str">
        <f t="array" ref="H343">INDEX(driver_dataset!F:F,MATCH(G343,driver_dataset!A:A,0))</f>
        <v>Van</v>
      </c>
    </row>
    <row r="344">
      <c r="A344" s="3" t="s">
        <v>3054</v>
      </c>
      <c r="B344" s="73">
        <v>45088.0</v>
      </c>
      <c r="C344" s="74">
        <v>45091.0</v>
      </c>
      <c r="D344" s="3">
        <v>5.0</v>
      </c>
      <c r="E344" s="3">
        <v>3.0</v>
      </c>
      <c r="F344" s="3">
        <f t="shared" si="1"/>
        <v>3</v>
      </c>
      <c r="G344" s="78" t="s">
        <v>2692</v>
      </c>
      <c r="H344" s="3" t="str">
        <f t="array" ref="H344">INDEX(driver_dataset!F:F,MATCH(G344,driver_dataset!A:A,0))</f>
        <v>Bike</v>
      </c>
    </row>
    <row r="345">
      <c r="A345" s="3" t="s">
        <v>3055</v>
      </c>
      <c r="B345" s="73">
        <v>45088.0</v>
      </c>
      <c r="C345" s="74">
        <v>45093.0</v>
      </c>
      <c r="D345" s="3">
        <v>10.0</v>
      </c>
      <c r="E345" s="3">
        <v>8.0</v>
      </c>
      <c r="F345" s="3">
        <f t="shared" si="1"/>
        <v>5</v>
      </c>
      <c r="G345" s="78" t="s">
        <v>2607</v>
      </c>
      <c r="H345" s="3" t="str">
        <f t="array" ref="H345">INDEX(driver_dataset!F:F,MATCH(G345,driver_dataset!A:A,0))</f>
        <v>Van</v>
      </c>
    </row>
    <row r="346">
      <c r="A346" s="3" t="s">
        <v>3056</v>
      </c>
      <c r="B346" s="73">
        <v>45088.0</v>
      </c>
      <c r="C346" s="74">
        <v>45089.0</v>
      </c>
      <c r="D346" s="3">
        <v>3.0</v>
      </c>
      <c r="E346" s="3">
        <v>3.0</v>
      </c>
      <c r="F346" s="3">
        <f t="shared" si="1"/>
        <v>1</v>
      </c>
      <c r="G346" s="78" t="s">
        <v>2572</v>
      </c>
      <c r="H346" s="3" t="str">
        <f t="array" ref="H346">INDEX(driver_dataset!F:F,MATCH(G346,driver_dataset!A:A,0))</f>
        <v>Bike</v>
      </c>
    </row>
    <row r="347">
      <c r="A347" s="3" t="s">
        <v>3057</v>
      </c>
      <c r="B347" s="73">
        <v>45088.0</v>
      </c>
      <c r="C347" s="74">
        <v>45093.0</v>
      </c>
      <c r="D347" s="3">
        <v>6.0</v>
      </c>
      <c r="E347" s="3">
        <v>3.0</v>
      </c>
      <c r="F347" s="3">
        <f t="shared" si="1"/>
        <v>5</v>
      </c>
      <c r="G347" s="78" t="s">
        <v>2562</v>
      </c>
      <c r="H347" s="3" t="str">
        <f t="array" ref="H347">INDEX(driver_dataset!F:F,MATCH(G347,driver_dataset!A:A,0))</f>
        <v>Bike</v>
      </c>
    </row>
    <row r="348">
      <c r="A348" s="3" t="s">
        <v>3058</v>
      </c>
      <c r="B348" s="73">
        <v>45088.0</v>
      </c>
      <c r="C348" s="74">
        <v>45091.0</v>
      </c>
      <c r="D348" s="3">
        <v>7.0</v>
      </c>
      <c r="E348" s="3">
        <v>4.0</v>
      </c>
      <c r="F348" s="3">
        <f t="shared" si="1"/>
        <v>3</v>
      </c>
      <c r="G348" s="78" t="s">
        <v>2667</v>
      </c>
      <c r="H348" s="3" t="str">
        <f t="array" ref="H348">INDEX(driver_dataset!F:F,MATCH(G348,driver_dataset!A:A,0))</f>
        <v>Van</v>
      </c>
    </row>
    <row r="349">
      <c r="A349" s="3" t="s">
        <v>3059</v>
      </c>
      <c r="B349" s="73">
        <v>45088.0</v>
      </c>
      <c r="C349" s="74">
        <v>45090.0</v>
      </c>
      <c r="D349" s="3">
        <v>4.0</v>
      </c>
      <c r="E349" s="3">
        <v>1.0</v>
      </c>
      <c r="F349" s="3">
        <f t="shared" si="1"/>
        <v>2</v>
      </c>
      <c r="G349" s="78" t="s">
        <v>2677</v>
      </c>
      <c r="H349" s="3" t="str">
        <f t="array" ref="H349">INDEX(driver_dataset!F:F,MATCH(G349,driver_dataset!A:A,0))</f>
        <v>Bike</v>
      </c>
    </row>
    <row r="350">
      <c r="A350" s="3" t="s">
        <v>3060</v>
      </c>
      <c r="B350" s="73">
        <v>45088.0</v>
      </c>
      <c r="C350" s="74">
        <v>45089.0</v>
      </c>
      <c r="D350" s="3">
        <v>10.0</v>
      </c>
      <c r="E350" s="3">
        <v>10.0</v>
      </c>
      <c r="F350" s="3">
        <f t="shared" si="1"/>
        <v>1</v>
      </c>
      <c r="G350" s="78" t="s">
        <v>2637</v>
      </c>
      <c r="H350" s="3" t="str">
        <f t="array" ref="H350">INDEX(driver_dataset!F:F,MATCH(G350,driver_dataset!A:A,0))</f>
        <v>Van</v>
      </c>
    </row>
    <row r="351">
      <c r="A351" s="3" t="s">
        <v>3061</v>
      </c>
      <c r="B351" s="73">
        <v>45088.0</v>
      </c>
      <c r="C351" s="74">
        <v>45093.0</v>
      </c>
      <c r="D351" s="3">
        <v>5.0</v>
      </c>
      <c r="E351" s="3">
        <v>3.0</v>
      </c>
      <c r="F351" s="3">
        <f t="shared" si="1"/>
        <v>5</v>
      </c>
      <c r="G351" s="78" t="s">
        <v>2577</v>
      </c>
      <c r="H351" s="3" t="str">
        <f t="array" ref="H351">INDEX(driver_dataset!F:F,MATCH(G351,driver_dataset!A:A,0))</f>
        <v>Bike</v>
      </c>
    </row>
    <row r="352">
      <c r="A352" s="3" t="s">
        <v>3062</v>
      </c>
      <c r="B352" s="73">
        <v>45088.0</v>
      </c>
      <c r="C352" s="74">
        <v>45092.0</v>
      </c>
      <c r="D352" s="3">
        <v>4.0</v>
      </c>
      <c r="E352" s="3">
        <v>3.0</v>
      </c>
      <c r="F352" s="3">
        <f t="shared" si="1"/>
        <v>4</v>
      </c>
      <c r="G352" s="78" t="s">
        <v>2542</v>
      </c>
      <c r="H352" s="3" t="str">
        <f t="array" ref="H352">INDEX(driver_dataset!F:F,MATCH(G352,driver_dataset!A:A,0))</f>
        <v>Bike</v>
      </c>
    </row>
    <row r="353">
      <c r="A353" s="3" t="s">
        <v>3063</v>
      </c>
      <c r="B353" s="73">
        <v>45088.0</v>
      </c>
      <c r="C353" s="74">
        <v>45092.0</v>
      </c>
      <c r="D353" s="3">
        <v>6.0</v>
      </c>
      <c r="E353" s="3">
        <v>1.0</v>
      </c>
      <c r="F353" s="3">
        <f t="shared" si="1"/>
        <v>4</v>
      </c>
      <c r="G353" s="78" t="s">
        <v>2557</v>
      </c>
      <c r="H353" s="3" t="str">
        <f t="array" ref="H353">INDEX(driver_dataset!F:F,MATCH(G353,driver_dataset!A:A,0))</f>
        <v>Bike</v>
      </c>
    </row>
    <row r="354">
      <c r="A354" s="3" t="s">
        <v>3064</v>
      </c>
      <c r="B354" s="73">
        <v>45088.0</v>
      </c>
      <c r="C354" s="74">
        <v>45090.0</v>
      </c>
      <c r="D354" s="3">
        <v>4.0</v>
      </c>
      <c r="E354" s="3">
        <v>3.0</v>
      </c>
      <c r="F354" s="3">
        <f t="shared" si="1"/>
        <v>2</v>
      </c>
      <c r="G354" s="78" t="s">
        <v>2567</v>
      </c>
      <c r="H354" s="3" t="str">
        <f t="array" ref="H354">INDEX(driver_dataset!F:F,MATCH(G354,driver_dataset!A:A,0))</f>
        <v>Bike</v>
      </c>
    </row>
    <row r="355">
      <c r="A355" s="3" t="s">
        <v>3065</v>
      </c>
      <c r="B355" s="73">
        <v>45088.0</v>
      </c>
      <c r="C355" s="74">
        <v>45090.0</v>
      </c>
      <c r="D355" s="3">
        <v>6.0</v>
      </c>
      <c r="E355" s="3">
        <v>3.0</v>
      </c>
      <c r="F355" s="3">
        <f t="shared" si="1"/>
        <v>2</v>
      </c>
      <c r="G355" s="78" t="s">
        <v>2547</v>
      </c>
      <c r="H355" s="3" t="str">
        <f t="array" ref="H355">INDEX(driver_dataset!F:F,MATCH(G355,driver_dataset!A:A,0))</f>
        <v>Bike</v>
      </c>
    </row>
    <row r="356">
      <c r="A356" s="3" t="s">
        <v>3066</v>
      </c>
      <c r="B356" s="73">
        <v>45088.0</v>
      </c>
      <c r="C356" s="74">
        <v>45089.0</v>
      </c>
      <c r="D356" s="3">
        <v>6.0</v>
      </c>
      <c r="E356" s="3">
        <v>3.0</v>
      </c>
      <c r="F356" s="3">
        <f t="shared" si="1"/>
        <v>1</v>
      </c>
      <c r="G356" s="78" t="s">
        <v>2542</v>
      </c>
      <c r="H356" s="3" t="str">
        <f t="array" ref="H356">INDEX(driver_dataset!F:F,MATCH(G356,driver_dataset!A:A,0))</f>
        <v>Bike</v>
      </c>
    </row>
    <row r="357">
      <c r="A357" s="3" t="s">
        <v>3067</v>
      </c>
      <c r="B357" s="73">
        <v>45088.0</v>
      </c>
      <c r="C357" s="74">
        <v>45091.0</v>
      </c>
      <c r="D357" s="3">
        <v>5.0</v>
      </c>
      <c r="E357" s="3">
        <v>2.0</v>
      </c>
      <c r="F357" s="3">
        <f t="shared" si="1"/>
        <v>3</v>
      </c>
      <c r="G357" s="78" t="s">
        <v>2572</v>
      </c>
      <c r="H357" s="3" t="str">
        <f t="array" ref="H357">INDEX(driver_dataset!F:F,MATCH(G357,driver_dataset!A:A,0))</f>
        <v>Bike</v>
      </c>
    </row>
    <row r="358">
      <c r="A358" s="3" t="s">
        <v>3068</v>
      </c>
      <c r="B358" s="73">
        <v>45088.0</v>
      </c>
      <c r="C358" s="74">
        <v>45090.0</v>
      </c>
      <c r="D358" s="3">
        <v>13.0</v>
      </c>
      <c r="E358" s="3">
        <v>5.0</v>
      </c>
      <c r="F358" s="3">
        <f t="shared" si="1"/>
        <v>2</v>
      </c>
      <c r="G358" s="78" t="s">
        <v>2587</v>
      </c>
      <c r="H358" s="3" t="str">
        <f t="array" ref="H358">INDEX(driver_dataset!F:F,MATCH(G358,driver_dataset!A:A,0))</f>
        <v>Van</v>
      </c>
    </row>
    <row r="359">
      <c r="A359" s="3" t="s">
        <v>3069</v>
      </c>
      <c r="B359" s="74">
        <v>45089.0</v>
      </c>
      <c r="C359" s="74">
        <v>45090.0</v>
      </c>
      <c r="D359" s="3">
        <v>13.0</v>
      </c>
      <c r="E359" s="3">
        <v>8.0</v>
      </c>
      <c r="F359" s="3">
        <f t="shared" si="1"/>
        <v>1</v>
      </c>
      <c r="G359" s="78" t="s">
        <v>2697</v>
      </c>
      <c r="H359" s="3" t="str">
        <f t="array" ref="H359">INDEX(driver_dataset!F:F,MATCH(G359,driver_dataset!A:A,0))</f>
        <v>Van</v>
      </c>
    </row>
    <row r="360">
      <c r="A360" s="3" t="s">
        <v>3070</v>
      </c>
      <c r="B360" s="73">
        <v>45089.0</v>
      </c>
      <c r="C360" s="74">
        <v>45092.0</v>
      </c>
      <c r="D360" s="3">
        <v>1.0</v>
      </c>
      <c r="E360" s="3">
        <v>2.0</v>
      </c>
      <c r="F360" s="3">
        <f t="shared" si="1"/>
        <v>3</v>
      </c>
      <c r="G360" s="78" t="s">
        <v>2632</v>
      </c>
      <c r="H360" s="3" t="str">
        <f t="array" ref="H360">INDEX(driver_dataset!F:F,MATCH(G360,driver_dataset!A:A,0))</f>
        <v>Bike</v>
      </c>
    </row>
    <row r="361">
      <c r="A361" s="3" t="s">
        <v>3071</v>
      </c>
      <c r="B361" s="73">
        <v>45089.0</v>
      </c>
      <c r="C361" s="74">
        <v>45093.0</v>
      </c>
      <c r="D361" s="3">
        <v>1.0</v>
      </c>
      <c r="E361" s="3">
        <v>2.0</v>
      </c>
      <c r="F361" s="3">
        <f t="shared" si="1"/>
        <v>4</v>
      </c>
      <c r="G361" s="78" t="s">
        <v>2572</v>
      </c>
      <c r="H361" s="3" t="str">
        <f t="array" ref="H361">INDEX(driver_dataset!F:F,MATCH(G361,driver_dataset!A:A,0))</f>
        <v>Bike</v>
      </c>
    </row>
    <row r="362">
      <c r="A362" s="3" t="s">
        <v>3072</v>
      </c>
      <c r="B362" s="73">
        <v>45089.0</v>
      </c>
      <c r="C362" s="74">
        <v>45090.0</v>
      </c>
      <c r="D362" s="3">
        <v>1.0</v>
      </c>
      <c r="E362" s="3">
        <v>1.0</v>
      </c>
      <c r="F362" s="3">
        <f t="shared" si="1"/>
        <v>1</v>
      </c>
      <c r="G362" s="78" t="s">
        <v>2642</v>
      </c>
      <c r="H362" s="3" t="str">
        <f t="array" ref="H362">INDEX(driver_dataset!F:F,MATCH(G362,driver_dataset!A:A,0))</f>
        <v>Bike</v>
      </c>
    </row>
    <row r="363">
      <c r="A363" s="3" t="s">
        <v>3073</v>
      </c>
      <c r="B363" s="73">
        <v>45089.0</v>
      </c>
      <c r="C363" s="74">
        <v>45092.0</v>
      </c>
      <c r="D363" s="3">
        <v>13.0</v>
      </c>
      <c r="E363" s="3">
        <v>8.0</v>
      </c>
      <c r="F363" s="3">
        <f t="shared" si="1"/>
        <v>3</v>
      </c>
      <c r="G363" s="78" t="s">
        <v>2484</v>
      </c>
      <c r="H363" s="3" t="str">
        <f t="array" ref="H363">INDEX(driver_dataset!F:F,MATCH(G363,driver_dataset!A:A,0))</f>
        <v>Van</v>
      </c>
    </row>
    <row r="364">
      <c r="A364" s="3" t="s">
        <v>3074</v>
      </c>
      <c r="B364" s="73">
        <v>45089.0</v>
      </c>
      <c r="C364" s="74">
        <v>45091.0</v>
      </c>
      <c r="D364" s="3">
        <v>3.0</v>
      </c>
      <c r="E364" s="3">
        <v>3.0</v>
      </c>
      <c r="F364" s="3">
        <f t="shared" si="1"/>
        <v>2</v>
      </c>
      <c r="G364" s="78" t="s">
        <v>2577</v>
      </c>
      <c r="H364" s="3" t="str">
        <f t="array" ref="H364">INDEX(driver_dataset!F:F,MATCH(G364,driver_dataset!A:A,0))</f>
        <v>Bike</v>
      </c>
    </row>
    <row r="365">
      <c r="A365" s="3" t="s">
        <v>3075</v>
      </c>
      <c r="B365" s="73">
        <v>45089.0</v>
      </c>
      <c r="C365" s="74">
        <v>45091.0</v>
      </c>
      <c r="D365" s="3">
        <v>3.0</v>
      </c>
      <c r="E365" s="3">
        <v>2.0</v>
      </c>
      <c r="F365" s="3">
        <f t="shared" si="1"/>
        <v>2</v>
      </c>
      <c r="G365" s="78" t="s">
        <v>2617</v>
      </c>
      <c r="H365" s="3" t="str">
        <f t="array" ref="H365">INDEX(driver_dataset!F:F,MATCH(G365,driver_dataset!A:A,0))</f>
        <v>Bike</v>
      </c>
    </row>
    <row r="366">
      <c r="A366" s="3" t="s">
        <v>3076</v>
      </c>
      <c r="B366" s="73">
        <v>45089.0</v>
      </c>
      <c r="C366" s="74">
        <v>45092.0</v>
      </c>
      <c r="D366" s="3">
        <v>3.0</v>
      </c>
      <c r="E366" s="3">
        <v>2.0</v>
      </c>
      <c r="F366" s="3">
        <f t="shared" si="1"/>
        <v>3</v>
      </c>
      <c r="G366" s="78" t="s">
        <v>2647</v>
      </c>
      <c r="H366" s="3" t="str">
        <f t="array" ref="H366">INDEX(driver_dataset!F:F,MATCH(G366,driver_dataset!A:A,0))</f>
        <v>Bike</v>
      </c>
    </row>
    <row r="367">
      <c r="A367" s="3" t="s">
        <v>3077</v>
      </c>
      <c r="B367" s="73">
        <v>45089.0</v>
      </c>
      <c r="C367" s="74">
        <v>45090.0</v>
      </c>
      <c r="D367" s="3">
        <v>2.0</v>
      </c>
      <c r="E367" s="3">
        <v>1.0</v>
      </c>
      <c r="F367" s="3">
        <f t="shared" si="1"/>
        <v>1</v>
      </c>
      <c r="G367" s="78" t="s">
        <v>2602</v>
      </c>
      <c r="H367" s="3" t="str">
        <f t="array" ref="H367">INDEX(driver_dataset!F:F,MATCH(G367,driver_dataset!A:A,0))</f>
        <v>Bike</v>
      </c>
    </row>
    <row r="368">
      <c r="A368" s="3" t="s">
        <v>3078</v>
      </c>
      <c r="B368" s="73">
        <v>45089.0</v>
      </c>
      <c r="C368" s="74">
        <v>45094.0</v>
      </c>
      <c r="D368" s="3">
        <v>1.0</v>
      </c>
      <c r="E368" s="3">
        <v>2.0</v>
      </c>
      <c r="F368" s="3">
        <f t="shared" si="1"/>
        <v>5</v>
      </c>
      <c r="G368" s="78" t="s">
        <v>2682</v>
      </c>
      <c r="H368" s="3" t="str">
        <f t="array" ref="H368">INDEX(driver_dataset!F:F,MATCH(G368,driver_dataset!A:A,0))</f>
        <v>Bike</v>
      </c>
    </row>
    <row r="369">
      <c r="A369" s="3" t="s">
        <v>3079</v>
      </c>
      <c r="B369" s="73">
        <v>45089.0</v>
      </c>
      <c r="C369" s="74">
        <v>45090.0</v>
      </c>
      <c r="D369" s="3">
        <v>9.0</v>
      </c>
      <c r="E369" s="3">
        <v>10.0</v>
      </c>
      <c r="F369" s="3">
        <f t="shared" si="1"/>
        <v>1</v>
      </c>
      <c r="G369" s="78" t="s">
        <v>2667</v>
      </c>
      <c r="H369" s="3" t="str">
        <f t="array" ref="H369">INDEX(driver_dataset!F:F,MATCH(G369,driver_dataset!A:A,0))</f>
        <v>Van</v>
      </c>
    </row>
    <row r="370">
      <c r="A370" s="3" t="s">
        <v>3080</v>
      </c>
      <c r="B370" s="73">
        <v>45089.0</v>
      </c>
      <c r="C370" s="74">
        <v>45092.0</v>
      </c>
      <c r="D370" s="3">
        <v>2.0</v>
      </c>
      <c r="E370" s="3">
        <v>3.0</v>
      </c>
      <c r="F370" s="3">
        <f t="shared" si="1"/>
        <v>3</v>
      </c>
      <c r="G370" s="78" t="s">
        <v>2490</v>
      </c>
      <c r="H370" s="3" t="str">
        <f t="array" ref="H370">INDEX(driver_dataset!F:F,MATCH(G370,driver_dataset!A:A,0))</f>
        <v>Bike</v>
      </c>
    </row>
    <row r="371">
      <c r="A371" s="3" t="s">
        <v>3081</v>
      </c>
      <c r="B371" s="73">
        <v>45089.0</v>
      </c>
      <c r="C371" s="74">
        <v>45090.0</v>
      </c>
      <c r="D371" s="3">
        <v>2.0</v>
      </c>
      <c r="E371" s="3">
        <v>3.0</v>
      </c>
      <c r="F371" s="3">
        <f t="shared" si="1"/>
        <v>1</v>
      </c>
      <c r="G371" s="78" t="s">
        <v>2612</v>
      </c>
      <c r="H371" s="3" t="str">
        <f t="array" ref="H371">INDEX(driver_dataset!F:F,MATCH(G371,driver_dataset!A:A,0))</f>
        <v>Bike</v>
      </c>
    </row>
    <row r="372">
      <c r="A372" s="3" t="s">
        <v>3082</v>
      </c>
      <c r="B372" s="73">
        <v>45089.0</v>
      </c>
      <c r="C372" s="74">
        <v>45091.0</v>
      </c>
      <c r="D372" s="3">
        <v>3.0</v>
      </c>
      <c r="E372" s="3">
        <v>3.0</v>
      </c>
      <c r="F372" s="3">
        <f t="shared" si="1"/>
        <v>2</v>
      </c>
      <c r="G372" s="78" t="s">
        <v>2496</v>
      </c>
      <c r="H372" s="3" t="str">
        <f t="array" ref="H372">INDEX(driver_dataset!F:F,MATCH(G372,driver_dataset!A:A,0))</f>
        <v>Bike</v>
      </c>
    </row>
    <row r="373">
      <c r="A373" s="3" t="s">
        <v>3083</v>
      </c>
      <c r="B373" s="73">
        <v>45089.0</v>
      </c>
      <c r="C373" s="74">
        <v>45092.0</v>
      </c>
      <c r="D373" s="3">
        <v>13.0</v>
      </c>
      <c r="E373" s="3">
        <v>8.0</v>
      </c>
      <c r="F373" s="3">
        <f t="shared" si="1"/>
        <v>3</v>
      </c>
      <c r="G373" s="78" t="s">
        <v>2501</v>
      </c>
      <c r="H373" s="3" t="str">
        <f t="array" ref="H373">INDEX(driver_dataset!F:F,MATCH(G373,driver_dataset!A:A,0))</f>
        <v>Van</v>
      </c>
    </row>
    <row r="374">
      <c r="A374" s="3" t="s">
        <v>3084</v>
      </c>
      <c r="B374" s="73">
        <v>45089.0</v>
      </c>
      <c r="C374" s="74">
        <v>45091.0</v>
      </c>
      <c r="D374" s="3">
        <v>5.0</v>
      </c>
      <c r="E374" s="3">
        <v>2.0</v>
      </c>
      <c r="F374" s="3">
        <f t="shared" si="1"/>
        <v>2</v>
      </c>
      <c r="G374" s="78" t="s">
        <v>2677</v>
      </c>
      <c r="H374" s="3" t="str">
        <f t="array" ref="H374">INDEX(driver_dataset!F:F,MATCH(G374,driver_dataset!A:A,0))</f>
        <v>Bike</v>
      </c>
    </row>
    <row r="375">
      <c r="A375" s="3" t="s">
        <v>3085</v>
      </c>
      <c r="B375" s="73">
        <v>45089.0</v>
      </c>
      <c r="C375" s="74">
        <v>45092.0</v>
      </c>
      <c r="D375" s="3">
        <v>4.0</v>
      </c>
      <c r="E375" s="3">
        <v>3.0</v>
      </c>
      <c r="F375" s="3">
        <f t="shared" si="1"/>
        <v>3</v>
      </c>
      <c r="G375" s="78" t="s">
        <v>2602</v>
      </c>
      <c r="H375" s="3" t="str">
        <f t="array" ref="H375">INDEX(driver_dataset!F:F,MATCH(G375,driver_dataset!A:A,0))</f>
        <v>Bike</v>
      </c>
    </row>
    <row r="376">
      <c r="A376" s="3" t="s">
        <v>3086</v>
      </c>
      <c r="B376" s="73">
        <v>45089.0</v>
      </c>
      <c r="C376" s="74">
        <v>45090.0</v>
      </c>
      <c r="D376" s="3">
        <v>6.0</v>
      </c>
      <c r="E376" s="3">
        <v>3.0</v>
      </c>
      <c r="F376" s="3">
        <f t="shared" si="1"/>
        <v>1</v>
      </c>
      <c r="G376" s="78" t="s">
        <v>2622</v>
      </c>
      <c r="H376" s="3" t="str">
        <f t="array" ref="H376">INDEX(driver_dataset!F:F,MATCH(G376,driver_dataset!A:A,0))</f>
        <v>Bike</v>
      </c>
    </row>
    <row r="377">
      <c r="A377" s="3" t="s">
        <v>3087</v>
      </c>
      <c r="B377" s="73">
        <v>45089.0</v>
      </c>
      <c r="C377" s="74">
        <v>45090.0</v>
      </c>
      <c r="D377" s="3">
        <v>10.0</v>
      </c>
      <c r="E377" s="3">
        <v>7.0</v>
      </c>
      <c r="F377" s="3">
        <f t="shared" si="1"/>
        <v>1</v>
      </c>
      <c r="G377" s="78" t="s">
        <v>2501</v>
      </c>
      <c r="H377" s="3" t="str">
        <f t="array" ref="H377">INDEX(driver_dataset!F:F,MATCH(G377,driver_dataset!A:A,0))</f>
        <v>Van</v>
      </c>
    </row>
    <row r="378">
      <c r="A378" s="3" t="s">
        <v>3088</v>
      </c>
      <c r="B378" s="73">
        <v>45089.0</v>
      </c>
      <c r="C378" s="74">
        <v>45092.0</v>
      </c>
      <c r="D378" s="3">
        <v>6.0</v>
      </c>
      <c r="E378" s="3">
        <v>2.0</v>
      </c>
      <c r="F378" s="3">
        <f t="shared" si="1"/>
        <v>3</v>
      </c>
      <c r="G378" s="78" t="s">
        <v>2562</v>
      </c>
      <c r="H378" s="3" t="str">
        <f t="array" ref="H378">INDEX(driver_dataset!F:F,MATCH(G378,driver_dataset!A:A,0))</f>
        <v>Bike</v>
      </c>
    </row>
    <row r="379">
      <c r="A379" s="3" t="s">
        <v>3089</v>
      </c>
      <c r="B379" s="73">
        <v>45089.0</v>
      </c>
      <c r="C379" s="74">
        <v>45093.0</v>
      </c>
      <c r="D379" s="3">
        <v>2.0</v>
      </c>
      <c r="E379" s="3">
        <v>3.0</v>
      </c>
      <c r="F379" s="3">
        <f t="shared" si="1"/>
        <v>4</v>
      </c>
      <c r="G379" s="78" t="s">
        <v>2496</v>
      </c>
      <c r="H379" s="3" t="str">
        <f t="array" ref="H379">INDEX(driver_dataset!F:F,MATCH(G379,driver_dataset!A:A,0))</f>
        <v>Bike</v>
      </c>
    </row>
    <row r="380">
      <c r="A380" s="3" t="s">
        <v>3090</v>
      </c>
      <c r="B380" s="73">
        <v>45089.0</v>
      </c>
      <c r="C380" s="74">
        <v>45091.0</v>
      </c>
      <c r="D380" s="3">
        <v>7.0</v>
      </c>
      <c r="E380" s="3">
        <v>10.0</v>
      </c>
      <c r="F380" s="3">
        <f t="shared" si="1"/>
        <v>2</v>
      </c>
      <c r="G380" s="78" t="s">
        <v>2587</v>
      </c>
      <c r="H380" s="3" t="str">
        <f t="array" ref="H380">INDEX(driver_dataset!F:F,MATCH(G380,driver_dataset!A:A,0))</f>
        <v>Van</v>
      </c>
    </row>
    <row r="381">
      <c r="A381" s="3" t="s">
        <v>3091</v>
      </c>
      <c r="B381" s="73">
        <v>45089.0</v>
      </c>
      <c r="C381" s="74">
        <v>45091.0</v>
      </c>
      <c r="D381" s="3">
        <v>1.0</v>
      </c>
      <c r="E381" s="3">
        <v>3.0</v>
      </c>
      <c r="F381" s="3">
        <f t="shared" si="1"/>
        <v>2</v>
      </c>
      <c r="G381" s="78" t="s">
        <v>2547</v>
      </c>
      <c r="H381" s="3" t="str">
        <f t="array" ref="H381">INDEX(driver_dataset!F:F,MATCH(G381,driver_dataset!A:A,0))</f>
        <v>Bike</v>
      </c>
    </row>
    <row r="382">
      <c r="A382" s="3" t="s">
        <v>3092</v>
      </c>
      <c r="B382" s="73">
        <v>45089.0</v>
      </c>
      <c r="C382" s="74">
        <v>45093.0</v>
      </c>
      <c r="D382" s="3">
        <v>6.0</v>
      </c>
      <c r="E382" s="3">
        <v>3.0</v>
      </c>
      <c r="F382" s="3">
        <f t="shared" si="1"/>
        <v>4</v>
      </c>
      <c r="G382" s="78" t="s">
        <v>2542</v>
      </c>
      <c r="H382" s="3" t="str">
        <f t="array" ref="H382">INDEX(driver_dataset!F:F,MATCH(G382,driver_dataset!A:A,0))</f>
        <v>Bike</v>
      </c>
    </row>
    <row r="383">
      <c r="A383" s="3" t="s">
        <v>3093</v>
      </c>
      <c r="B383" s="73">
        <v>45089.0</v>
      </c>
      <c r="C383" s="74">
        <v>45092.0</v>
      </c>
      <c r="D383" s="3">
        <v>6.0</v>
      </c>
      <c r="E383" s="3">
        <v>2.0</v>
      </c>
      <c r="F383" s="3">
        <f t="shared" si="1"/>
        <v>3</v>
      </c>
      <c r="G383" s="78" t="s">
        <v>2617</v>
      </c>
      <c r="H383" s="3" t="str">
        <f t="array" ref="H383">INDEX(driver_dataset!F:F,MATCH(G383,driver_dataset!A:A,0))</f>
        <v>Bike</v>
      </c>
    </row>
    <row r="384">
      <c r="A384" s="3" t="s">
        <v>3094</v>
      </c>
      <c r="B384" s="73">
        <v>45089.0</v>
      </c>
      <c r="C384" s="74">
        <v>45091.0</v>
      </c>
      <c r="D384" s="3">
        <v>3.0</v>
      </c>
      <c r="E384" s="3">
        <v>2.0</v>
      </c>
      <c r="F384" s="3">
        <f t="shared" si="1"/>
        <v>2</v>
      </c>
      <c r="G384" s="78" t="s">
        <v>2542</v>
      </c>
      <c r="H384" s="3" t="str">
        <f t="array" ref="H384">INDEX(driver_dataset!F:F,MATCH(G384,driver_dataset!A:A,0))</f>
        <v>Bike</v>
      </c>
    </row>
    <row r="385">
      <c r="A385" s="3" t="s">
        <v>3095</v>
      </c>
      <c r="B385" s="73">
        <v>45089.0</v>
      </c>
      <c r="C385" s="74">
        <v>45090.0</v>
      </c>
      <c r="D385" s="3">
        <v>19.0</v>
      </c>
      <c r="E385" s="3">
        <v>6.0</v>
      </c>
      <c r="F385" s="3">
        <f t="shared" si="1"/>
        <v>1</v>
      </c>
      <c r="G385" s="78" t="s">
        <v>2607</v>
      </c>
      <c r="H385" s="3" t="str">
        <f t="array" ref="H385">INDEX(driver_dataset!F:F,MATCH(G385,driver_dataset!A:A,0))</f>
        <v>Van</v>
      </c>
    </row>
    <row r="386">
      <c r="A386" s="3" t="s">
        <v>3096</v>
      </c>
      <c r="B386" s="73">
        <v>45089.0</v>
      </c>
      <c r="C386" s="74">
        <v>45091.0</v>
      </c>
      <c r="D386" s="3">
        <v>17.0</v>
      </c>
      <c r="E386" s="3">
        <v>7.0</v>
      </c>
      <c r="F386" s="3">
        <f t="shared" si="1"/>
        <v>2</v>
      </c>
      <c r="G386" s="78" t="s">
        <v>2627</v>
      </c>
      <c r="H386" s="3" t="str">
        <f t="array" ref="H386">INDEX(driver_dataset!F:F,MATCH(G386,driver_dataset!A:A,0))</f>
        <v>Van</v>
      </c>
    </row>
    <row r="387">
      <c r="A387" s="3" t="s">
        <v>3097</v>
      </c>
      <c r="B387" s="73">
        <v>45089.0</v>
      </c>
      <c r="C387" s="74">
        <v>45090.0</v>
      </c>
      <c r="D387" s="3">
        <v>3.0</v>
      </c>
      <c r="E387" s="3">
        <v>1.0</v>
      </c>
      <c r="F387" s="3">
        <f t="shared" si="1"/>
        <v>1</v>
      </c>
      <c r="G387" s="78" t="s">
        <v>2557</v>
      </c>
      <c r="H387" s="3" t="str">
        <f t="array" ref="H387">INDEX(driver_dataset!F:F,MATCH(G387,driver_dataset!A:A,0))</f>
        <v>Bike</v>
      </c>
    </row>
    <row r="388">
      <c r="A388" s="3" t="s">
        <v>3098</v>
      </c>
      <c r="B388" s="73">
        <v>45089.0</v>
      </c>
      <c r="C388" s="74">
        <v>45094.0</v>
      </c>
      <c r="D388" s="3">
        <v>11.0</v>
      </c>
      <c r="E388" s="3">
        <v>6.0</v>
      </c>
      <c r="F388" s="3">
        <f t="shared" si="1"/>
        <v>5</v>
      </c>
      <c r="G388" s="78" t="s">
        <v>2537</v>
      </c>
      <c r="H388" s="3" t="str">
        <f t="array" ref="H388">INDEX(driver_dataset!F:F,MATCH(G388,driver_dataset!A:A,0))</f>
        <v>Van</v>
      </c>
    </row>
    <row r="389">
      <c r="A389" s="3" t="s">
        <v>3099</v>
      </c>
      <c r="B389" s="73">
        <v>45089.0</v>
      </c>
      <c r="C389" s="74">
        <v>45093.0</v>
      </c>
      <c r="D389" s="3">
        <v>13.0</v>
      </c>
      <c r="E389" s="3">
        <v>9.0</v>
      </c>
      <c r="F389" s="3">
        <f t="shared" si="1"/>
        <v>4</v>
      </c>
      <c r="G389" s="78" t="s">
        <v>2667</v>
      </c>
      <c r="H389" s="3" t="str">
        <f t="array" ref="H389">INDEX(driver_dataset!F:F,MATCH(G389,driver_dataset!A:A,0))</f>
        <v>Van</v>
      </c>
    </row>
    <row r="390">
      <c r="A390" s="3" t="s">
        <v>3100</v>
      </c>
      <c r="B390" s="73">
        <v>45089.0</v>
      </c>
      <c r="C390" s="74">
        <v>45093.0</v>
      </c>
      <c r="D390" s="3">
        <v>6.0</v>
      </c>
      <c r="E390" s="3">
        <v>2.0</v>
      </c>
      <c r="F390" s="3">
        <f t="shared" si="1"/>
        <v>4</v>
      </c>
      <c r="G390" s="78" t="s">
        <v>2602</v>
      </c>
      <c r="H390" s="3" t="str">
        <f t="array" ref="H390">INDEX(driver_dataset!F:F,MATCH(G390,driver_dataset!A:A,0))</f>
        <v>Bike</v>
      </c>
    </row>
    <row r="391">
      <c r="A391" s="3" t="s">
        <v>3101</v>
      </c>
      <c r="B391" s="73">
        <v>45089.0</v>
      </c>
      <c r="C391" s="74">
        <v>45090.0</v>
      </c>
      <c r="D391" s="3">
        <v>20.0</v>
      </c>
      <c r="E391" s="3">
        <v>9.0</v>
      </c>
      <c r="F391" s="3">
        <f t="shared" si="1"/>
        <v>1</v>
      </c>
      <c r="G391" s="78" t="s">
        <v>2662</v>
      </c>
      <c r="H391" s="3" t="str">
        <f t="array" ref="H391">INDEX(driver_dataset!F:F,MATCH(G391,driver_dataset!A:A,0))</f>
        <v>Van</v>
      </c>
    </row>
    <row r="392">
      <c r="A392" s="3" t="s">
        <v>3102</v>
      </c>
      <c r="B392" s="73">
        <v>45089.0</v>
      </c>
      <c r="C392" s="74">
        <v>45094.0</v>
      </c>
      <c r="D392" s="3">
        <v>1.0</v>
      </c>
      <c r="E392" s="3">
        <v>3.0</v>
      </c>
      <c r="F392" s="3">
        <f t="shared" si="1"/>
        <v>5</v>
      </c>
      <c r="G392" s="78" t="s">
        <v>2612</v>
      </c>
      <c r="H392" s="3" t="str">
        <f t="array" ref="H392">INDEX(driver_dataset!F:F,MATCH(G392,driver_dataset!A:A,0))</f>
        <v>Bike</v>
      </c>
    </row>
    <row r="393">
      <c r="A393" s="3" t="s">
        <v>3103</v>
      </c>
      <c r="B393" s="73">
        <v>45089.0</v>
      </c>
      <c r="C393" s="74">
        <v>45091.0</v>
      </c>
      <c r="D393" s="3">
        <v>17.0</v>
      </c>
      <c r="E393" s="3">
        <v>7.0</v>
      </c>
      <c r="F393" s="3">
        <f t="shared" si="1"/>
        <v>2</v>
      </c>
      <c r="G393" s="78" t="s">
        <v>2697</v>
      </c>
      <c r="H393" s="3" t="str">
        <f t="array" ref="H393">INDEX(driver_dataset!F:F,MATCH(G393,driver_dataset!A:A,0))</f>
        <v>Van</v>
      </c>
    </row>
    <row r="394">
      <c r="A394" s="3" t="s">
        <v>3104</v>
      </c>
      <c r="B394" s="73">
        <v>45089.0</v>
      </c>
      <c r="C394" s="74">
        <v>45091.0</v>
      </c>
      <c r="D394" s="3">
        <v>4.0</v>
      </c>
      <c r="E394" s="3">
        <v>1.0</v>
      </c>
      <c r="F394" s="3">
        <f t="shared" si="1"/>
        <v>2</v>
      </c>
      <c r="G394" s="78" t="s">
        <v>2496</v>
      </c>
      <c r="H394" s="3" t="str">
        <f t="array" ref="H394">INDEX(driver_dataset!F:F,MATCH(G394,driver_dataset!A:A,0))</f>
        <v>Bike</v>
      </c>
    </row>
    <row r="395">
      <c r="A395" s="3" t="s">
        <v>3105</v>
      </c>
      <c r="B395" s="73">
        <v>45089.0</v>
      </c>
      <c r="C395" s="74">
        <v>45092.0</v>
      </c>
      <c r="D395" s="3">
        <v>1.0</v>
      </c>
      <c r="E395" s="3">
        <v>2.0</v>
      </c>
      <c r="F395" s="3">
        <f t="shared" si="1"/>
        <v>3</v>
      </c>
      <c r="G395" s="78" t="s">
        <v>2542</v>
      </c>
      <c r="H395" s="3" t="str">
        <f t="array" ref="H395">INDEX(driver_dataset!F:F,MATCH(G395,driver_dataset!A:A,0))</f>
        <v>Bike</v>
      </c>
    </row>
    <row r="396">
      <c r="A396" s="3" t="s">
        <v>3106</v>
      </c>
      <c r="B396" s="73">
        <v>45089.0</v>
      </c>
      <c r="C396" s="74">
        <v>45091.0</v>
      </c>
      <c r="D396" s="3">
        <v>3.0</v>
      </c>
      <c r="E396" s="3">
        <v>2.0</v>
      </c>
      <c r="F396" s="3">
        <f t="shared" si="1"/>
        <v>2</v>
      </c>
      <c r="G396" s="78" t="s">
        <v>2622</v>
      </c>
      <c r="H396" s="3" t="str">
        <f t="array" ref="H396">INDEX(driver_dataset!F:F,MATCH(G396,driver_dataset!A:A,0))</f>
        <v>Bike</v>
      </c>
    </row>
    <row r="397">
      <c r="A397" s="3" t="s">
        <v>3107</v>
      </c>
      <c r="B397" s="73">
        <v>45089.0</v>
      </c>
      <c r="C397" s="74">
        <v>45093.0</v>
      </c>
      <c r="D397" s="3">
        <v>4.0</v>
      </c>
      <c r="E397" s="3">
        <v>2.0</v>
      </c>
      <c r="F397" s="3">
        <f t="shared" si="1"/>
        <v>4</v>
      </c>
      <c r="G397" s="78" t="s">
        <v>2506</v>
      </c>
      <c r="H397" s="3" t="str">
        <f t="array" ref="H397">INDEX(driver_dataset!F:F,MATCH(G397,driver_dataset!A:A,0))</f>
        <v>Bike</v>
      </c>
    </row>
    <row r="398">
      <c r="A398" s="3" t="s">
        <v>3108</v>
      </c>
      <c r="B398" s="73">
        <v>45089.0</v>
      </c>
      <c r="C398" s="74">
        <v>45091.0</v>
      </c>
      <c r="D398" s="3">
        <v>2.0</v>
      </c>
      <c r="E398" s="3">
        <v>1.0</v>
      </c>
      <c r="F398" s="3">
        <f t="shared" si="1"/>
        <v>2</v>
      </c>
      <c r="G398" s="78" t="s">
        <v>2602</v>
      </c>
      <c r="H398" s="3" t="str">
        <f t="array" ref="H398">INDEX(driver_dataset!F:F,MATCH(G398,driver_dataset!A:A,0))</f>
        <v>Bike</v>
      </c>
    </row>
    <row r="399">
      <c r="A399" s="3" t="s">
        <v>3109</v>
      </c>
      <c r="B399" s="73">
        <v>45089.0</v>
      </c>
      <c r="C399" s="74">
        <v>45092.0</v>
      </c>
      <c r="D399" s="3">
        <v>5.0</v>
      </c>
      <c r="E399" s="3">
        <v>2.0</v>
      </c>
      <c r="F399" s="3">
        <f t="shared" si="1"/>
        <v>3</v>
      </c>
      <c r="G399" s="78" t="s">
        <v>2511</v>
      </c>
      <c r="H399" s="3" t="str">
        <f t="array" ref="H399">INDEX(driver_dataset!F:F,MATCH(G399,driver_dataset!A:A,0))</f>
        <v>Bike</v>
      </c>
    </row>
    <row r="400">
      <c r="A400" s="3" t="s">
        <v>3110</v>
      </c>
      <c r="B400" s="73">
        <v>45089.0</v>
      </c>
      <c r="C400" s="74">
        <v>45092.0</v>
      </c>
      <c r="D400" s="3">
        <v>3.0</v>
      </c>
      <c r="E400" s="3">
        <v>3.0</v>
      </c>
      <c r="F400" s="3">
        <f t="shared" si="1"/>
        <v>3</v>
      </c>
      <c r="G400" s="78" t="s">
        <v>2577</v>
      </c>
      <c r="H400" s="3" t="str">
        <f t="array" ref="H400">INDEX(driver_dataset!F:F,MATCH(G400,driver_dataset!A:A,0))</f>
        <v>Bike</v>
      </c>
    </row>
    <row r="401">
      <c r="A401" s="3" t="s">
        <v>3111</v>
      </c>
      <c r="B401" s="73">
        <v>45089.0</v>
      </c>
      <c r="C401" s="74">
        <v>45094.0</v>
      </c>
      <c r="D401" s="3">
        <v>5.0</v>
      </c>
      <c r="E401" s="3">
        <v>3.0</v>
      </c>
      <c r="F401" s="3">
        <f t="shared" si="1"/>
        <v>5</v>
      </c>
      <c r="G401" s="78" t="s">
        <v>2577</v>
      </c>
      <c r="H401" s="3" t="str">
        <f t="array" ref="H401">INDEX(driver_dataset!F:F,MATCH(G401,driver_dataset!A:A,0))</f>
        <v>Bike</v>
      </c>
    </row>
    <row r="402">
      <c r="A402" s="3" t="s">
        <v>3112</v>
      </c>
      <c r="B402" s="73">
        <v>45090.0</v>
      </c>
      <c r="C402" s="74">
        <v>45095.0</v>
      </c>
      <c r="D402" s="3">
        <v>5.0</v>
      </c>
      <c r="E402" s="3">
        <v>1.0</v>
      </c>
      <c r="F402" s="3">
        <f t="shared" si="1"/>
        <v>5</v>
      </c>
      <c r="G402" s="78" t="s">
        <v>2597</v>
      </c>
      <c r="H402" s="3" t="str">
        <f t="array" ref="H402">INDEX(driver_dataset!F:F,MATCH(G402,driver_dataset!A:A,0))</f>
        <v>Bike</v>
      </c>
    </row>
    <row r="403">
      <c r="A403" s="3" t="s">
        <v>3113</v>
      </c>
      <c r="B403" s="73">
        <v>45090.0</v>
      </c>
      <c r="C403" s="74">
        <v>45095.0</v>
      </c>
      <c r="D403" s="3">
        <v>6.0</v>
      </c>
      <c r="E403" s="3">
        <v>1.0</v>
      </c>
      <c r="F403" s="3">
        <f t="shared" si="1"/>
        <v>5</v>
      </c>
      <c r="G403" s="78" t="s">
        <v>2692</v>
      </c>
      <c r="H403" s="3" t="str">
        <f t="array" ref="H403">INDEX(driver_dataset!F:F,MATCH(G403,driver_dataset!A:A,0))</f>
        <v>Bike</v>
      </c>
    </row>
    <row r="404">
      <c r="A404" s="3" t="s">
        <v>3114</v>
      </c>
      <c r="B404" s="73">
        <v>45090.0</v>
      </c>
      <c r="C404" s="74">
        <v>45094.0</v>
      </c>
      <c r="D404" s="3">
        <v>15.0</v>
      </c>
      <c r="E404" s="3">
        <v>6.0</v>
      </c>
      <c r="F404" s="3">
        <f t="shared" si="1"/>
        <v>4</v>
      </c>
      <c r="G404" s="78" t="s">
        <v>2667</v>
      </c>
      <c r="H404" s="3" t="str">
        <f t="array" ref="H404">INDEX(driver_dataset!F:F,MATCH(G404,driver_dataset!A:A,0))</f>
        <v>Van</v>
      </c>
    </row>
    <row r="405">
      <c r="A405" s="3" t="s">
        <v>3115</v>
      </c>
      <c r="B405" s="73">
        <v>45090.0</v>
      </c>
      <c r="C405" s="74">
        <v>45094.0</v>
      </c>
      <c r="D405" s="3">
        <v>1.0</v>
      </c>
      <c r="E405" s="3">
        <v>3.0</v>
      </c>
      <c r="F405" s="3">
        <f t="shared" si="1"/>
        <v>4</v>
      </c>
      <c r="G405" s="78" t="s">
        <v>2677</v>
      </c>
      <c r="H405" s="3" t="str">
        <f t="array" ref="H405">INDEX(driver_dataset!F:F,MATCH(G405,driver_dataset!A:A,0))</f>
        <v>Bike</v>
      </c>
    </row>
    <row r="406">
      <c r="A406" s="3" t="s">
        <v>3116</v>
      </c>
      <c r="B406" s="73">
        <v>45090.0</v>
      </c>
      <c r="C406" s="74">
        <v>45093.0</v>
      </c>
      <c r="D406" s="3">
        <v>6.0</v>
      </c>
      <c r="E406" s="3">
        <v>1.0</v>
      </c>
      <c r="F406" s="3">
        <f t="shared" si="1"/>
        <v>3</v>
      </c>
      <c r="G406" s="78" t="s">
        <v>2597</v>
      </c>
      <c r="H406" s="3" t="str">
        <f t="array" ref="H406">INDEX(driver_dataset!F:F,MATCH(G406,driver_dataset!A:A,0))</f>
        <v>Bike</v>
      </c>
    </row>
    <row r="407">
      <c r="A407" s="3" t="s">
        <v>3117</v>
      </c>
      <c r="B407" s="73">
        <v>45090.0</v>
      </c>
      <c r="C407" s="74">
        <v>45092.0</v>
      </c>
      <c r="D407" s="3">
        <v>4.0</v>
      </c>
      <c r="E407" s="3">
        <v>2.0</v>
      </c>
      <c r="F407" s="3">
        <f t="shared" si="1"/>
        <v>2</v>
      </c>
      <c r="G407" s="78" t="s">
        <v>2677</v>
      </c>
      <c r="H407" s="3" t="str">
        <f t="array" ref="H407">INDEX(driver_dataset!F:F,MATCH(G407,driver_dataset!A:A,0))</f>
        <v>Bike</v>
      </c>
    </row>
    <row r="408">
      <c r="A408" s="3" t="s">
        <v>3118</v>
      </c>
      <c r="B408" s="73">
        <v>45090.0</v>
      </c>
      <c r="C408" s="74">
        <v>45094.0</v>
      </c>
      <c r="D408" s="3">
        <v>1.0</v>
      </c>
      <c r="E408" s="3">
        <v>1.0</v>
      </c>
      <c r="F408" s="3">
        <f t="shared" si="1"/>
        <v>4</v>
      </c>
      <c r="G408" s="78" t="s">
        <v>2496</v>
      </c>
      <c r="H408" s="3" t="str">
        <f t="array" ref="H408">INDEX(driver_dataset!F:F,MATCH(G408,driver_dataset!A:A,0))</f>
        <v>Bike</v>
      </c>
    </row>
    <row r="409">
      <c r="A409" s="3" t="s">
        <v>3119</v>
      </c>
      <c r="B409" s="73">
        <v>45090.0</v>
      </c>
      <c r="C409" s="74">
        <v>45094.0</v>
      </c>
      <c r="D409" s="3">
        <v>1.0</v>
      </c>
      <c r="E409" s="3">
        <v>3.0</v>
      </c>
      <c r="F409" s="3">
        <f t="shared" si="1"/>
        <v>4</v>
      </c>
      <c r="G409" s="78" t="s">
        <v>2511</v>
      </c>
      <c r="H409" s="3" t="str">
        <f t="array" ref="H409">INDEX(driver_dataset!F:F,MATCH(G409,driver_dataset!A:A,0))</f>
        <v>Bike</v>
      </c>
    </row>
    <row r="410">
      <c r="A410" s="3" t="s">
        <v>3120</v>
      </c>
      <c r="B410" s="73">
        <v>45090.0</v>
      </c>
      <c r="C410" s="74">
        <v>45095.0</v>
      </c>
      <c r="D410" s="3">
        <v>2.0</v>
      </c>
      <c r="E410" s="3">
        <v>2.0</v>
      </c>
      <c r="F410" s="3">
        <f t="shared" si="1"/>
        <v>5</v>
      </c>
      <c r="G410" s="78" t="s">
        <v>2687</v>
      </c>
      <c r="H410" s="3" t="str">
        <f t="array" ref="H410">INDEX(driver_dataset!F:F,MATCH(G410,driver_dataset!A:A,0))</f>
        <v>Bike</v>
      </c>
    </row>
    <row r="411">
      <c r="A411" s="3" t="s">
        <v>3121</v>
      </c>
      <c r="B411" s="73">
        <v>45090.0</v>
      </c>
      <c r="C411" s="74">
        <v>45091.0</v>
      </c>
      <c r="D411" s="3">
        <v>1.0</v>
      </c>
      <c r="E411" s="3">
        <v>1.0</v>
      </c>
      <c r="F411" s="3">
        <f t="shared" si="1"/>
        <v>1</v>
      </c>
      <c r="G411" s="78" t="s">
        <v>2547</v>
      </c>
      <c r="H411" s="3" t="str">
        <f t="array" ref="H411">INDEX(driver_dataset!F:F,MATCH(G411,driver_dataset!A:A,0))</f>
        <v>Bike</v>
      </c>
    </row>
    <row r="412">
      <c r="A412" s="3" t="s">
        <v>3122</v>
      </c>
      <c r="B412" s="73">
        <v>45090.0</v>
      </c>
      <c r="C412" s="74">
        <v>45091.0</v>
      </c>
      <c r="D412" s="3">
        <v>1.0</v>
      </c>
      <c r="E412" s="3">
        <v>3.0</v>
      </c>
      <c r="F412" s="3">
        <f t="shared" si="1"/>
        <v>1</v>
      </c>
      <c r="G412" s="78" t="s">
        <v>2506</v>
      </c>
      <c r="H412" s="3" t="str">
        <f t="array" ref="H412">INDEX(driver_dataset!F:F,MATCH(G412,driver_dataset!A:A,0))</f>
        <v>Bike</v>
      </c>
    </row>
    <row r="413">
      <c r="A413" s="3" t="s">
        <v>3123</v>
      </c>
      <c r="B413" s="73">
        <v>45090.0</v>
      </c>
      <c r="C413" s="74">
        <v>45093.0</v>
      </c>
      <c r="D413" s="3">
        <v>13.0</v>
      </c>
      <c r="E413" s="3">
        <v>5.0</v>
      </c>
      <c r="F413" s="3">
        <f t="shared" si="1"/>
        <v>3</v>
      </c>
      <c r="G413" s="78" t="s">
        <v>2484</v>
      </c>
      <c r="H413" s="3" t="str">
        <f t="array" ref="H413">INDEX(driver_dataset!F:F,MATCH(G413,driver_dataset!A:A,0))</f>
        <v>Van</v>
      </c>
    </row>
    <row r="414">
      <c r="A414" s="3" t="s">
        <v>3124</v>
      </c>
      <c r="B414" s="73">
        <v>45090.0</v>
      </c>
      <c r="C414" s="74">
        <v>45092.0</v>
      </c>
      <c r="D414" s="3">
        <v>4.0</v>
      </c>
      <c r="E414" s="3">
        <v>2.0</v>
      </c>
      <c r="F414" s="3">
        <f t="shared" si="1"/>
        <v>2</v>
      </c>
      <c r="G414" s="78" t="s">
        <v>2612</v>
      </c>
      <c r="H414" s="3" t="str">
        <f t="array" ref="H414">INDEX(driver_dataset!F:F,MATCH(G414,driver_dataset!A:A,0))</f>
        <v>Bike</v>
      </c>
    </row>
    <row r="415">
      <c r="A415" s="3" t="s">
        <v>3125</v>
      </c>
      <c r="B415" s="73">
        <v>45090.0</v>
      </c>
      <c r="C415" s="74">
        <v>45095.0</v>
      </c>
      <c r="D415" s="3">
        <v>10.0</v>
      </c>
      <c r="E415" s="3">
        <v>5.0</v>
      </c>
      <c r="F415" s="3">
        <f t="shared" si="1"/>
        <v>5</v>
      </c>
      <c r="G415" s="78" t="s">
        <v>2667</v>
      </c>
      <c r="H415" s="3" t="str">
        <f t="array" ref="H415">INDEX(driver_dataset!F:F,MATCH(G415,driver_dataset!A:A,0))</f>
        <v>Van</v>
      </c>
    </row>
    <row r="416">
      <c r="A416" s="3" t="s">
        <v>3126</v>
      </c>
      <c r="B416" s="73">
        <v>45090.0</v>
      </c>
      <c r="C416" s="74">
        <v>45092.0</v>
      </c>
      <c r="D416" s="3">
        <v>20.0</v>
      </c>
      <c r="E416" s="3">
        <v>5.0</v>
      </c>
      <c r="F416" s="3">
        <f t="shared" si="1"/>
        <v>2</v>
      </c>
      <c r="G416" s="78" t="s">
        <v>2587</v>
      </c>
      <c r="H416" s="3" t="str">
        <f t="array" ref="H416">INDEX(driver_dataset!F:F,MATCH(G416,driver_dataset!A:A,0))</f>
        <v>Van</v>
      </c>
    </row>
    <row r="417">
      <c r="A417" s="3" t="s">
        <v>3127</v>
      </c>
      <c r="B417" s="73">
        <v>45090.0</v>
      </c>
      <c r="C417" s="74">
        <v>45091.0</v>
      </c>
      <c r="D417" s="3">
        <v>4.0</v>
      </c>
      <c r="E417" s="3">
        <v>3.0</v>
      </c>
      <c r="F417" s="3">
        <f t="shared" si="1"/>
        <v>1</v>
      </c>
      <c r="G417" s="78" t="s">
        <v>2677</v>
      </c>
      <c r="H417" s="3" t="str">
        <f t="array" ref="H417">INDEX(driver_dataset!F:F,MATCH(G417,driver_dataset!A:A,0))</f>
        <v>Bike</v>
      </c>
    </row>
    <row r="418">
      <c r="A418" s="3" t="s">
        <v>3128</v>
      </c>
      <c r="B418" s="73">
        <v>45090.0</v>
      </c>
      <c r="C418" s="74">
        <v>45091.0</v>
      </c>
      <c r="D418" s="3">
        <v>11.0</v>
      </c>
      <c r="E418" s="3">
        <v>5.0</v>
      </c>
      <c r="F418" s="3">
        <f t="shared" si="1"/>
        <v>1</v>
      </c>
      <c r="G418" s="78" t="s">
        <v>2537</v>
      </c>
      <c r="H418" s="3" t="str">
        <f t="array" ref="H418">INDEX(driver_dataset!F:F,MATCH(G418,driver_dataset!A:A,0))</f>
        <v>Van</v>
      </c>
    </row>
    <row r="419">
      <c r="A419" s="3" t="s">
        <v>3129</v>
      </c>
      <c r="B419" s="73">
        <v>45090.0</v>
      </c>
      <c r="C419" s="74">
        <v>45095.0</v>
      </c>
      <c r="D419" s="3">
        <v>3.0</v>
      </c>
      <c r="E419" s="3">
        <v>1.0</v>
      </c>
      <c r="F419" s="3">
        <f t="shared" si="1"/>
        <v>5</v>
      </c>
      <c r="G419" s="78" t="s">
        <v>2542</v>
      </c>
      <c r="H419" s="3" t="str">
        <f t="array" ref="H419">INDEX(driver_dataset!F:F,MATCH(G419,driver_dataset!A:A,0))</f>
        <v>Bike</v>
      </c>
    </row>
    <row r="420">
      <c r="A420" s="3" t="s">
        <v>3130</v>
      </c>
      <c r="B420" s="73">
        <v>45090.0</v>
      </c>
      <c r="C420" s="74">
        <v>45092.0</v>
      </c>
      <c r="D420" s="3">
        <v>2.0</v>
      </c>
      <c r="E420" s="3">
        <v>1.0</v>
      </c>
      <c r="F420" s="3">
        <f t="shared" si="1"/>
        <v>2</v>
      </c>
      <c r="G420" s="78" t="s">
        <v>2567</v>
      </c>
      <c r="H420" s="3" t="str">
        <f t="array" ref="H420">INDEX(driver_dataset!F:F,MATCH(G420,driver_dataset!A:A,0))</f>
        <v>Bike</v>
      </c>
    </row>
    <row r="421">
      <c r="A421" s="3" t="s">
        <v>3131</v>
      </c>
      <c r="B421" s="73">
        <v>45090.0</v>
      </c>
      <c r="C421" s="74">
        <v>45091.0</v>
      </c>
      <c r="D421" s="3">
        <v>6.0</v>
      </c>
      <c r="E421" s="3">
        <v>2.0</v>
      </c>
      <c r="F421" s="3">
        <f t="shared" si="1"/>
        <v>1</v>
      </c>
      <c r="G421" s="78" t="s">
        <v>2612</v>
      </c>
      <c r="H421" s="3" t="str">
        <f t="array" ref="H421">INDEX(driver_dataset!F:F,MATCH(G421,driver_dataset!A:A,0))</f>
        <v>Bike</v>
      </c>
    </row>
    <row r="422">
      <c r="A422" s="3" t="s">
        <v>3132</v>
      </c>
      <c r="B422" s="73">
        <v>45090.0</v>
      </c>
      <c r="C422" s="74">
        <v>45093.0</v>
      </c>
      <c r="D422" s="3">
        <v>6.0</v>
      </c>
      <c r="E422" s="3">
        <v>1.0</v>
      </c>
      <c r="F422" s="3">
        <f t="shared" si="1"/>
        <v>3</v>
      </c>
      <c r="G422" s="78" t="s">
        <v>2612</v>
      </c>
      <c r="H422" s="3" t="str">
        <f t="array" ref="H422">INDEX(driver_dataset!F:F,MATCH(G422,driver_dataset!A:A,0))</f>
        <v>Bike</v>
      </c>
    </row>
    <row r="423">
      <c r="A423" s="3" t="s">
        <v>3133</v>
      </c>
      <c r="B423" s="73">
        <v>45090.0</v>
      </c>
      <c r="C423" s="74">
        <v>45095.0</v>
      </c>
      <c r="D423" s="3">
        <v>3.0</v>
      </c>
      <c r="E423" s="3">
        <v>3.0</v>
      </c>
      <c r="F423" s="3">
        <f t="shared" si="1"/>
        <v>5</v>
      </c>
      <c r="G423" s="78" t="s">
        <v>2532</v>
      </c>
      <c r="H423" s="3" t="str">
        <f t="array" ref="H423">INDEX(driver_dataset!F:F,MATCH(G423,driver_dataset!A:A,0))</f>
        <v>Bike</v>
      </c>
    </row>
    <row r="424">
      <c r="A424" s="3" t="s">
        <v>3134</v>
      </c>
      <c r="B424" s="73">
        <v>45090.0</v>
      </c>
      <c r="C424" s="74">
        <v>45094.0</v>
      </c>
      <c r="D424" s="3">
        <v>6.0</v>
      </c>
      <c r="E424" s="3">
        <v>1.0</v>
      </c>
      <c r="F424" s="3">
        <f t="shared" si="1"/>
        <v>4</v>
      </c>
      <c r="G424" s="78" t="s">
        <v>2527</v>
      </c>
      <c r="H424" s="3" t="str">
        <f t="array" ref="H424">INDEX(driver_dataset!F:F,MATCH(G424,driver_dataset!A:A,0))</f>
        <v>Bike</v>
      </c>
    </row>
    <row r="425">
      <c r="A425" s="3" t="s">
        <v>3135</v>
      </c>
      <c r="B425" s="73">
        <v>45090.0</v>
      </c>
      <c r="C425" s="74">
        <v>45091.0</v>
      </c>
      <c r="D425" s="3">
        <v>1.0</v>
      </c>
      <c r="E425" s="3">
        <v>1.0</v>
      </c>
      <c r="F425" s="3">
        <f t="shared" si="1"/>
        <v>1</v>
      </c>
      <c r="G425" s="78" t="s">
        <v>2490</v>
      </c>
      <c r="H425" s="3" t="str">
        <f t="array" ref="H425">INDEX(driver_dataset!F:F,MATCH(G425,driver_dataset!A:A,0))</f>
        <v>Bike</v>
      </c>
    </row>
    <row r="426">
      <c r="A426" s="3" t="s">
        <v>3136</v>
      </c>
      <c r="B426" s="73">
        <v>45090.0</v>
      </c>
      <c r="C426" s="74">
        <v>45092.0</v>
      </c>
      <c r="D426" s="3">
        <v>10.0</v>
      </c>
      <c r="E426" s="3">
        <v>6.0</v>
      </c>
      <c r="F426" s="3">
        <f t="shared" si="1"/>
        <v>2</v>
      </c>
      <c r="G426" s="78" t="s">
        <v>2607</v>
      </c>
      <c r="H426" s="3" t="str">
        <f t="array" ref="H426">INDEX(driver_dataset!F:F,MATCH(G426,driver_dataset!A:A,0))</f>
        <v>Van</v>
      </c>
    </row>
    <row r="427">
      <c r="A427" s="3" t="s">
        <v>3137</v>
      </c>
      <c r="B427" s="73">
        <v>45090.0</v>
      </c>
      <c r="C427" s="74">
        <v>45092.0</v>
      </c>
      <c r="D427" s="3">
        <v>3.0</v>
      </c>
      <c r="E427" s="3">
        <v>2.0</v>
      </c>
      <c r="F427" s="3">
        <f t="shared" si="1"/>
        <v>2</v>
      </c>
      <c r="G427" s="78" t="s">
        <v>2557</v>
      </c>
      <c r="H427" s="3" t="str">
        <f t="array" ref="H427">INDEX(driver_dataset!F:F,MATCH(G427,driver_dataset!A:A,0))</f>
        <v>Bike</v>
      </c>
    </row>
    <row r="428">
      <c r="A428" s="3" t="s">
        <v>3138</v>
      </c>
      <c r="B428" s="73">
        <v>45090.0</v>
      </c>
      <c r="C428" s="74">
        <v>45092.0</v>
      </c>
      <c r="D428" s="3">
        <v>10.0</v>
      </c>
      <c r="E428" s="3">
        <v>10.0</v>
      </c>
      <c r="F428" s="3">
        <f t="shared" si="1"/>
        <v>2</v>
      </c>
      <c r="G428" s="78" t="s">
        <v>2587</v>
      </c>
      <c r="H428" s="3" t="str">
        <f t="array" ref="H428">INDEX(driver_dataset!F:F,MATCH(G428,driver_dataset!A:A,0))</f>
        <v>Van</v>
      </c>
    </row>
    <row r="429">
      <c r="A429" s="3" t="s">
        <v>3139</v>
      </c>
      <c r="B429" s="73">
        <v>45090.0</v>
      </c>
      <c r="C429" s="74">
        <v>45093.0</v>
      </c>
      <c r="D429" s="3">
        <v>20.0</v>
      </c>
      <c r="E429" s="3">
        <v>5.0</v>
      </c>
      <c r="F429" s="3">
        <f t="shared" si="1"/>
        <v>3</v>
      </c>
      <c r="G429" s="78" t="s">
        <v>2501</v>
      </c>
      <c r="H429" s="3" t="str">
        <f t="array" ref="H429">INDEX(driver_dataset!F:F,MATCH(G429,driver_dataset!A:A,0))</f>
        <v>Van</v>
      </c>
    </row>
    <row r="430">
      <c r="A430" s="3" t="s">
        <v>3140</v>
      </c>
      <c r="B430" s="73">
        <v>45090.0</v>
      </c>
      <c r="C430" s="74">
        <v>45093.0</v>
      </c>
      <c r="D430" s="3">
        <v>13.0</v>
      </c>
      <c r="E430" s="3">
        <v>4.0</v>
      </c>
      <c r="F430" s="3">
        <f t="shared" si="1"/>
        <v>3</v>
      </c>
      <c r="G430" s="78" t="s">
        <v>2607</v>
      </c>
      <c r="H430" s="3" t="str">
        <f t="array" ref="H430">INDEX(driver_dataset!F:F,MATCH(G430,driver_dataset!A:A,0))</f>
        <v>Van</v>
      </c>
    </row>
    <row r="431">
      <c r="A431" s="3" t="s">
        <v>3141</v>
      </c>
      <c r="B431" s="74">
        <v>45091.0</v>
      </c>
      <c r="C431" s="74">
        <v>45095.0</v>
      </c>
      <c r="D431" s="3">
        <v>6.0</v>
      </c>
      <c r="E431" s="3">
        <v>2.0</v>
      </c>
      <c r="F431" s="3">
        <f t="shared" si="1"/>
        <v>4</v>
      </c>
      <c r="G431" s="78" t="s">
        <v>2496</v>
      </c>
      <c r="H431" s="3" t="str">
        <f t="array" ref="H431">INDEX(driver_dataset!F:F,MATCH(G431,driver_dataset!A:A,0))</f>
        <v>Bike</v>
      </c>
    </row>
    <row r="432">
      <c r="A432" s="3" t="s">
        <v>3142</v>
      </c>
      <c r="B432" s="74">
        <v>45091.0</v>
      </c>
      <c r="C432" s="74">
        <v>45093.0</v>
      </c>
      <c r="D432" s="3">
        <v>5.0</v>
      </c>
      <c r="E432" s="3">
        <v>1.0</v>
      </c>
      <c r="F432" s="3">
        <f t="shared" si="1"/>
        <v>2</v>
      </c>
      <c r="G432" s="78" t="s">
        <v>2532</v>
      </c>
      <c r="H432" s="3" t="str">
        <f t="array" ref="H432">INDEX(driver_dataset!F:F,MATCH(G432,driver_dataset!A:A,0))</f>
        <v>Bike</v>
      </c>
    </row>
    <row r="433">
      <c r="A433" s="3" t="s">
        <v>3143</v>
      </c>
      <c r="B433" s="73">
        <v>45091.0</v>
      </c>
      <c r="C433" s="74">
        <v>45094.0</v>
      </c>
      <c r="D433" s="3">
        <v>13.0</v>
      </c>
      <c r="E433" s="3">
        <v>9.0</v>
      </c>
      <c r="F433" s="3">
        <f t="shared" si="1"/>
        <v>3</v>
      </c>
      <c r="G433" s="78" t="s">
        <v>2627</v>
      </c>
      <c r="H433" s="3" t="str">
        <f t="array" ref="H433">INDEX(driver_dataset!F:F,MATCH(G433,driver_dataset!A:A,0))</f>
        <v>Van</v>
      </c>
    </row>
    <row r="434">
      <c r="A434" s="3" t="s">
        <v>3144</v>
      </c>
      <c r="B434" s="73">
        <v>45091.0</v>
      </c>
      <c r="C434" s="74">
        <v>45096.0</v>
      </c>
      <c r="D434" s="3">
        <v>11.0</v>
      </c>
      <c r="E434" s="3">
        <v>4.0</v>
      </c>
      <c r="F434" s="3">
        <f t="shared" si="1"/>
        <v>5</v>
      </c>
      <c r="G434" s="78" t="s">
        <v>2484</v>
      </c>
      <c r="H434" s="3" t="str">
        <f t="array" ref="H434">INDEX(driver_dataset!F:F,MATCH(G434,driver_dataset!A:A,0))</f>
        <v>Van</v>
      </c>
    </row>
    <row r="435">
      <c r="A435" s="3" t="s">
        <v>3145</v>
      </c>
      <c r="B435" s="73">
        <v>45091.0</v>
      </c>
      <c r="C435" s="74">
        <v>45095.0</v>
      </c>
      <c r="D435" s="3">
        <v>19.0</v>
      </c>
      <c r="E435" s="3">
        <v>6.0</v>
      </c>
      <c r="F435" s="3">
        <f t="shared" si="1"/>
        <v>4</v>
      </c>
      <c r="G435" s="78" t="s">
        <v>2672</v>
      </c>
      <c r="H435" s="3" t="str">
        <f t="array" ref="H435">INDEX(driver_dataset!F:F,MATCH(G435,driver_dataset!A:A,0))</f>
        <v>Van</v>
      </c>
    </row>
    <row r="436">
      <c r="A436" s="3" t="s">
        <v>3146</v>
      </c>
      <c r="B436" s="73">
        <v>45091.0</v>
      </c>
      <c r="C436" s="74">
        <v>45094.0</v>
      </c>
      <c r="D436" s="3">
        <v>4.0</v>
      </c>
      <c r="E436" s="3">
        <v>2.0</v>
      </c>
      <c r="F436" s="3">
        <f t="shared" si="1"/>
        <v>3</v>
      </c>
      <c r="G436" s="78" t="s">
        <v>2647</v>
      </c>
      <c r="H436" s="3" t="str">
        <f t="array" ref="H436">INDEX(driver_dataset!F:F,MATCH(G436,driver_dataset!A:A,0))</f>
        <v>Bike</v>
      </c>
    </row>
    <row r="437">
      <c r="A437" s="3" t="s">
        <v>3147</v>
      </c>
      <c r="B437" s="73">
        <v>45091.0</v>
      </c>
      <c r="C437" s="74">
        <v>45093.0</v>
      </c>
      <c r="D437" s="3">
        <v>6.0</v>
      </c>
      <c r="E437" s="3">
        <v>3.0</v>
      </c>
      <c r="F437" s="3">
        <f t="shared" si="1"/>
        <v>2</v>
      </c>
      <c r="G437" s="78" t="s">
        <v>2506</v>
      </c>
      <c r="H437" s="3" t="str">
        <f t="array" ref="H437">INDEX(driver_dataset!F:F,MATCH(G437,driver_dataset!A:A,0))</f>
        <v>Bike</v>
      </c>
    </row>
    <row r="438">
      <c r="A438" s="3" t="s">
        <v>3148</v>
      </c>
      <c r="B438" s="73">
        <v>45091.0</v>
      </c>
      <c r="C438" s="74">
        <v>45096.0</v>
      </c>
      <c r="D438" s="3">
        <v>1.0</v>
      </c>
      <c r="E438" s="3">
        <v>2.0</v>
      </c>
      <c r="F438" s="3">
        <f t="shared" si="1"/>
        <v>5</v>
      </c>
      <c r="G438" s="78" t="s">
        <v>2567</v>
      </c>
      <c r="H438" s="3" t="str">
        <f t="array" ref="H438">INDEX(driver_dataset!F:F,MATCH(G438,driver_dataset!A:A,0))</f>
        <v>Bike</v>
      </c>
    </row>
    <row r="439">
      <c r="A439" s="3" t="s">
        <v>3149</v>
      </c>
      <c r="B439" s="73">
        <v>45091.0</v>
      </c>
      <c r="C439" s="74">
        <v>45092.0</v>
      </c>
      <c r="D439" s="3">
        <v>9.0</v>
      </c>
      <c r="E439" s="3">
        <v>5.0</v>
      </c>
      <c r="F439" s="3">
        <f t="shared" si="1"/>
        <v>1</v>
      </c>
      <c r="G439" s="78" t="s">
        <v>2697</v>
      </c>
      <c r="H439" s="3" t="str">
        <f t="array" ref="H439">INDEX(driver_dataset!F:F,MATCH(G439,driver_dataset!A:A,0))</f>
        <v>Van</v>
      </c>
    </row>
    <row r="440">
      <c r="A440" s="3" t="s">
        <v>3150</v>
      </c>
      <c r="B440" s="73">
        <v>45091.0</v>
      </c>
      <c r="C440" s="74">
        <v>45092.0</v>
      </c>
      <c r="D440" s="3">
        <v>5.0</v>
      </c>
      <c r="E440" s="3">
        <v>2.0</v>
      </c>
      <c r="F440" s="3">
        <f t="shared" si="1"/>
        <v>1</v>
      </c>
      <c r="G440" s="78" t="s">
        <v>2490</v>
      </c>
      <c r="H440" s="3" t="str">
        <f t="array" ref="H440">INDEX(driver_dataset!F:F,MATCH(G440,driver_dataset!A:A,0))</f>
        <v>Bike</v>
      </c>
    </row>
    <row r="441">
      <c r="A441" s="3" t="s">
        <v>3151</v>
      </c>
      <c r="B441" s="73">
        <v>45091.0</v>
      </c>
      <c r="C441" s="74">
        <v>45093.0</v>
      </c>
      <c r="D441" s="3">
        <v>14.0</v>
      </c>
      <c r="E441" s="3">
        <v>4.0</v>
      </c>
      <c r="F441" s="3">
        <f t="shared" si="1"/>
        <v>2</v>
      </c>
      <c r="G441" s="78" t="s">
        <v>2607</v>
      </c>
      <c r="H441" s="3" t="str">
        <f t="array" ref="H441">INDEX(driver_dataset!F:F,MATCH(G441,driver_dataset!A:A,0))</f>
        <v>Van</v>
      </c>
    </row>
    <row r="442">
      <c r="A442" s="3" t="s">
        <v>3152</v>
      </c>
      <c r="B442" s="73">
        <v>45091.0</v>
      </c>
      <c r="C442" s="74">
        <v>45095.0</v>
      </c>
      <c r="D442" s="3">
        <v>2.0</v>
      </c>
      <c r="E442" s="3">
        <v>3.0</v>
      </c>
      <c r="F442" s="3">
        <f t="shared" si="1"/>
        <v>4</v>
      </c>
      <c r="G442" s="78" t="s">
        <v>2490</v>
      </c>
      <c r="H442" s="3" t="str">
        <f t="array" ref="H442">INDEX(driver_dataset!F:F,MATCH(G442,driver_dataset!A:A,0))</f>
        <v>Bike</v>
      </c>
    </row>
    <row r="443">
      <c r="A443" s="3" t="s">
        <v>3153</v>
      </c>
      <c r="B443" s="73">
        <v>45091.0</v>
      </c>
      <c r="C443" s="74">
        <v>45093.0</v>
      </c>
      <c r="D443" s="3">
        <v>3.0</v>
      </c>
      <c r="E443" s="3">
        <v>3.0</v>
      </c>
      <c r="F443" s="3">
        <f t="shared" si="1"/>
        <v>2</v>
      </c>
      <c r="G443" s="78" t="s">
        <v>2602</v>
      </c>
      <c r="H443" s="3" t="str">
        <f t="array" ref="H443">INDEX(driver_dataset!F:F,MATCH(G443,driver_dataset!A:A,0))</f>
        <v>Bike</v>
      </c>
    </row>
    <row r="444">
      <c r="A444" s="3" t="s">
        <v>3154</v>
      </c>
      <c r="B444" s="73">
        <v>45091.0</v>
      </c>
      <c r="C444" s="74">
        <v>45095.0</v>
      </c>
      <c r="D444" s="3">
        <v>16.0</v>
      </c>
      <c r="E444" s="3">
        <v>8.0</v>
      </c>
      <c r="F444" s="3">
        <f t="shared" si="1"/>
        <v>4</v>
      </c>
      <c r="G444" s="78" t="s">
        <v>2662</v>
      </c>
      <c r="H444" s="3" t="str">
        <f t="array" ref="H444">INDEX(driver_dataset!F:F,MATCH(G444,driver_dataset!A:A,0))</f>
        <v>Van</v>
      </c>
    </row>
    <row r="445">
      <c r="A445" s="3" t="s">
        <v>3155</v>
      </c>
      <c r="B445" s="73">
        <v>45091.0</v>
      </c>
      <c r="C445" s="74">
        <v>45095.0</v>
      </c>
      <c r="D445" s="3">
        <v>2.0</v>
      </c>
      <c r="E445" s="3">
        <v>2.0</v>
      </c>
      <c r="F445" s="3">
        <f t="shared" si="1"/>
        <v>4</v>
      </c>
      <c r="G445" s="78" t="s">
        <v>2612</v>
      </c>
      <c r="H445" s="3" t="str">
        <f t="array" ref="H445">INDEX(driver_dataset!F:F,MATCH(G445,driver_dataset!A:A,0))</f>
        <v>Bike</v>
      </c>
    </row>
    <row r="446">
      <c r="A446" s="3" t="s">
        <v>3156</v>
      </c>
      <c r="B446" s="73">
        <v>45091.0</v>
      </c>
      <c r="C446" s="74">
        <v>45096.0</v>
      </c>
      <c r="D446" s="3">
        <v>5.0</v>
      </c>
      <c r="E446" s="3">
        <v>3.0</v>
      </c>
      <c r="F446" s="3">
        <f t="shared" si="1"/>
        <v>5</v>
      </c>
      <c r="G446" s="78" t="s">
        <v>2617</v>
      </c>
      <c r="H446" s="3" t="str">
        <f t="array" ref="H446">INDEX(driver_dataset!F:F,MATCH(G446,driver_dataset!A:A,0))</f>
        <v>Bike</v>
      </c>
    </row>
    <row r="447">
      <c r="A447" s="3" t="s">
        <v>3157</v>
      </c>
      <c r="B447" s="73">
        <v>45091.0</v>
      </c>
      <c r="C447" s="74">
        <v>45096.0</v>
      </c>
      <c r="D447" s="3">
        <v>16.0</v>
      </c>
      <c r="E447" s="3">
        <v>8.0</v>
      </c>
      <c r="F447" s="3">
        <f t="shared" si="1"/>
        <v>5</v>
      </c>
      <c r="G447" s="78" t="s">
        <v>2667</v>
      </c>
      <c r="H447" s="3" t="str">
        <f t="array" ref="H447">INDEX(driver_dataset!F:F,MATCH(G447,driver_dataset!A:A,0))</f>
        <v>Van</v>
      </c>
    </row>
    <row r="448">
      <c r="A448" s="3" t="s">
        <v>3158</v>
      </c>
      <c r="B448" s="73">
        <v>45091.0</v>
      </c>
      <c r="C448" s="74">
        <v>45096.0</v>
      </c>
      <c r="D448" s="3">
        <v>3.0</v>
      </c>
      <c r="E448" s="3">
        <v>2.0</v>
      </c>
      <c r="F448" s="3">
        <f t="shared" si="1"/>
        <v>5</v>
      </c>
      <c r="G448" s="78" t="s">
        <v>2652</v>
      </c>
      <c r="H448" s="3" t="str">
        <f t="array" ref="H448">INDEX(driver_dataset!F:F,MATCH(G448,driver_dataset!A:A,0))</f>
        <v>Bike</v>
      </c>
    </row>
    <row r="449">
      <c r="A449" s="3" t="s">
        <v>3159</v>
      </c>
      <c r="B449" s="73">
        <v>45091.0</v>
      </c>
      <c r="C449" s="74">
        <v>45096.0</v>
      </c>
      <c r="D449" s="3">
        <v>5.0</v>
      </c>
      <c r="E449" s="3">
        <v>1.0</v>
      </c>
      <c r="F449" s="3">
        <f t="shared" si="1"/>
        <v>5</v>
      </c>
      <c r="G449" s="78" t="s">
        <v>2617</v>
      </c>
      <c r="H449" s="3" t="str">
        <f t="array" ref="H449">INDEX(driver_dataset!F:F,MATCH(G449,driver_dataset!A:A,0))</f>
        <v>Bike</v>
      </c>
    </row>
    <row r="450">
      <c r="A450" s="3" t="s">
        <v>3160</v>
      </c>
      <c r="B450" s="73">
        <v>45091.0</v>
      </c>
      <c r="C450" s="74">
        <v>45094.0</v>
      </c>
      <c r="D450" s="3">
        <v>1.0</v>
      </c>
      <c r="E450" s="3">
        <v>1.0</v>
      </c>
      <c r="F450" s="3">
        <f t="shared" si="1"/>
        <v>3</v>
      </c>
      <c r="G450" s="78" t="s">
        <v>2622</v>
      </c>
      <c r="H450" s="3" t="str">
        <f t="array" ref="H450">INDEX(driver_dataset!F:F,MATCH(G450,driver_dataset!A:A,0))</f>
        <v>Bike</v>
      </c>
    </row>
    <row r="451">
      <c r="A451" s="3" t="s">
        <v>3161</v>
      </c>
      <c r="B451" s="73">
        <v>45091.0</v>
      </c>
      <c r="C451" s="74">
        <v>45096.0</v>
      </c>
      <c r="D451" s="3">
        <v>10.0</v>
      </c>
      <c r="E451" s="3">
        <v>10.0</v>
      </c>
      <c r="F451" s="3">
        <f t="shared" si="1"/>
        <v>5</v>
      </c>
      <c r="G451" s="78" t="s">
        <v>2662</v>
      </c>
      <c r="H451" s="3" t="str">
        <f t="array" ref="H451">INDEX(driver_dataset!F:F,MATCH(G451,driver_dataset!A:A,0))</f>
        <v>Van</v>
      </c>
    </row>
    <row r="452">
      <c r="A452" s="3" t="s">
        <v>3162</v>
      </c>
      <c r="B452" s="73">
        <v>45091.0</v>
      </c>
      <c r="C452" s="74">
        <v>45094.0</v>
      </c>
      <c r="D452" s="3">
        <v>3.0</v>
      </c>
      <c r="E452" s="3">
        <v>2.0</v>
      </c>
      <c r="F452" s="3">
        <f t="shared" si="1"/>
        <v>3</v>
      </c>
      <c r="G452" s="78" t="s">
        <v>2692</v>
      </c>
      <c r="H452" s="3" t="str">
        <f t="array" ref="H452">INDEX(driver_dataset!F:F,MATCH(G452,driver_dataset!A:A,0))</f>
        <v>Bike</v>
      </c>
    </row>
    <row r="453">
      <c r="A453" s="3" t="s">
        <v>3163</v>
      </c>
      <c r="B453" s="73">
        <v>45091.0</v>
      </c>
      <c r="C453" s="74">
        <v>45092.0</v>
      </c>
      <c r="D453" s="3">
        <v>19.0</v>
      </c>
      <c r="E453" s="3">
        <v>10.0</v>
      </c>
      <c r="F453" s="3">
        <f t="shared" si="1"/>
        <v>1</v>
      </c>
      <c r="G453" s="78" t="s">
        <v>2662</v>
      </c>
      <c r="H453" s="3" t="str">
        <f t="array" ref="H453">INDEX(driver_dataset!F:F,MATCH(G453,driver_dataset!A:A,0))</f>
        <v>Van</v>
      </c>
    </row>
    <row r="454">
      <c r="A454" s="3" t="s">
        <v>3164</v>
      </c>
      <c r="B454" s="73">
        <v>45091.0</v>
      </c>
      <c r="C454" s="74">
        <v>45094.0</v>
      </c>
      <c r="D454" s="3">
        <v>12.0</v>
      </c>
      <c r="E454" s="3">
        <v>8.0</v>
      </c>
      <c r="F454" s="3">
        <f t="shared" si="1"/>
        <v>3</v>
      </c>
      <c r="G454" s="78" t="s">
        <v>2537</v>
      </c>
      <c r="H454" s="3" t="str">
        <f t="array" ref="H454">INDEX(driver_dataset!F:F,MATCH(G454,driver_dataset!A:A,0))</f>
        <v>Van</v>
      </c>
    </row>
    <row r="455">
      <c r="A455" s="3" t="s">
        <v>3165</v>
      </c>
      <c r="B455" s="73">
        <v>45091.0</v>
      </c>
      <c r="C455" s="74">
        <v>45096.0</v>
      </c>
      <c r="D455" s="3">
        <v>19.0</v>
      </c>
      <c r="E455" s="3">
        <v>7.0</v>
      </c>
      <c r="F455" s="3">
        <f t="shared" si="1"/>
        <v>5</v>
      </c>
      <c r="G455" s="78" t="s">
        <v>2697</v>
      </c>
      <c r="H455" s="3" t="str">
        <f t="array" ref="H455">INDEX(driver_dataset!F:F,MATCH(G455,driver_dataset!A:A,0))</f>
        <v>Van</v>
      </c>
    </row>
    <row r="456">
      <c r="A456" s="3" t="s">
        <v>3166</v>
      </c>
      <c r="B456" s="73">
        <v>45091.0</v>
      </c>
      <c r="C456" s="74">
        <v>45093.0</v>
      </c>
      <c r="D456" s="3">
        <v>18.0</v>
      </c>
      <c r="E456" s="3">
        <v>6.0</v>
      </c>
      <c r="F456" s="3">
        <f t="shared" si="1"/>
        <v>2</v>
      </c>
      <c r="G456" s="78" t="s">
        <v>2637</v>
      </c>
      <c r="H456" s="3" t="str">
        <f t="array" ref="H456">INDEX(driver_dataset!F:F,MATCH(G456,driver_dataset!A:A,0))</f>
        <v>Van</v>
      </c>
    </row>
    <row r="457">
      <c r="A457" s="3" t="s">
        <v>3167</v>
      </c>
      <c r="B457" s="73">
        <v>45091.0</v>
      </c>
      <c r="C457" s="74">
        <v>45095.0</v>
      </c>
      <c r="D457" s="3">
        <v>2.0</v>
      </c>
      <c r="E457" s="3">
        <v>2.0</v>
      </c>
      <c r="F457" s="3">
        <f t="shared" si="1"/>
        <v>4</v>
      </c>
      <c r="G457" s="78" t="s">
        <v>2647</v>
      </c>
      <c r="H457" s="3" t="str">
        <f t="array" ref="H457">INDEX(driver_dataset!F:F,MATCH(G457,driver_dataset!A:A,0))</f>
        <v>Bike</v>
      </c>
    </row>
    <row r="458">
      <c r="A458" s="3" t="s">
        <v>3168</v>
      </c>
      <c r="B458" s="73">
        <v>45091.0</v>
      </c>
      <c r="C458" s="74">
        <v>45093.0</v>
      </c>
      <c r="D458" s="3">
        <v>11.0</v>
      </c>
      <c r="E458" s="3">
        <v>6.0</v>
      </c>
      <c r="F458" s="3">
        <f t="shared" si="1"/>
        <v>2</v>
      </c>
      <c r="G458" s="78" t="s">
        <v>2607</v>
      </c>
      <c r="H458" s="3" t="str">
        <f t="array" ref="H458">INDEX(driver_dataset!F:F,MATCH(G458,driver_dataset!A:A,0))</f>
        <v>Van</v>
      </c>
    </row>
    <row r="459">
      <c r="A459" s="3" t="s">
        <v>3169</v>
      </c>
      <c r="B459" s="73">
        <v>45091.0</v>
      </c>
      <c r="C459" s="74">
        <v>45092.0</v>
      </c>
      <c r="D459" s="3">
        <v>4.0</v>
      </c>
      <c r="E459" s="3">
        <v>3.0</v>
      </c>
      <c r="F459" s="3">
        <f t="shared" si="1"/>
        <v>1</v>
      </c>
      <c r="G459" s="78" t="s">
        <v>2582</v>
      </c>
      <c r="H459" s="3" t="str">
        <f t="array" ref="H459">INDEX(driver_dataset!F:F,MATCH(G459,driver_dataset!A:A,0))</f>
        <v>Bike</v>
      </c>
    </row>
    <row r="460">
      <c r="A460" s="3" t="s">
        <v>3170</v>
      </c>
      <c r="B460" s="73">
        <v>45091.0</v>
      </c>
      <c r="C460" s="74">
        <v>45094.0</v>
      </c>
      <c r="D460" s="3">
        <v>7.0</v>
      </c>
      <c r="E460" s="3">
        <v>10.0</v>
      </c>
      <c r="F460" s="3">
        <f t="shared" si="1"/>
        <v>3</v>
      </c>
      <c r="G460" s="78" t="s">
        <v>2607</v>
      </c>
      <c r="H460" s="3" t="str">
        <f t="array" ref="H460">INDEX(driver_dataset!F:F,MATCH(G460,driver_dataset!A:A,0))</f>
        <v>Van</v>
      </c>
    </row>
    <row r="461">
      <c r="A461" s="3" t="s">
        <v>3171</v>
      </c>
      <c r="B461" s="73">
        <v>45091.0</v>
      </c>
      <c r="C461" s="74">
        <v>45096.0</v>
      </c>
      <c r="D461" s="3">
        <v>15.0</v>
      </c>
      <c r="E461" s="3">
        <v>4.0</v>
      </c>
      <c r="F461" s="3">
        <f t="shared" si="1"/>
        <v>5</v>
      </c>
      <c r="G461" s="78" t="s">
        <v>2501</v>
      </c>
      <c r="H461" s="3" t="str">
        <f t="array" ref="H461">INDEX(driver_dataset!F:F,MATCH(G461,driver_dataset!A:A,0))</f>
        <v>Van</v>
      </c>
    </row>
    <row r="462">
      <c r="A462" s="3" t="s">
        <v>3172</v>
      </c>
      <c r="B462" s="73">
        <v>45091.0</v>
      </c>
      <c r="C462" s="74">
        <v>45093.0</v>
      </c>
      <c r="D462" s="3">
        <v>5.0</v>
      </c>
      <c r="E462" s="3">
        <v>2.0</v>
      </c>
      <c r="F462" s="3">
        <f t="shared" si="1"/>
        <v>2</v>
      </c>
      <c r="G462" s="78" t="s">
        <v>2547</v>
      </c>
      <c r="H462" s="3" t="str">
        <f t="array" ref="H462">INDEX(driver_dataset!F:F,MATCH(G462,driver_dataset!A:A,0))</f>
        <v>Bike</v>
      </c>
    </row>
    <row r="463">
      <c r="A463" s="3" t="s">
        <v>3173</v>
      </c>
      <c r="B463" s="73">
        <v>45091.0</v>
      </c>
      <c r="C463" s="74">
        <v>45092.0</v>
      </c>
      <c r="D463" s="3">
        <v>5.0</v>
      </c>
      <c r="E463" s="3">
        <v>1.0</v>
      </c>
      <c r="F463" s="3">
        <f t="shared" si="1"/>
        <v>1</v>
      </c>
      <c r="G463" s="78" t="s">
        <v>2597</v>
      </c>
      <c r="H463" s="3" t="str">
        <f t="array" ref="H463">INDEX(driver_dataset!F:F,MATCH(G463,driver_dataset!A:A,0))</f>
        <v>Bike</v>
      </c>
    </row>
    <row r="464">
      <c r="A464" s="3" t="s">
        <v>3174</v>
      </c>
      <c r="B464" s="74">
        <v>45092.0</v>
      </c>
      <c r="C464" s="74">
        <v>45096.0</v>
      </c>
      <c r="D464" s="3">
        <v>3.0</v>
      </c>
      <c r="E464" s="3">
        <v>1.0</v>
      </c>
      <c r="F464" s="3">
        <f t="shared" si="1"/>
        <v>4</v>
      </c>
      <c r="G464" s="78" t="s">
        <v>2506</v>
      </c>
      <c r="H464" s="3" t="str">
        <f t="array" ref="H464">INDEX(driver_dataset!F:F,MATCH(G464,driver_dataset!A:A,0))</f>
        <v>Bike</v>
      </c>
    </row>
    <row r="465">
      <c r="A465" s="3" t="s">
        <v>3175</v>
      </c>
      <c r="B465" s="73">
        <v>45092.0</v>
      </c>
      <c r="C465" s="74">
        <v>45097.0</v>
      </c>
      <c r="D465" s="3">
        <v>5.0</v>
      </c>
      <c r="E465" s="3">
        <v>3.0</v>
      </c>
      <c r="F465" s="3">
        <f t="shared" si="1"/>
        <v>5</v>
      </c>
      <c r="G465" s="78" t="s">
        <v>2687</v>
      </c>
      <c r="H465" s="3" t="str">
        <f t="array" ref="H465">INDEX(driver_dataset!F:F,MATCH(G465,driver_dataset!A:A,0))</f>
        <v>Bike</v>
      </c>
    </row>
    <row r="466">
      <c r="A466" s="3" t="s">
        <v>3176</v>
      </c>
      <c r="B466" s="73">
        <v>45092.0</v>
      </c>
      <c r="C466" s="74">
        <v>45097.0</v>
      </c>
      <c r="D466" s="3">
        <v>5.0</v>
      </c>
      <c r="E466" s="3">
        <v>3.0</v>
      </c>
      <c r="F466" s="3">
        <f t="shared" si="1"/>
        <v>5</v>
      </c>
      <c r="G466" s="78" t="s">
        <v>2652</v>
      </c>
      <c r="H466" s="3" t="str">
        <f t="array" ref="H466">INDEX(driver_dataset!F:F,MATCH(G466,driver_dataset!A:A,0))</f>
        <v>Bike</v>
      </c>
    </row>
    <row r="467">
      <c r="A467" s="3" t="s">
        <v>3177</v>
      </c>
      <c r="B467" s="73">
        <v>45092.0</v>
      </c>
      <c r="C467" s="74">
        <v>45093.0</v>
      </c>
      <c r="D467" s="3">
        <v>8.0</v>
      </c>
      <c r="E467" s="3">
        <v>4.0</v>
      </c>
      <c r="F467" s="3">
        <f t="shared" si="1"/>
        <v>1</v>
      </c>
      <c r="G467" s="78" t="s">
        <v>2537</v>
      </c>
      <c r="H467" s="3" t="str">
        <f t="array" ref="H467">INDEX(driver_dataset!F:F,MATCH(G467,driver_dataset!A:A,0))</f>
        <v>Van</v>
      </c>
    </row>
    <row r="468">
      <c r="A468" s="3" t="s">
        <v>3178</v>
      </c>
      <c r="B468" s="73">
        <v>45092.0</v>
      </c>
      <c r="C468" s="74">
        <v>45095.0</v>
      </c>
      <c r="D468" s="3">
        <v>6.0</v>
      </c>
      <c r="E468" s="3">
        <v>2.0</v>
      </c>
      <c r="F468" s="3">
        <f t="shared" si="1"/>
        <v>3</v>
      </c>
      <c r="G468" s="78" t="s">
        <v>2632</v>
      </c>
      <c r="H468" s="3" t="str">
        <f t="array" ref="H468">INDEX(driver_dataset!F:F,MATCH(G468,driver_dataset!A:A,0))</f>
        <v>Bike</v>
      </c>
    </row>
    <row r="469">
      <c r="A469" s="3" t="s">
        <v>3179</v>
      </c>
      <c r="B469" s="73">
        <v>45092.0</v>
      </c>
      <c r="C469" s="74">
        <v>45094.0</v>
      </c>
      <c r="D469" s="3">
        <v>17.0</v>
      </c>
      <c r="E469" s="3">
        <v>6.0</v>
      </c>
      <c r="F469" s="3">
        <f t="shared" si="1"/>
        <v>2</v>
      </c>
      <c r="G469" s="78" t="s">
        <v>2627</v>
      </c>
      <c r="H469" s="3" t="str">
        <f t="array" ref="H469">INDEX(driver_dataset!F:F,MATCH(G469,driver_dataset!A:A,0))</f>
        <v>Van</v>
      </c>
    </row>
    <row r="470">
      <c r="A470" s="3" t="s">
        <v>3180</v>
      </c>
      <c r="B470" s="73">
        <v>45092.0</v>
      </c>
      <c r="C470" s="74">
        <v>45096.0</v>
      </c>
      <c r="D470" s="3">
        <v>15.0</v>
      </c>
      <c r="E470" s="3">
        <v>10.0</v>
      </c>
      <c r="F470" s="3">
        <f t="shared" si="1"/>
        <v>4</v>
      </c>
      <c r="G470" s="78" t="s">
        <v>2627</v>
      </c>
      <c r="H470" s="3" t="str">
        <f t="array" ref="H470">INDEX(driver_dataset!F:F,MATCH(G470,driver_dataset!A:A,0))</f>
        <v>Van</v>
      </c>
    </row>
    <row r="471">
      <c r="A471" s="3" t="s">
        <v>3181</v>
      </c>
      <c r="B471" s="73">
        <v>45092.0</v>
      </c>
      <c r="C471" s="74">
        <v>45096.0</v>
      </c>
      <c r="D471" s="3">
        <v>60.0</v>
      </c>
      <c r="E471" s="3">
        <v>27.0</v>
      </c>
      <c r="F471" s="3">
        <f t="shared" si="1"/>
        <v>4</v>
      </c>
      <c r="G471" s="78" t="s">
        <v>2657</v>
      </c>
      <c r="H471" s="3" t="str">
        <f t="array" ref="H471">INDEX(driver_dataset!F:F,MATCH(G471,driver_dataset!A:A,0))</f>
        <v>Truck</v>
      </c>
    </row>
    <row r="472">
      <c r="A472" s="3" t="s">
        <v>3182</v>
      </c>
      <c r="B472" s="73">
        <v>45092.0</v>
      </c>
      <c r="C472" s="74">
        <v>45093.0</v>
      </c>
      <c r="D472" s="3">
        <v>2.0</v>
      </c>
      <c r="E472" s="3">
        <v>2.0</v>
      </c>
      <c r="F472" s="3">
        <f t="shared" si="1"/>
        <v>1</v>
      </c>
      <c r="G472" s="78" t="s">
        <v>2557</v>
      </c>
      <c r="H472" s="3" t="str">
        <f t="array" ref="H472">INDEX(driver_dataset!F:F,MATCH(G472,driver_dataset!A:A,0))</f>
        <v>Bike</v>
      </c>
    </row>
    <row r="473">
      <c r="A473" s="3" t="s">
        <v>3183</v>
      </c>
      <c r="B473" s="73">
        <v>45092.0</v>
      </c>
      <c r="C473" s="74">
        <v>45094.0</v>
      </c>
      <c r="D473" s="3">
        <v>73.0</v>
      </c>
      <c r="E473" s="3">
        <v>17.0</v>
      </c>
      <c r="F473" s="3">
        <f t="shared" si="1"/>
        <v>2</v>
      </c>
      <c r="G473" s="78" t="s">
        <v>2657</v>
      </c>
      <c r="H473" s="3" t="str">
        <f t="array" ref="H473">INDEX(driver_dataset!F:F,MATCH(G473,driver_dataset!A:A,0))</f>
        <v>Truck</v>
      </c>
    </row>
    <row r="474">
      <c r="A474" s="3" t="s">
        <v>3184</v>
      </c>
      <c r="B474" s="73">
        <v>45092.0</v>
      </c>
      <c r="C474" s="74">
        <v>45095.0</v>
      </c>
      <c r="D474" s="3">
        <v>4.0</v>
      </c>
      <c r="E474" s="3">
        <v>2.0</v>
      </c>
      <c r="F474" s="3">
        <f t="shared" si="1"/>
        <v>3</v>
      </c>
      <c r="G474" s="78" t="s">
        <v>2632</v>
      </c>
      <c r="H474" s="3" t="str">
        <f t="array" ref="H474">INDEX(driver_dataset!F:F,MATCH(G474,driver_dataset!A:A,0))</f>
        <v>Bike</v>
      </c>
    </row>
    <row r="475">
      <c r="A475" s="3" t="s">
        <v>3185</v>
      </c>
      <c r="B475" s="73">
        <v>45092.0</v>
      </c>
      <c r="C475" s="74">
        <v>45097.0</v>
      </c>
      <c r="D475" s="3">
        <v>2.0</v>
      </c>
      <c r="E475" s="3">
        <v>3.0</v>
      </c>
      <c r="F475" s="3">
        <f t="shared" si="1"/>
        <v>5</v>
      </c>
      <c r="G475" s="78" t="s">
        <v>2692</v>
      </c>
      <c r="H475" s="3" t="str">
        <f t="array" ref="H475">INDEX(driver_dataset!F:F,MATCH(G475,driver_dataset!A:A,0))</f>
        <v>Bike</v>
      </c>
    </row>
    <row r="476">
      <c r="A476" s="3" t="s">
        <v>3186</v>
      </c>
      <c r="B476" s="73">
        <v>45092.0</v>
      </c>
      <c r="C476" s="74">
        <v>45095.0</v>
      </c>
      <c r="D476" s="3">
        <v>1.0</v>
      </c>
      <c r="E476" s="3">
        <v>1.0</v>
      </c>
      <c r="F476" s="3">
        <f t="shared" si="1"/>
        <v>3</v>
      </c>
      <c r="G476" s="78" t="s">
        <v>2652</v>
      </c>
      <c r="H476" s="3" t="str">
        <f t="array" ref="H476">INDEX(driver_dataset!F:F,MATCH(G476,driver_dataset!A:A,0))</f>
        <v>Bike</v>
      </c>
    </row>
    <row r="477">
      <c r="A477" s="3" t="s">
        <v>3187</v>
      </c>
      <c r="B477" s="73">
        <v>45092.0</v>
      </c>
      <c r="C477" s="74">
        <v>45097.0</v>
      </c>
      <c r="D477" s="3">
        <v>5.0</v>
      </c>
      <c r="E477" s="3">
        <v>3.0</v>
      </c>
      <c r="F477" s="3">
        <f t="shared" si="1"/>
        <v>5</v>
      </c>
      <c r="G477" s="78" t="s">
        <v>2622</v>
      </c>
      <c r="H477" s="3" t="str">
        <f t="array" ref="H477">INDEX(driver_dataset!F:F,MATCH(G477,driver_dataset!A:A,0))</f>
        <v>Bike</v>
      </c>
    </row>
    <row r="478">
      <c r="A478" s="3" t="s">
        <v>3188</v>
      </c>
      <c r="B478" s="73">
        <v>45092.0</v>
      </c>
      <c r="C478" s="74">
        <v>45095.0</v>
      </c>
      <c r="D478" s="3">
        <v>3.0</v>
      </c>
      <c r="E478" s="3">
        <v>2.0</v>
      </c>
      <c r="F478" s="3">
        <f t="shared" si="1"/>
        <v>3</v>
      </c>
      <c r="G478" s="78" t="s">
        <v>2612</v>
      </c>
      <c r="H478" s="3" t="str">
        <f t="array" ref="H478">INDEX(driver_dataset!F:F,MATCH(G478,driver_dataset!A:A,0))</f>
        <v>Bike</v>
      </c>
    </row>
    <row r="479">
      <c r="A479" s="3" t="s">
        <v>3189</v>
      </c>
      <c r="B479" s="73">
        <v>45092.0</v>
      </c>
      <c r="C479" s="74">
        <v>45096.0</v>
      </c>
      <c r="D479" s="3">
        <v>43.0</v>
      </c>
      <c r="E479" s="3">
        <v>14.0</v>
      </c>
      <c r="F479" s="3">
        <f t="shared" si="1"/>
        <v>4</v>
      </c>
      <c r="G479" s="78" t="s">
        <v>2552</v>
      </c>
      <c r="H479" s="3" t="str">
        <f t="array" ref="H479">INDEX(driver_dataset!F:F,MATCH(G479,driver_dataset!A:A,0))</f>
        <v>Truck</v>
      </c>
    </row>
    <row r="480">
      <c r="A480" s="3" t="s">
        <v>3190</v>
      </c>
      <c r="B480" s="73">
        <v>45092.0</v>
      </c>
      <c r="C480" s="74">
        <v>45093.0</v>
      </c>
      <c r="D480" s="3">
        <v>7.0</v>
      </c>
      <c r="E480" s="3">
        <v>6.0</v>
      </c>
      <c r="F480" s="3">
        <f t="shared" si="1"/>
        <v>1</v>
      </c>
      <c r="G480" s="78" t="s">
        <v>2662</v>
      </c>
      <c r="H480" s="3" t="str">
        <f t="array" ref="H480">INDEX(driver_dataset!F:F,MATCH(G480,driver_dataset!A:A,0))</f>
        <v>Van</v>
      </c>
    </row>
    <row r="481">
      <c r="A481" s="3" t="s">
        <v>3191</v>
      </c>
      <c r="B481" s="73">
        <v>45092.0</v>
      </c>
      <c r="C481" s="74">
        <v>45096.0</v>
      </c>
      <c r="D481" s="3">
        <v>59.0</v>
      </c>
      <c r="E481" s="3">
        <v>20.0</v>
      </c>
      <c r="F481" s="3">
        <f t="shared" si="1"/>
        <v>4</v>
      </c>
      <c r="G481" s="78" t="s">
        <v>2657</v>
      </c>
      <c r="H481" s="3" t="str">
        <f t="array" ref="H481">INDEX(driver_dataset!F:F,MATCH(G481,driver_dataset!A:A,0))</f>
        <v>Truck</v>
      </c>
    </row>
    <row r="482">
      <c r="A482" s="3" t="s">
        <v>3192</v>
      </c>
      <c r="B482" s="73">
        <v>45092.0</v>
      </c>
      <c r="C482" s="74">
        <v>45093.0</v>
      </c>
      <c r="D482" s="3">
        <v>58.0</v>
      </c>
      <c r="E482" s="3">
        <v>16.0</v>
      </c>
      <c r="F482" s="3">
        <f t="shared" si="1"/>
        <v>1</v>
      </c>
      <c r="G482" s="78" t="s">
        <v>2552</v>
      </c>
      <c r="H482" s="3" t="str">
        <f t="array" ref="H482">INDEX(driver_dataset!F:F,MATCH(G482,driver_dataset!A:A,0))</f>
        <v>Truck</v>
      </c>
    </row>
    <row r="483">
      <c r="A483" s="3" t="s">
        <v>3193</v>
      </c>
      <c r="B483" s="73">
        <v>45092.0</v>
      </c>
      <c r="C483" s="74">
        <v>45094.0</v>
      </c>
      <c r="D483" s="3">
        <v>21.0</v>
      </c>
      <c r="E483" s="3">
        <v>24.0</v>
      </c>
      <c r="F483" s="3">
        <f t="shared" si="1"/>
        <v>2</v>
      </c>
      <c r="G483" s="78" t="s">
        <v>2552</v>
      </c>
      <c r="H483" s="3" t="str">
        <f t="array" ref="H483">INDEX(driver_dataset!F:F,MATCH(G483,driver_dataset!A:A,0))</f>
        <v>Truck</v>
      </c>
    </row>
    <row r="484">
      <c r="A484" s="3" t="s">
        <v>3194</v>
      </c>
      <c r="B484" s="73">
        <v>45092.0</v>
      </c>
      <c r="C484" s="74">
        <v>45097.0</v>
      </c>
      <c r="D484" s="3">
        <v>7.0</v>
      </c>
      <c r="E484" s="3">
        <v>9.0</v>
      </c>
      <c r="F484" s="3">
        <f t="shared" si="1"/>
        <v>5</v>
      </c>
      <c r="G484" s="78" t="s">
        <v>2607</v>
      </c>
      <c r="H484" s="3" t="str">
        <f t="array" ref="H484">INDEX(driver_dataset!F:F,MATCH(G484,driver_dataset!A:A,0))</f>
        <v>Van</v>
      </c>
    </row>
    <row r="485">
      <c r="A485" s="3" t="s">
        <v>3195</v>
      </c>
      <c r="B485" s="73">
        <v>45092.0</v>
      </c>
      <c r="C485" s="74">
        <v>45095.0</v>
      </c>
      <c r="D485" s="3">
        <v>65.0</v>
      </c>
      <c r="E485" s="3">
        <v>16.0</v>
      </c>
      <c r="F485" s="3">
        <f t="shared" si="1"/>
        <v>3</v>
      </c>
      <c r="G485" s="78" t="s">
        <v>2552</v>
      </c>
      <c r="H485" s="3" t="str">
        <f t="array" ref="H485">INDEX(driver_dataset!F:F,MATCH(G485,driver_dataset!A:A,0))</f>
        <v>Truck</v>
      </c>
    </row>
    <row r="486">
      <c r="A486" s="3" t="s">
        <v>3196</v>
      </c>
      <c r="B486" s="73">
        <v>45092.0</v>
      </c>
      <c r="C486" s="74">
        <v>45097.0</v>
      </c>
      <c r="D486" s="3">
        <v>70.0</v>
      </c>
      <c r="E486" s="3">
        <v>20.0</v>
      </c>
      <c r="F486" s="3">
        <f t="shared" si="1"/>
        <v>5</v>
      </c>
      <c r="G486" s="78" t="s">
        <v>2657</v>
      </c>
      <c r="H486" s="3" t="str">
        <f t="array" ref="H486">INDEX(driver_dataset!F:F,MATCH(G486,driver_dataset!A:A,0))</f>
        <v>Truck</v>
      </c>
    </row>
    <row r="487">
      <c r="A487" s="3" t="s">
        <v>3197</v>
      </c>
      <c r="B487" s="73">
        <v>45092.0</v>
      </c>
      <c r="C487" s="74">
        <v>45093.0</v>
      </c>
      <c r="D487" s="3">
        <v>8.0</v>
      </c>
      <c r="E487" s="3">
        <v>4.0</v>
      </c>
      <c r="F487" s="3">
        <f t="shared" si="1"/>
        <v>1</v>
      </c>
      <c r="G487" s="78" t="s">
        <v>2587</v>
      </c>
      <c r="H487" s="3" t="str">
        <f t="array" ref="H487">INDEX(driver_dataset!F:F,MATCH(G487,driver_dataset!A:A,0))</f>
        <v>Van</v>
      </c>
    </row>
    <row r="488">
      <c r="A488" s="3" t="s">
        <v>3198</v>
      </c>
      <c r="B488" s="73">
        <v>45092.0</v>
      </c>
      <c r="C488" s="74">
        <v>45093.0</v>
      </c>
      <c r="D488" s="3">
        <v>63.0</v>
      </c>
      <c r="E488" s="3">
        <v>21.0</v>
      </c>
      <c r="F488" s="3">
        <f t="shared" si="1"/>
        <v>1</v>
      </c>
      <c r="G488" s="78" t="s">
        <v>2552</v>
      </c>
      <c r="H488" s="3" t="str">
        <f t="array" ref="H488">INDEX(driver_dataset!F:F,MATCH(G488,driver_dataset!A:A,0))</f>
        <v>Truck</v>
      </c>
    </row>
    <row r="489">
      <c r="A489" s="3" t="s">
        <v>3199</v>
      </c>
      <c r="B489" s="73">
        <v>45092.0</v>
      </c>
      <c r="C489" s="74">
        <v>45093.0</v>
      </c>
      <c r="D489" s="3">
        <v>16.0</v>
      </c>
      <c r="E489" s="3">
        <v>8.0</v>
      </c>
      <c r="F489" s="3">
        <f t="shared" si="1"/>
        <v>1</v>
      </c>
      <c r="G489" s="78" t="s">
        <v>2667</v>
      </c>
      <c r="H489" s="3" t="str">
        <f t="array" ref="H489">INDEX(driver_dataset!F:F,MATCH(G489,driver_dataset!A:A,0))</f>
        <v>Van</v>
      </c>
    </row>
    <row r="490">
      <c r="A490" s="3" t="s">
        <v>3200</v>
      </c>
      <c r="B490" s="73">
        <v>45092.0</v>
      </c>
      <c r="C490" s="74">
        <v>45096.0</v>
      </c>
      <c r="D490" s="3">
        <v>72.0</v>
      </c>
      <c r="E490" s="3">
        <v>17.0</v>
      </c>
      <c r="F490" s="3">
        <f t="shared" si="1"/>
        <v>4</v>
      </c>
      <c r="G490" s="78" t="s">
        <v>2552</v>
      </c>
      <c r="H490" s="3" t="str">
        <f t="array" ref="H490">INDEX(driver_dataset!F:F,MATCH(G490,driver_dataset!A:A,0))</f>
        <v>Truck</v>
      </c>
    </row>
    <row r="491">
      <c r="A491" s="3" t="s">
        <v>3201</v>
      </c>
      <c r="B491" s="73">
        <v>45092.0</v>
      </c>
      <c r="C491" s="74">
        <v>45096.0</v>
      </c>
      <c r="D491" s="3">
        <v>4.0</v>
      </c>
      <c r="E491" s="3">
        <v>3.0</v>
      </c>
      <c r="F491" s="3">
        <f t="shared" si="1"/>
        <v>4</v>
      </c>
      <c r="G491" s="78" t="s">
        <v>2622</v>
      </c>
      <c r="H491" s="3" t="str">
        <f t="array" ref="H491">INDEX(driver_dataset!F:F,MATCH(G491,driver_dataset!A:A,0))</f>
        <v>Bike</v>
      </c>
    </row>
    <row r="492">
      <c r="A492" s="3" t="s">
        <v>3202</v>
      </c>
      <c r="B492" s="73">
        <v>45092.0</v>
      </c>
      <c r="C492" s="74">
        <v>45095.0</v>
      </c>
      <c r="D492" s="3">
        <v>1.0</v>
      </c>
      <c r="E492" s="3">
        <v>2.0</v>
      </c>
      <c r="F492" s="3">
        <f t="shared" si="1"/>
        <v>3</v>
      </c>
      <c r="G492" s="78" t="s">
        <v>2622</v>
      </c>
      <c r="H492" s="3" t="str">
        <f t="array" ref="H492">INDEX(driver_dataset!F:F,MATCH(G492,driver_dataset!A:A,0))</f>
        <v>Bike</v>
      </c>
    </row>
    <row r="493">
      <c r="A493" s="3" t="s">
        <v>3203</v>
      </c>
      <c r="B493" s="73">
        <v>45092.0</v>
      </c>
      <c r="C493" s="74">
        <v>45096.0</v>
      </c>
      <c r="D493" s="3">
        <v>4.0</v>
      </c>
      <c r="E493" s="3">
        <v>2.0</v>
      </c>
      <c r="F493" s="3">
        <f t="shared" si="1"/>
        <v>4</v>
      </c>
      <c r="G493" s="78" t="s">
        <v>2562</v>
      </c>
      <c r="H493" s="3" t="str">
        <f t="array" ref="H493">INDEX(driver_dataset!F:F,MATCH(G493,driver_dataset!A:A,0))</f>
        <v>Bike</v>
      </c>
    </row>
    <row r="494">
      <c r="A494" s="3" t="s">
        <v>3204</v>
      </c>
      <c r="B494" s="73">
        <v>45092.0</v>
      </c>
      <c r="C494" s="74">
        <v>45095.0</v>
      </c>
      <c r="D494" s="3">
        <v>2.0</v>
      </c>
      <c r="E494" s="3">
        <v>3.0</v>
      </c>
      <c r="F494" s="3">
        <f t="shared" si="1"/>
        <v>3</v>
      </c>
      <c r="G494" s="78" t="s">
        <v>2652</v>
      </c>
      <c r="H494" s="3" t="str">
        <f t="array" ref="H494">INDEX(driver_dataset!F:F,MATCH(G494,driver_dataset!A:A,0))</f>
        <v>Bike</v>
      </c>
    </row>
    <row r="495">
      <c r="A495" s="3" t="s">
        <v>3205</v>
      </c>
      <c r="B495" s="73">
        <v>45092.0</v>
      </c>
      <c r="C495" s="74">
        <v>45093.0</v>
      </c>
      <c r="D495" s="3">
        <v>17.0</v>
      </c>
      <c r="E495" s="3">
        <v>6.0</v>
      </c>
      <c r="F495" s="3">
        <f t="shared" si="1"/>
        <v>1</v>
      </c>
      <c r="G495" s="78" t="s">
        <v>2501</v>
      </c>
      <c r="H495" s="3" t="str">
        <f t="array" ref="H495">INDEX(driver_dataset!F:F,MATCH(G495,driver_dataset!A:A,0))</f>
        <v>Van</v>
      </c>
    </row>
    <row r="496">
      <c r="A496" s="3" t="s">
        <v>3206</v>
      </c>
      <c r="B496" s="73">
        <v>45092.0</v>
      </c>
      <c r="C496" s="74">
        <v>45097.0</v>
      </c>
      <c r="D496" s="3">
        <v>72.0</v>
      </c>
      <c r="E496" s="3">
        <v>18.0</v>
      </c>
      <c r="F496" s="3">
        <f t="shared" si="1"/>
        <v>5</v>
      </c>
      <c r="G496" s="78" t="s">
        <v>2657</v>
      </c>
      <c r="H496" s="3" t="str">
        <f t="array" ref="H496">INDEX(driver_dataset!F:F,MATCH(G496,driver_dataset!A:A,0))</f>
        <v>Truck</v>
      </c>
    </row>
    <row r="497">
      <c r="A497" s="3" t="s">
        <v>3207</v>
      </c>
      <c r="B497" s="73">
        <v>45092.0</v>
      </c>
      <c r="C497" s="74">
        <v>45097.0</v>
      </c>
      <c r="D497" s="3">
        <v>14.0</v>
      </c>
      <c r="E497" s="3">
        <v>8.0</v>
      </c>
      <c r="F497" s="3">
        <f t="shared" si="1"/>
        <v>5</v>
      </c>
      <c r="G497" s="78" t="s">
        <v>2662</v>
      </c>
      <c r="H497" s="3" t="str">
        <f t="array" ref="H497">INDEX(driver_dataset!F:F,MATCH(G497,driver_dataset!A:A,0))</f>
        <v>Van</v>
      </c>
    </row>
    <row r="498">
      <c r="A498" s="3" t="s">
        <v>3208</v>
      </c>
      <c r="B498" s="73">
        <v>45092.0</v>
      </c>
      <c r="C498" s="74">
        <v>45097.0</v>
      </c>
      <c r="D498" s="3">
        <v>4.0</v>
      </c>
      <c r="E498" s="3">
        <v>1.0</v>
      </c>
      <c r="F498" s="3">
        <f t="shared" si="1"/>
        <v>5</v>
      </c>
      <c r="G498" s="78" t="s">
        <v>2617</v>
      </c>
      <c r="H498" s="3" t="str">
        <f t="array" ref="H498">INDEX(driver_dataset!F:F,MATCH(G498,driver_dataset!A:A,0))</f>
        <v>Bike</v>
      </c>
    </row>
    <row r="499">
      <c r="A499" s="3" t="s">
        <v>3209</v>
      </c>
      <c r="B499" s="73">
        <v>45092.0</v>
      </c>
      <c r="C499" s="74">
        <v>45096.0</v>
      </c>
      <c r="D499" s="3">
        <v>5.0</v>
      </c>
      <c r="E499" s="3">
        <v>3.0</v>
      </c>
      <c r="F499" s="3">
        <f t="shared" si="1"/>
        <v>4</v>
      </c>
      <c r="G499" s="78" t="s">
        <v>2532</v>
      </c>
      <c r="H499" s="3" t="str">
        <f t="array" ref="H499">INDEX(driver_dataset!F:F,MATCH(G499,driver_dataset!A:A,0))</f>
        <v>Bike</v>
      </c>
    </row>
    <row r="500">
      <c r="A500" s="3" t="s">
        <v>3210</v>
      </c>
      <c r="B500" s="73">
        <v>45092.0</v>
      </c>
      <c r="C500" s="74">
        <v>45095.0</v>
      </c>
      <c r="D500" s="3">
        <v>6.0</v>
      </c>
      <c r="E500" s="3">
        <v>1.0</v>
      </c>
      <c r="F500" s="3">
        <f t="shared" si="1"/>
        <v>3</v>
      </c>
      <c r="G500" s="78" t="s">
        <v>2567</v>
      </c>
      <c r="H500" s="3" t="str">
        <f t="array" ref="H500">INDEX(driver_dataset!F:F,MATCH(G500,driver_dataset!A:A,0))</f>
        <v>Bike</v>
      </c>
    </row>
    <row r="501">
      <c r="A501" s="3" t="s">
        <v>3211</v>
      </c>
      <c r="B501" s="73">
        <v>45093.0</v>
      </c>
      <c r="C501" s="74">
        <v>45095.0</v>
      </c>
      <c r="D501" s="3">
        <v>1.0</v>
      </c>
      <c r="E501" s="3">
        <v>2.0</v>
      </c>
      <c r="F501" s="3">
        <f t="shared" si="1"/>
        <v>2</v>
      </c>
      <c r="G501" s="78" t="s">
        <v>2577</v>
      </c>
      <c r="H501" s="3" t="str">
        <f t="array" ref="H501">INDEX(driver_dataset!F:F,MATCH(G501,driver_dataset!A:A,0))</f>
        <v>Bike</v>
      </c>
    </row>
    <row r="502">
      <c r="A502" s="3" t="s">
        <v>3212</v>
      </c>
      <c r="B502" s="73">
        <v>45093.0</v>
      </c>
      <c r="C502" s="74">
        <v>45094.0</v>
      </c>
      <c r="D502" s="3">
        <v>4.0</v>
      </c>
      <c r="E502" s="3">
        <v>3.0</v>
      </c>
      <c r="F502" s="3">
        <f t="shared" si="1"/>
        <v>1</v>
      </c>
      <c r="G502" s="78" t="s">
        <v>2622</v>
      </c>
      <c r="H502" s="3" t="str">
        <f t="array" ref="H502">INDEX(driver_dataset!F:F,MATCH(G502,driver_dataset!A:A,0))</f>
        <v>Bike</v>
      </c>
    </row>
    <row r="503">
      <c r="A503" s="3" t="s">
        <v>3213</v>
      </c>
      <c r="B503" s="73">
        <v>45093.0</v>
      </c>
      <c r="C503" s="74">
        <v>45095.0</v>
      </c>
      <c r="D503" s="3">
        <v>1.0</v>
      </c>
      <c r="E503" s="3">
        <v>1.0</v>
      </c>
      <c r="F503" s="3">
        <f t="shared" si="1"/>
        <v>2</v>
      </c>
      <c r="G503" s="78" t="s">
        <v>2577</v>
      </c>
      <c r="H503" s="3" t="str">
        <f t="array" ref="H503">INDEX(driver_dataset!F:F,MATCH(G503,driver_dataset!A:A,0))</f>
        <v>Bike</v>
      </c>
    </row>
    <row r="504">
      <c r="A504" s="3" t="s">
        <v>3214</v>
      </c>
      <c r="B504" s="73">
        <v>45093.0</v>
      </c>
      <c r="C504" s="74">
        <v>45095.0</v>
      </c>
      <c r="D504" s="3">
        <v>2.0</v>
      </c>
      <c r="E504" s="3">
        <v>1.0</v>
      </c>
      <c r="F504" s="3">
        <f t="shared" si="1"/>
        <v>2</v>
      </c>
      <c r="G504" s="78" t="s">
        <v>2632</v>
      </c>
      <c r="H504" s="3" t="str">
        <f t="array" ref="H504">INDEX(driver_dataset!F:F,MATCH(G504,driver_dataset!A:A,0))</f>
        <v>Bike</v>
      </c>
    </row>
    <row r="505">
      <c r="A505" s="3" t="s">
        <v>3215</v>
      </c>
      <c r="B505" s="73">
        <v>45093.0</v>
      </c>
      <c r="C505" s="74">
        <v>45095.0</v>
      </c>
      <c r="D505" s="3">
        <v>6.0</v>
      </c>
      <c r="E505" s="3">
        <v>3.0</v>
      </c>
      <c r="F505" s="3">
        <f t="shared" si="1"/>
        <v>2</v>
      </c>
      <c r="G505" s="78" t="s">
        <v>2677</v>
      </c>
      <c r="H505" s="3" t="str">
        <f t="array" ref="H505">INDEX(driver_dataset!F:F,MATCH(G505,driver_dataset!A:A,0))</f>
        <v>Bike</v>
      </c>
    </row>
    <row r="506">
      <c r="A506" s="3" t="s">
        <v>3216</v>
      </c>
      <c r="B506" s="73">
        <v>45093.0</v>
      </c>
      <c r="C506" s="74">
        <v>45098.0</v>
      </c>
      <c r="D506" s="3">
        <v>4.0</v>
      </c>
      <c r="E506" s="3">
        <v>2.0</v>
      </c>
      <c r="F506" s="3">
        <f t="shared" si="1"/>
        <v>5</v>
      </c>
      <c r="G506" s="78" t="s">
        <v>2652</v>
      </c>
      <c r="H506" s="3" t="str">
        <f t="array" ref="H506">INDEX(driver_dataset!F:F,MATCH(G506,driver_dataset!A:A,0))</f>
        <v>Bike</v>
      </c>
    </row>
    <row r="507">
      <c r="A507" s="3" t="s">
        <v>3217</v>
      </c>
      <c r="B507" s="73">
        <v>45093.0</v>
      </c>
      <c r="C507" s="74">
        <v>45094.0</v>
      </c>
      <c r="D507" s="3">
        <v>2.0</v>
      </c>
      <c r="E507" s="3">
        <v>3.0</v>
      </c>
      <c r="F507" s="3">
        <f t="shared" si="1"/>
        <v>1</v>
      </c>
      <c r="G507" s="78" t="s">
        <v>2547</v>
      </c>
      <c r="H507" s="3" t="str">
        <f t="array" ref="H507">INDEX(driver_dataset!F:F,MATCH(G507,driver_dataset!A:A,0))</f>
        <v>Bike</v>
      </c>
    </row>
    <row r="508">
      <c r="A508" s="3" t="s">
        <v>3218</v>
      </c>
      <c r="B508" s="73">
        <v>45093.0</v>
      </c>
      <c r="C508" s="74">
        <v>45098.0</v>
      </c>
      <c r="D508" s="3">
        <v>3.0</v>
      </c>
      <c r="E508" s="3">
        <v>1.0</v>
      </c>
      <c r="F508" s="3">
        <f t="shared" si="1"/>
        <v>5</v>
      </c>
      <c r="G508" s="78" t="s">
        <v>2612</v>
      </c>
      <c r="H508" s="3" t="str">
        <f t="array" ref="H508">INDEX(driver_dataset!F:F,MATCH(G508,driver_dataset!A:A,0))</f>
        <v>Bike</v>
      </c>
    </row>
    <row r="509">
      <c r="A509" s="3" t="s">
        <v>3219</v>
      </c>
      <c r="B509" s="73">
        <v>45093.0</v>
      </c>
      <c r="C509" s="74">
        <v>45095.0</v>
      </c>
      <c r="D509" s="3">
        <v>4.0</v>
      </c>
      <c r="E509" s="3">
        <v>2.0</v>
      </c>
      <c r="F509" s="3">
        <f t="shared" si="1"/>
        <v>2</v>
      </c>
      <c r="G509" s="78" t="s">
        <v>2527</v>
      </c>
      <c r="H509" s="3" t="str">
        <f t="array" ref="H509">INDEX(driver_dataset!F:F,MATCH(G509,driver_dataset!A:A,0))</f>
        <v>Bike</v>
      </c>
    </row>
    <row r="510">
      <c r="A510" s="3" t="s">
        <v>3220</v>
      </c>
      <c r="B510" s="73">
        <v>45093.0</v>
      </c>
      <c r="C510" s="74">
        <v>45094.0</v>
      </c>
      <c r="D510" s="3">
        <v>15.0</v>
      </c>
      <c r="E510" s="3">
        <v>10.0</v>
      </c>
      <c r="F510" s="3">
        <f t="shared" si="1"/>
        <v>1</v>
      </c>
      <c r="G510" s="78" t="s">
        <v>2537</v>
      </c>
      <c r="H510" s="3" t="str">
        <f t="array" ref="H510">INDEX(driver_dataset!F:F,MATCH(G510,driver_dataset!A:A,0))</f>
        <v>Van</v>
      </c>
    </row>
    <row r="511">
      <c r="A511" s="3" t="s">
        <v>3221</v>
      </c>
      <c r="B511" s="73">
        <v>45093.0</v>
      </c>
      <c r="C511" s="74">
        <v>45098.0</v>
      </c>
      <c r="D511" s="3">
        <v>8.0</v>
      </c>
      <c r="E511" s="3">
        <v>8.0</v>
      </c>
      <c r="F511" s="3">
        <f t="shared" si="1"/>
        <v>5</v>
      </c>
      <c r="G511" s="78" t="s">
        <v>2697</v>
      </c>
      <c r="H511" s="3" t="str">
        <f t="array" ref="H511">INDEX(driver_dataset!F:F,MATCH(G511,driver_dataset!A:A,0))</f>
        <v>Van</v>
      </c>
    </row>
    <row r="512">
      <c r="A512" s="3" t="s">
        <v>3222</v>
      </c>
      <c r="B512" s="73">
        <v>45093.0</v>
      </c>
      <c r="C512" s="74">
        <v>45097.0</v>
      </c>
      <c r="D512" s="3">
        <v>5.0</v>
      </c>
      <c r="E512" s="3">
        <v>3.0</v>
      </c>
      <c r="F512" s="3">
        <f t="shared" si="1"/>
        <v>4</v>
      </c>
      <c r="G512" s="78" t="s">
        <v>2677</v>
      </c>
      <c r="H512" s="3" t="str">
        <f t="array" ref="H512">INDEX(driver_dataset!F:F,MATCH(G512,driver_dataset!A:A,0))</f>
        <v>Bike</v>
      </c>
    </row>
    <row r="513">
      <c r="A513" s="3" t="s">
        <v>3223</v>
      </c>
      <c r="B513" s="73">
        <v>45093.0</v>
      </c>
      <c r="C513" s="74">
        <v>45096.0</v>
      </c>
      <c r="D513" s="3">
        <v>6.0</v>
      </c>
      <c r="E513" s="3">
        <v>2.0</v>
      </c>
      <c r="F513" s="3">
        <f t="shared" si="1"/>
        <v>3</v>
      </c>
      <c r="G513" s="78" t="s">
        <v>2567</v>
      </c>
      <c r="H513" s="3" t="str">
        <f t="array" ref="H513">INDEX(driver_dataset!F:F,MATCH(G513,driver_dataset!A:A,0))</f>
        <v>Bike</v>
      </c>
    </row>
    <row r="514">
      <c r="A514" s="3" t="s">
        <v>3224</v>
      </c>
      <c r="B514" s="73">
        <v>45093.0</v>
      </c>
      <c r="C514" s="74">
        <v>45098.0</v>
      </c>
      <c r="D514" s="3">
        <v>1.0</v>
      </c>
      <c r="E514" s="3">
        <v>1.0</v>
      </c>
      <c r="F514" s="3">
        <f t="shared" si="1"/>
        <v>5</v>
      </c>
      <c r="G514" s="78" t="s">
        <v>2567</v>
      </c>
      <c r="H514" s="3" t="str">
        <f t="array" ref="H514">INDEX(driver_dataset!F:F,MATCH(G514,driver_dataset!A:A,0))</f>
        <v>Bike</v>
      </c>
    </row>
    <row r="515">
      <c r="A515" s="3" t="s">
        <v>3225</v>
      </c>
      <c r="B515" s="73">
        <v>45093.0</v>
      </c>
      <c r="C515" s="74">
        <v>45097.0</v>
      </c>
      <c r="D515" s="3">
        <v>5.0</v>
      </c>
      <c r="E515" s="3">
        <v>1.0</v>
      </c>
      <c r="F515" s="3">
        <f t="shared" si="1"/>
        <v>4</v>
      </c>
      <c r="G515" s="78" t="s">
        <v>2647</v>
      </c>
      <c r="H515" s="3" t="str">
        <f t="array" ref="H515">INDEX(driver_dataset!F:F,MATCH(G515,driver_dataset!A:A,0))</f>
        <v>Bike</v>
      </c>
    </row>
    <row r="516">
      <c r="A516" s="3" t="s">
        <v>3226</v>
      </c>
      <c r="B516" s="73">
        <v>45093.0</v>
      </c>
      <c r="C516" s="74">
        <v>45094.0</v>
      </c>
      <c r="D516" s="3">
        <v>10.0</v>
      </c>
      <c r="E516" s="3">
        <v>5.0</v>
      </c>
      <c r="F516" s="3">
        <f t="shared" si="1"/>
        <v>1</v>
      </c>
      <c r="G516" s="3" t="s">
        <v>2662</v>
      </c>
      <c r="H516" s="3" t="str">
        <f t="array" ref="H516">INDEX(driver_dataset!F:F,MATCH(G516,driver_dataset!A:A,0))</f>
        <v>Van</v>
      </c>
    </row>
    <row r="517">
      <c r="A517" s="3" t="s">
        <v>3227</v>
      </c>
      <c r="B517" s="73">
        <v>45093.0</v>
      </c>
      <c r="C517" s="74">
        <v>45094.0</v>
      </c>
      <c r="D517" s="3">
        <v>2.0</v>
      </c>
      <c r="E517" s="3">
        <v>3.0</v>
      </c>
      <c r="F517" s="3">
        <f t="shared" si="1"/>
        <v>1</v>
      </c>
      <c r="G517" s="78" t="s">
        <v>2602</v>
      </c>
      <c r="H517" s="3" t="str">
        <f t="array" ref="H517">INDEX(driver_dataset!F:F,MATCH(G517,driver_dataset!A:A,0))</f>
        <v>Bike</v>
      </c>
    </row>
    <row r="518">
      <c r="A518" s="3" t="s">
        <v>3228</v>
      </c>
      <c r="B518" s="73">
        <v>45093.0</v>
      </c>
      <c r="C518" s="74">
        <v>45094.0</v>
      </c>
      <c r="D518" s="3">
        <v>17.0</v>
      </c>
      <c r="E518" s="3">
        <v>4.0</v>
      </c>
      <c r="F518" s="3">
        <f t="shared" si="1"/>
        <v>1</v>
      </c>
      <c r="G518" s="78" t="s">
        <v>2672</v>
      </c>
      <c r="H518" s="3" t="str">
        <f t="array" ref="H518">INDEX(driver_dataset!F:F,MATCH(G518,driver_dataset!A:A,0))</f>
        <v>Van</v>
      </c>
    </row>
    <row r="519">
      <c r="A519" s="3" t="s">
        <v>3229</v>
      </c>
      <c r="B519" s="73">
        <v>45093.0</v>
      </c>
      <c r="C519" s="74">
        <v>45096.0</v>
      </c>
      <c r="D519" s="3">
        <v>16.0</v>
      </c>
      <c r="E519" s="3">
        <v>6.0</v>
      </c>
      <c r="F519" s="3">
        <f t="shared" si="1"/>
        <v>3</v>
      </c>
      <c r="G519" s="78" t="s">
        <v>2627</v>
      </c>
      <c r="H519" s="3" t="str">
        <f t="array" ref="H519">INDEX(driver_dataset!F:F,MATCH(G519,driver_dataset!A:A,0))</f>
        <v>Van</v>
      </c>
    </row>
    <row r="520">
      <c r="A520" s="3" t="s">
        <v>3230</v>
      </c>
      <c r="B520" s="73">
        <v>45093.0</v>
      </c>
      <c r="C520" s="74">
        <v>45097.0</v>
      </c>
      <c r="D520" s="3">
        <v>3.0</v>
      </c>
      <c r="E520" s="3">
        <v>2.0</v>
      </c>
      <c r="F520" s="3">
        <f t="shared" si="1"/>
        <v>4</v>
      </c>
      <c r="G520" s="78" t="s">
        <v>2582</v>
      </c>
      <c r="H520" s="3" t="str">
        <f t="array" ref="H520">INDEX(driver_dataset!F:F,MATCH(G520,driver_dataset!A:A,0))</f>
        <v>Bike</v>
      </c>
    </row>
    <row r="521">
      <c r="A521" s="3" t="s">
        <v>3231</v>
      </c>
      <c r="B521" s="73">
        <v>45093.0</v>
      </c>
      <c r="C521" s="74">
        <v>45095.0</v>
      </c>
      <c r="D521" s="3">
        <v>4.0</v>
      </c>
      <c r="E521" s="3">
        <v>2.0</v>
      </c>
      <c r="F521" s="3">
        <f t="shared" si="1"/>
        <v>2</v>
      </c>
      <c r="G521" s="78" t="s">
        <v>2597</v>
      </c>
      <c r="H521" s="3" t="str">
        <f t="array" ref="H521">INDEX(driver_dataset!F:F,MATCH(G521,driver_dataset!A:A,0))</f>
        <v>Bike</v>
      </c>
    </row>
    <row r="522">
      <c r="A522" s="3" t="s">
        <v>3232</v>
      </c>
      <c r="B522" s="73">
        <v>45093.0</v>
      </c>
      <c r="C522" s="74">
        <v>45097.0</v>
      </c>
      <c r="D522" s="3">
        <v>10.0</v>
      </c>
      <c r="E522" s="3">
        <v>7.0</v>
      </c>
      <c r="F522" s="3">
        <f t="shared" si="1"/>
        <v>4</v>
      </c>
      <c r="G522" s="78" t="s">
        <v>2607</v>
      </c>
      <c r="H522" s="3" t="str">
        <f t="array" ref="H522">INDEX(driver_dataset!F:F,MATCH(G522,driver_dataset!A:A,0))</f>
        <v>Van</v>
      </c>
    </row>
    <row r="523">
      <c r="A523" s="3" t="s">
        <v>3233</v>
      </c>
      <c r="B523" s="73">
        <v>45093.0</v>
      </c>
      <c r="C523" s="74">
        <v>45094.0</v>
      </c>
      <c r="D523" s="3">
        <v>5.0</v>
      </c>
      <c r="E523" s="3">
        <v>2.0</v>
      </c>
      <c r="F523" s="3">
        <f t="shared" si="1"/>
        <v>1</v>
      </c>
      <c r="G523" s="78" t="s">
        <v>2567</v>
      </c>
      <c r="H523" s="3" t="str">
        <f t="array" ref="H523">INDEX(driver_dataset!F:F,MATCH(G523,driver_dataset!A:A,0))</f>
        <v>Bike</v>
      </c>
    </row>
    <row r="524">
      <c r="A524" s="3" t="s">
        <v>3234</v>
      </c>
      <c r="B524" s="73">
        <v>45093.0</v>
      </c>
      <c r="C524" s="74">
        <v>45096.0</v>
      </c>
      <c r="D524" s="3">
        <v>1.0</v>
      </c>
      <c r="E524" s="3">
        <v>2.0</v>
      </c>
      <c r="F524" s="3">
        <f t="shared" si="1"/>
        <v>3</v>
      </c>
      <c r="G524" s="78" t="s">
        <v>2622</v>
      </c>
      <c r="H524" s="3" t="str">
        <f t="array" ref="H524">INDEX(driver_dataset!F:F,MATCH(G524,driver_dataset!A:A,0))</f>
        <v>Bike</v>
      </c>
    </row>
    <row r="525">
      <c r="A525" s="3" t="s">
        <v>3235</v>
      </c>
      <c r="B525" s="73">
        <v>45093.0</v>
      </c>
      <c r="C525" s="74">
        <v>45097.0</v>
      </c>
      <c r="D525" s="3">
        <v>14.0</v>
      </c>
      <c r="E525" s="3">
        <v>4.0</v>
      </c>
      <c r="F525" s="3">
        <f t="shared" si="1"/>
        <v>4</v>
      </c>
      <c r="G525" s="78" t="s">
        <v>2484</v>
      </c>
      <c r="H525" s="3" t="str">
        <f t="array" ref="H525">INDEX(driver_dataset!F:F,MATCH(G525,driver_dataset!A:A,0))</f>
        <v>Van</v>
      </c>
    </row>
    <row r="526">
      <c r="A526" s="3" t="s">
        <v>3236</v>
      </c>
      <c r="B526" s="73">
        <v>45093.0</v>
      </c>
      <c r="C526" s="74">
        <v>45095.0</v>
      </c>
      <c r="D526" s="3">
        <v>8.0</v>
      </c>
      <c r="E526" s="3">
        <v>7.0</v>
      </c>
      <c r="F526" s="3">
        <f t="shared" si="1"/>
        <v>2</v>
      </c>
      <c r="G526" s="78" t="s">
        <v>2637</v>
      </c>
      <c r="H526" s="3" t="str">
        <f t="array" ref="H526">INDEX(driver_dataset!F:F,MATCH(G526,driver_dataset!A:A,0))</f>
        <v>Van</v>
      </c>
    </row>
    <row r="527">
      <c r="A527" s="3" t="s">
        <v>3237</v>
      </c>
      <c r="B527" s="74">
        <v>45094.0</v>
      </c>
      <c r="C527" s="74">
        <v>45096.0</v>
      </c>
      <c r="D527" s="3">
        <v>2.0</v>
      </c>
      <c r="E527" s="3">
        <v>2.0</v>
      </c>
      <c r="F527" s="3">
        <f t="shared" si="1"/>
        <v>2</v>
      </c>
      <c r="G527" s="78" t="s">
        <v>2632</v>
      </c>
      <c r="H527" s="3" t="str">
        <f t="array" ref="H527">INDEX(driver_dataset!F:F,MATCH(G527,driver_dataset!A:A,0))</f>
        <v>Bike</v>
      </c>
    </row>
    <row r="528">
      <c r="A528" s="3" t="s">
        <v>3238</v>
      </c>
      <c r="B528" s="73">
        <v>45094.0</v>
      </c>
      <c r="C528" s="74">
        <v>45098.0</v>
      </c>
      <c r="D528" s="3">
        <v>6.0</v>
      </c>
      <c r="E528" s="3">
        <v>2.0</v>
      </c>
      <c r="F528" s="3">
        <f t="shared" si="1"/>
        <v>4</v>
      </c>
      <c r="G528" s="78" t="s">
        <v>2532</v>
      </c>
      <c r="H528" s="3" t="str">
        <f t="array" ref="H528">INDEX(driver_dataset!F:F,MATCH(G528,driver_dataset!A:A,0))</f>
        <v>Bike</v>
      </c>
    </row>
    <row r="529">
      <c r="A529" s="3" t="s">
        <v>3239</v>
      </c>
      <c r="B529" s="73">
        <v>45094.0</v>
      </c>
      <c r="C529" s="74">
        <v>45097.0</v>
      </c>
      <c r="D529" s="3">
        <v>5.0</v>
      </c>
      <c r="E529" s="3">
        <v>1.0</v>
      </c>
      <c r="F529" s="3">
        <f t="shared" si="1"/>
        <v>3</v>
      </c>
      <c r="G529" s="78" t="s">
        <v>2652</v>
      </c>
      <c r="H529" s="3" t="str">
        <f t="array" ref="H529">INDEX(driver_dataset!F:F,MATCH(G529,driver_dataset!A:A,0))</f>
        <v>Bike</v>
      </c>
    </row>
    <row r="530">
      <c r="A530" s="3" t="s">
        <v>3240</v>
      </c>
      <c r="B530" s="73">
        <v>45094.0</v>
      </c>
      <c r="C530" s="74">
        <v>45096.0</v>
      </c>
      <c r="D530" s="3">
        <v>2.0</v>
      </c>
      <c r="E530" s="3">
        <v>3.0</v>
      </c>
      <c r="F530" s="3">
        <f t="shared" si="1"/>
        <v>2</v>
      </c>
      <c r="G530" s="78" t="s">
        <v>2516</v>
      </c>
      <c r="H530" s="3" t="str">
        <f t="array" ref="H530">INDEX(driver_dataset!F:F,MATCH(G530,driver_dataset!A:A,0))</f>
        <v>Bike</v>
      </c>
    </row>
    <row r="531">
      <c r="A531" s="3" t="s">
        <v>3241</v>
      </c>
      <c r="B531" s="73">
        <v>45094.0</v>
      </c>
      <c r="C531" s="74">
        <v>45095.0</v>
      </c>
      <c r="D531" s="3">
        <v>1.0</v>
      </c>
      <c r="E531" s="3">
        <v>3.0</v>
      </c>
      <c r="F531" s="3">
        <f t="shared" si="1"/>
        <v>1</v>
      </c>
      <c r="G531" s="78" t="s">
        <v>2532</v>
      </c>
      <c r="H531" s="3" t="str">
        <f t="array" ref="H531">INDEX(driver_dataset!F:F,MATCH(G531,driver_dataset!A:A,0))</f>
        <v>Bike</v>
      </c>
    </row>
    <row r="532">
      <c r="A532" s="3" t="s">
        <v>3242</v>
      </c>
      <c r="B532" s="73">
        <v>45094.0</v>
      </c>
      <c r="C532" s="74">
        <v>45097.0</v>
      </c>
      <c r="D532" s="3">
        <v>16.0</v>
      </c>
      <c r="E532" s="3">
        <v>4.0</v>
      </c>
      <c r="F532" s="3">
        <f t="shared" si="1"/>
        <v>3</v>
      </c>
      <c r="G532" s="78" t="s">
        <v>2484</v>
      </c>
      <c r="H532" s="3" t="str">
        <f t="array" ref="H532">INDEX(driver_dataset!F:F,MATCH(G532,driver_dataset!A:A,0))</f>
        <v>Van</v>
      </c>
    </row>
    <row r="533">
      <c r="A533" s="3" t="s">
        <v>3243</v>
      </c>
      <c r="B533" s="73">
        <v>45094.0</v>
      </c>
      <c r="C533" s="74">
        <v>45096.0</v>
      </c>
      <c r="D533" s="3">
        <v>5.0</v>
      </c>
      <c r="E533" s="3">
        <v>3.0</v>
      </c>
      <c r="F533" s="3">
        <f t="shared" si="1"/>
        <v>2</v>
      </c>
      <c r="G533" s="78" t="s">
        <v>2567</v>
      </c>
      <c r="H533" s="3" t="str">
        <f t="array" ref="H533">INDEX(driver_dataset!F:F,MATCH(G533,driver_dataset!A:A,0))</f>
        <v>Bike</v>
      </c>
    </row>
    <row r="534">
      <c r="A534" s="3" t="s">
        <v>3244</v>
      </c>
      <c r="B534" s="73">
        <v>45094.0</v>
      </c>
      <c r="C534" s="74">
        <v>45098.0</v>
      </c>
      <c r="D534" s="3">
        <v>6.0</v>
      </c>
      <c r="E534" s="3">
        <v>2.0</v>
      </c>
      <c r="F534" s="3">
        <f t="shared" si="1"/>
        <v>4</v>
      </c>
      <c r="G534" s="78" t="s">
        <v>2622</v>
      </c>
      <c r="H534" s="3" t="str">
        <f t="array" ref="H534">INDEX(driver_dataset!F:F,MATCH(G534,driver_dataset!A:A,0))</f>
        <v>Bike</v>
      </c>
    </row>
    <row r="535">
      <c r="A535" s="3" t="s">
        <v>3245</v>
      </c>
      <c r="B535" s="73">
        <v>45094.0</v>
      </c>
      <c r="C535" s="74">
        <v>45096.0</v>
      </c>
      <c r="D535" s="3">
        <v>16.0</v>
      </c>
      <c r="E535" s="3">
        <v>7.0</v>
      </c>
      <c r="F535" s="3">
        <f t="shared" si="1"/>
        <v>2</v>
      </c>
      <c r="G535" s="78" t="s">
        <v>2637</v>
      </c>
      <c r="H535" s="3" t="str">
        <f t="array" ref="H535">INDEX(driver_dataset!F:F,MATCH(G535,driver_dataset!A:A,0))</f>
        <v>Van</v>
      </c>
    </row>
    <row r="536">
      <c r="A536" s="3" t="s">
        <v>3246</v>
      </c>
      <c r="B536" s="73">
        <v>45094.0</v>
      </c>
      <c r="C536" s="74">
        <v>45098.0</v>
      </c>
      <c r="D536" s="3">
        <v>2.0</v>
      </c>
      <c r="E536" s="3">
        <v>2.0</v>
      </c>
      <c r="F536" s="3">
        <f t="shared" si="1"/>
        <v>4</v>
      </c>
      <c r="G536" s="78" t="s">
        <v>2557</v>
      </c>
      <c r="H536" s="3" t="str">
        <f t="array" ref="H536">INDEX(driver_dataset!F:F,MATCH(G536,driver_dataset!A:A,0))</f>
        <v>Bike</v>
      </c>
    </row>
    <row r="537">
      <c r="A537" s="3" t="s">
        <v>3247</v>
      </c>
      <c r="B537" s="73">
        <v>45094.0</v>
      </c>
      <c r="C537" s="74">
        <v>45095.0</v>
      </c>
      <c r="D537" s="3">
        <v>4.0</v>
      </c>
      <c r="E537" s="3">
        <v>1.0</v>
      </c>
      <c r="F537" s="3">
        <f t="shared" si="1"/>
        <v>1</v>
      </c>
      <c r="G537" s="78" t="s">
        <v>2511</v>
      </c>
      <c r="H537" s="3" t="str">
        <f t="array" ref="H537">INDEX(driver_dataset!F:F,MATCH(G537,driver_dataset!A:A,0))</f>
        <v>Bike</v>
      </c>
    </row>
    <row r="538">
      <c r="A538" s="3" t="s">
        <v>3248</v>
      </c>
      <c r="B538" s="73">
        <v>45094.0</v>
      </c>
      <c r="C538" s="74">
        <v>45097.0</v>
      </c>
      <c r="D538" s="3">
        <v>3.0</v>
      </c>
      <c r="E538" s="3">
        <v>3.0</v>
      </c>
      <c r="F538" s="3">
        <f t="shared" si="1"/>
        <v>3</v>
      </c>
      <c r="G538" s="78" t="s">
        <v>2496</v>
      </c>
      <c r="H538" s="3" t="str">
        <f t="array" ref="H538">INDEX(driver_dataset!F:F,MATCH(G538,driver_dataset!A:A,0))</f>
        <v>Bike</v>
      </c>
    </row>
    <row r="539">
      <c r="A539" s="3" t="s">
        <v>3249</v>
      </c>
      <c r="B539" s="73">
        <v>45094.0</v>
      </c>
      <c r="C539" s="74">
        <v>45099.0</v>
      </c>
      <c r="D539" s="3">
        <v>2.0</v>
      </c>
      <c r="E539" s="3">
        <v>2.0</v>
      </c>
      <c r="F539" s="3">
        <f t="shared" si="1"/>
        <v>5</v>
      </c>
      <c r="G539" s="78" t="s">
        <v>2516</v>
      </c>
      <c r="H539" s="3" t="str">
        <f t="array" ref="H539">INDEX(driver_dataset!F:F,MATCH(G539,driver_dataset!A:A,0))</f>
        <v>Bike</v>
      </c>
    </row>
    <row r="540">
      <c r="A540" s="3" t="s">
        <v>3250</v>
      </c>
      <c r="B540" s="73">
        <v>45094.0</v>
      </c>
      <c r="C540" s="74">
        <v>45099.0</v>
      </c>
      <c r="D540" s="3">
        <v>6.0</v>
      </c>
      <c r="E540" s="3">
        <v>1.0</v>
      </c>
      <c r="F540" s="3">
        <f t="shared" si="1"/>
        <v>5</v>
      </c>
      <c r="G540" s="78" t="s">
        <v>2652</v>
      </c>
      <c r="H540" s="3" t="str">
        <f t="array" ref="H540">INDEX(driver_dataset!F:F,MATCH(G540,driver_dataset!A:A,0))</f>
        <v>Bike</v>
      </c>
    </row>
    <row r="541">
      <c r="A541" s="3" t="s">
        <v>3251</v>
      </c>
      <c r="B541" s="73">
        <v>45094.0</v>
      </c>
      <c r="C541" s="74">
        <v>45096.0</v>
      </c>
      <c r="D541" s="3">
        <v>2.0</v>
      </c>
      <c r="E541" s="3">
        <v>1.0</v>
      </c>
      <c r="F541" s="3">
        <f t="shared" si="1"/>
        <v>2</v>
      </c>
      <c r="G541" s="78" t="s">
        <v>2682</v>
      </c>
      <c r="H541" s="3" t="str">
        <f t="array" ref="H541">INDEX(driver_dataset!F:F,MATCH(G541,driver_dataset!A:A,0))</f>
        <v>Bike</v>
      </c>
    </row>
    <row r="542">
      <c r="A542" s="3" t="s">
        <v>3252</v>
      </c>
      <c r="B542" s="73">
        <v>45094.0</v>
      </c>
      <c r="C542" s="74">
        <v>45098.0</v>
      </c>
      <c r="D542" s="3">
        <v>18.0</v>
      </c>
      <c r="E542" s="3">
        <v>9.0</v>
      </c>
      <c r="F542" s="3">
        <f t="shared" si="1"/>
        <v>4</v>
      </c>
      <c r="G542" s="78" t="s">
        <v>2627</v>
      </c>
      <c r="H542" s="3" t="str">
        <f t="array" ref="H542">INDEX(driver_dataset!F:F,MATCH(G542,driver_dataset!A:A,0))</f>
        <v>Van</v>
      </c>
    </row>
    <row r="543">
      <c r="A543" s="3" t="s">
        <v>3253</v>
      </c>
      <c r="B543" s="73">
        <v>45094.0</v>
      </c>
      <c r="C543" s="74">
        <v>45095.0</v>
      </c>
      <c r="D543" s="3">
        <v>5.0</v>
      </c>
      <c r="E543" s="3">
        <v>1.0</v>
      </c>
      <c r="F543" s="3">
        <f t="shared" si="1"/>
        <v>1</v>
      </c>
      <c r="G543" s="78" t="s">
        <v>2692</v>
      </c>
      <c r="H543" s="3" t="str">
        <f t="array" ref="H543">INDEX(driver_dataset!F:F,MATCH(G543,driver_dataset!A:A,0))</f>
        <v>Bike</v>
      </c>
    </row>
    <row r="544">
      <c r="A544" s="3" t="s">
        <v>3254</v>
      </c>
      <c r="B544" s="73">
        <v>45094.0</v>
      </c>
      <c r="C544" s="74">
        <v>45097.0</v>
      </c>
      <c r="D544" s="3">
        <v>3.0</v>
      </c>
      <c r="E544" s="3">
        <v>3.0</v>
      </c>
      <c r="F544" s="3">
        <f t="shared" si="1"/>
        <v>3</v>
      </c>
      <c r="G544" s="78" t="s">
        <v>2682</v>
      </c>
      <c r="H544" s="3" t="str">
        <f t="array" ref="H544">INDEX(driver_dataset!F:F,MATCH(G544,driver_dataset!A:A,0))</f>
        <v>Bike</v>
      </c>
    </row>
    <row r="545">
      <c r="A545" s="3" t="s">
        <v>3255</v>
      </c>
      <c r="B545" s="73">
        <v>45094.0</v>
      </c>
      <c r="C545" s="74">
        <v>45098.0</v>
      </c>
      <c r="D545" s="3">
        <v>9.0</v>
      </c>
      <c r="E545" s="3">
        <v>7.0</v>
      </c>
      <c r="F545" s="3">
        <f t="shared" si="1"/>
        <v>4</v>
      </c>
      <c r="G545" s="78" t="s">
        <v>2627</v>
      </c>
      <c r="H545" s="3" t="str">
        <f t="array" ref="H545">INDEX(driver_dataset!F:F,MATCH(G545,driver_dataset!A:A,0))</f>
        <v>Van</v>
      </c>
    </row>
    <row r="546">
      <c r="A546" s="3" t="s">
        <v>3256</v>
      </c>
      <c r="B546" s="73">
        <v>45094.0</v>
      </c>
      <c r="C546" s="74">
        <v>45096.0</v>
      </c>
      <c r="D546" s="3">
        <v>6.0</v>
      </c>
      <c r="E546" s="3">
        <v>3.0</v>
      </c>
      <c r="F546" s="3">
        <f t="shared" si="1"/>
        <v>2</v>
      </c>
      <c r="G546" s="78" t="s">
        <v>2490</v>
      </c>
      <c r="H546" s="3" t="str">
        <f t="array" ref="H546">INDEX(driver_dataset!F:F,MATCH(G546,driver_dataset!A:A,0))</f>
        <v>Bike</v>
      </c>
    </row>
    <row r="547">
      <c r="A547" s="3" t="s">
        <v>3257</v>
      </c>
      <c r="B547" s="73">
        <v>45094.0</v>
      </c>
      <c r="C547" s="74">
        <v>45099.0</v>
      </c>
      <c r="D547" s="3">
        <v>5.0</v>
      </c>
      <c r="E547" s="3">
        <v>3.0</v>
      </c>
      <c r="F547" s="3">
        <f t="shared" si="1"/>
        <v>5</v>
      </c>
      <c r="G547" s="78" t="s">
        <v>2612</v>
      </c>
      <c r="H547" s="3" t="str">
        <f t="array" ref="H547">INDEX(driver_dataset!F:F,MATCH(G547,driver_dataset!A:A,0))</f>
        <v>Bike</v>
      </c>
    </row>
    <row r="548">
      <c r="A548" s="3" t="s">
        <v>3258</v>
      </c>
      <c r="B548" s="73">
        <v>45094.0</v>
      </c>
      <c r="C548" s="74">
        <v>45096.0</v>
      </c>
      <c r="D548" s="3">
        <v>6.0</v>
      </c>
      <c r="E548" s="3">
        <v>2.0</v>
      </c>
      <c r="F548" s="3">
        <f t="shared" si="1"/>
        <v>2</v>
      </c>
      <c r="G548" s="78" t="s">
        <v>2557</v>
      </c>
      <c r="H548" s="3" t="str">
        <f t="array" ref="H548">INDEX(driver_dataset!F:F,MATCH(G548,driver_dataset!A:A,0))</f>
        <v>Bike</v>
      </c>
    </row>
    <row r="549">
      <c r="A549" s="3" t="s">
        <v>3259</v>
      </c>
      <c r="B549" s="73">
        <v>45094.0</v>
      </c>
      <c r="C549" s="74">
        <v>45099.0</v>
      </c>
      <c r="D549" s="3">
        <v>5.0</v>
      </c>
      <c r="E549" s="3">
        <v>1.0</v>
      </c>
      <c r="F549" s="3">
        <f t="shared" si="1"/>
        <v>5</v>
      </c>
      <c r="G549" s="78" t="s">
        <v>2682</v>
      </c>
      <c r="H549" s="3" t="str">
        <f t="array" ref="H549">INDEX(driver_dataset!F:F,MATCH(G549,driver_dataset!A:A,0))</f>
        <v>Bike</v>
      </c>
    </row>
    <row r="550">
      <c r="A550" s="3" t="s">
        <v>3260</v>
      </c>
      <c r="B550" s="73">
        <v>45094.0</v>
      </c>
      <c r="C550" s="74">
        <v>45096.0</v>
      </c>
      <c r="D550" s="3">
        <v>4.0</v>
      </c>
      <c r="E550" s="3">
        <v>1.0</v>
      </c>
      <c r="F550" s="3">
        <f t="shared" si="1"/>
        <v>2</v>
      </c>
      <c r="G550" s="78" t="s">
        <v>2567</v>
      </c>
      <c r="H550" s="3" t="str">
        <f t="array" ref="H550">INDEX(driver_dataset!F:F,MATCH(G550,driver_dataset!A:A,0))</f>
        <v>Bike</v>
      </c>
    </row>
    <row r="551">
      <c r="A551" s="3" t="s">
        <v>3261</v>
      </c>
      <c r="B551" s="73">
        <v>45094.0</v>
      </c>
      <c r="C551" s="74">
        <v>45096.0</v>
      </c>
      <c r="D551" s="3">
        <v>17.0</v>
      </c>
      <c r="E551" s="3">
        <v>10.0</v>
      </c>
      <c r="F551" s="3">
        <f t="shared" si="1"/>
        <v>2</v>
      </c>
      <c r="G551" s="78" t="s">
        <v>2662</v>
      </c>
      <c r="H551" s="3" t="str">
        <f t="array" ref="H551">INDEX(driver_dataset!F:F,MATCH(G551,driver_dataset!A:A,0))</f>
        <v>Van</v>
      </c>
    </row>
    <row r="552">
      <c r="A552" s="3" t="s">
        <v>3262</v>
      </c>
      <c r="B552" s="73">
        <v>45094.0</v>
      </c>
      <c r="C552" s="74">
        <v>45095.0</v>
      </c>
      <c r="D552" s="3">
        <v>12.0</v>
      </c>
      <c r="E552" s="3">
        <v>4.0</v>
      </c>
      <c r="F552" s="3">
        <f t="shared" si="1"/>
        <v>1</v>
      </c>
      <c r="G552" s="78" t="s">
        <v>2607</v>
      </c>
      <c r="H552" s="3" t="str">
        <f t="array" ref="H552">INDEX(driver_dataset!F:F,MATCH(G552,driver_dataset!A:A,0))</f>
        <v>Van</v>
      </c>
    </row>
    <row r="553">
      <c r="A553" s="3" t="s">
        <v>3263</v>
      </c>
      <c r="B553" s="73">
        <v>45094.0</v>
      </c>
      <c r="C553" s="74">
        <v>45095.0</v>
      </c>
      <c r="D553" s="3">
        <v>2.0</v>
      </c>
      <c r="E553" s="3">
        <v>2.0</v>
      </c>
      <c r="F553" s="3">
        <f t="shared" si="1"/>
        <v>1</v>
      </c>
      <c r="G553" s="78" t="s">
        <v>2692</v>
      </c>
      <c r="H553" s="3" t="str">
        <f t="array" ref="H553">INDEX(driver_dataset!F:F,MATCH(G553,driver_dataset!A:A,0))</f>
        <v>Bike</v>
      </c>
    </row>
    <row r="554">
      <c r="A554" s="3" t="s">
        <v>3264</v>
      </c>
      <c r="B554" s="73">
        <v>45094.0</v>
      </c>
      <c r="C554" s="74">
        <v>45099.0</v>
      </c>
      <c r="D554" s="3">
        <v>3.0</v>
      </c>
      <c r="E554" s="3">
        <v>1.0</v>
      </c>
      <c r="F554" s="3">
        <f t="shared" si="1"/>
        <v>5</v>
      </c>
      <c r="G554" s="78" t="s">
        <v>2532</v>
      </c>
      <c r="H554" s="3" t="str">
        <f t="array" ref="H554">INDEX(driver_dataset!F:F,MATCH(G554,driver_dataset!A:A,0))</f>
        <v>Bike</v>
      </c>
    </row>
    <row r="555">
      <c r="A555" s="3" t="s">
        <v>3265</v>
      </c>
      <c r="B555" s="73">
        <v>45094.0</v>
      </c>
      <c r="C555" s="74">
        <v>45095.0</v>
      </c>
      <c r="D555" s="3">
        <v>6.0</v>
      </c>
      <c r="E555" s="3">
        <v>3.0</v>
      </c>
      <c r="F555" s="3">
        <f t="shared" si="1"/>
        <v>1</v>
      </c>
      <c r="G555" s="78" t="s">
        <v>2542</v>
      </c>
      <c r="H555" s="3" t="str">
        <f t="array" ref="H555">INDEX(driver_dataset!F:F,MATCH(G555,driver_dataset!A:A,0))</f>
        <v>Bike</v>
      </c>
    </row>
    <row r="556">
      <c r="A556" s="3" t="s">
        <v>3266</v>
      </c>
      <c r="B556" s="73">
        <v>45094.0</v>
      </c>
      <c r="C556" s="74">
        <v>45095.0</v>
      </c>
      <c r="D556" s="3">
        <v>2.0</v>
      </c>
      <c r="E556" s="3">
        <v>1.0</v>
      </c>
      <c r="F556" s="3">
        <f t="shared" si="1"/>
        <v>1</v>
      </c>
      <c r="G556" s="78" t="s">
        <v>2532</v>
      </c>
      <c r="H556" s="3" t="str">
        <f t="array" ref="H556">INDEX(driver_dataset!F:F,MATCH(G556,driver_dataset!A:A,0))</f>
        <v>Bike</v>
      </c>
    </row>
    <row r="557">
      <c r="A557" s="3" t="s">
        <v>3267</v>
      </c>
      <c r="B557" s="73">
        <v>45094.0</v>
      </c>
      <c r="C557" s="74">
        <v>45096.0</v>
      </c>
      <c r="D557" s="3">
        <v>3.0</v>
      </c>
      <c r="E557" s="3">
        <v>1.0</v>
      </c>
      <c r="F557" s="3">
        <f t="shared" si="1"/>
        <v>2</v>
      </c>
      <c r="G557" s="78" t="s">
        <v>2642</v>
      </c>
      <c r="H557" s="3" t="str">
        <f t="array" ref="H557">INDEX(driver_dataset!F:F,MATCH(G557,driver_dataset!A:A,0))</f>
        <v>Bike</v>
      </c>
    </row>
    <row r="558">
      <c r="A558" s="3" t="s">
        <v>3268</v>
      </c>
      <c r="B558" s="73">
        <v>45094.0</v>
      </c>
      <c r="C558" s="74">
        <v>45096.0</v>
      </c>
      <c r="D558" s="3">
        <v>6.0</v>
      </c>
      <c r="E558" s="3">
        <v>3.0</v>
      </c>
      <c r="F558" s="3">
        <f t="shared" si="1"/>
        <v>2</v>
      </c>
      <c r="G558" s="78" t="s">
        <v>2506</v>
      </c>
      <c r="H558" s="3" t="str">
        <f t="array" ref="H558">INDEX(driver_dataset!F:F,MATCH(G558,driver_dataset!A:A,0))</f>
        <v>Bike</v>
      </c>
    </row>
    <row r="559">
      <c r="A559" s="3" t="s">
        <v>3269</v>
      </c>
      <c r="B559" s="73">
        <v>45094.0</v>
      </c>
      <c r="C559" s="74">
        <v>45097.0</v>
      </c>
      <c r="D559" s="3">
        <v>19.0</v>
      </c>
      <c r="E559" s="3">
        <v>9.0</v>
      </c>
      <c r="F559" s="3">
        <f t="shared" si="1"/>
        <v>3</v>
      </c>
      <c r="G559" s="78" t="s">
        <v>2637</v>
      </c>
      <c r="H559" s="3" t="str">
        <f t="array" ref="H559">INDEX(driver_dataset!F:F,MATCH(G559,driver_dataset!A:A,0))</f>
        <v>Van</v>
      </c>
    </row>
    <row r="560">
      <c r="A560" s="3" t="s">
        <v>3270</v>
      </c>
      <c r="B560" s="73">
        <v>45094.0</v>
      </c>
      <c r="C560" s="74">
        <v>45097.0</v>
      </c>
      <c r="D560" s="3">
        <v>20.0</v>
      </c>
      <c r="E560" s="3">
        <v>10.0</v>
      </c>
      <c r="F560" s="3">
        <f t="shared" si="1"/>
        <v>3</v>
      </c>
      <c r="G560" s="78" t="s">
        <v>2537</v>
      </c>
      <c r="H560" s="3" t="str">
        <f t="array" ref="H560">INDEX(driver_dataset!F:F,MATCH(G560,driver_dataset!A:A,0))</f>
        <v>Van</v>
      </c>
    </row>
    <row r="561">
      <c r="A561" s="3" t="s">
        <v>3271</v>
      </c>
      <c r="B561" s="73">
        <v>45094.0</v>
      </c>
      <c r="C561" s="74">
        <v>45095.0</v>
      </c>
      <c r="D561" s="3">
        <v>14.0</v>
      </c>
      <c r="E561" s="3">
        <v>7.0</v>
      </c>
      <c r="F561" s="3">
        <f t="shared" si="1"/>
        <v>1</v>
      </c>
      <c r="G561" s="78" t="s">
        <v>2627</v>
      </c>
      <c r="H561" s="3" t="str">
        <f t="array" ref="H561">INDEX(driver_dataset!F:F,MATCH(G561,driver_dataset!A:A,0))</f>
        <v>Van</v>
      </c>
    </row>
    <row r="562">
      <c r="A562" s="3" t="s">
        <v>3272</v>
      </c>
      <c r="B562" s="73">
        <v>45094.0</v>
      </c>
      <c r="C562" s="74">
        <v>45096.0</v>
      </c>
      <c r="D562" s="3">
        <v>14.0</v>
      </c>
      <c r="E562" s="3">
        <v>8.0</v>
      </c>
      <c r="F562" s="3">
        <f t="shared" si="1"/>
        <v>2</v>
      </c>
      <c r="G562" s="78" t="s">
        <v>2697</v>
      </c>
      <c r="H562" s="3" t="str">
        <f t="array" ref="H562">INDEX(driver_dataset!F:F,MATCH(G562,driver_dataset!A:A,0))</f>
        <v>Van</v>
      </c>
    </row>
    <row r="563">
      <c r="A563" s="3" t="s">
        <v>3273</v>
      </c>
      <c r="B563" s="73">
        <v>45094.0</v>
      </c>
      <c r="C563" s="74">
        <v>45097.0</v>
      </c>
      <c r="D563" s="3">
        <v>5.0</v>
      </c>
      <c r="E563" s="3">
        <v>2.0</v>
      </c>
      <c r="F563" s="3">
        <f t="shared" si="1"/>
        <v>3</v>
      </c>
      <c r="G563" s="78" t="s">
        <v>2542</v>
      </c>
      <c r="H563" s="3" t="str">
        <f t="array" ref="H563">INDEX(driver_dataset!F:F,MATCH(G563,driver_dataset!A:A,0))</f>
        <v>Bike</v>
      </c>
    </row>
    <row r="564">
      <c r="A564" s="3" t="s">
        <v>3274</v>
      </c>
      <c r="B564" s="74">
        <v>45095.0</v>
      </c>
      <c r="C564" s="74">
        <v>45098.0</v>
      </c>
      <c r="D564" s="3">
        <v>6.0</v>
      </c>
      <c r="E564" s="3">
        <v>2.0</v>
      </c>
      <c r="F564" s="3">
        <f t="shared" si="1"/>
        <v>3</v>
      </c>
      <c r="G564" s="78" t="s">
        <v>2557</v>
      </c>
      <c r="H564" s="3" t="str">
        <f t="array" ref="H564">INDEX(driver_dataset!F:F,MATCH(G564,driver_dataset!A:A,0))</f>
        <v>Bike</v>
      </c>
    </row>
    <row r="565">
      <c r="A565" s="3" t="s">
        <v>3275</v>
      </c>
      <c r="B565" s="74">
        <v>45095.0</v>
      </c>
      <c r="C565" s="74">
        <v>45099.0</v>
      </c>
      <c r="D565" s="3">
        <v>6.0</v>
      </c>
      <c r="E565" s="3">
        <v>3.0</v>
      </c>
      <c r="F565" s="3">
        <f t="shared" si="1"/>
        <v>4</v>
      </c>
      <c r="G565" s="78" t="s">
        <v>2490</v>
      </c>
      <c r="H565" s="3" t="str">
        <f t="array" ref="H565">INDEX(driver_dataset!F:F,MATCH(G565,driver_dataset!A:A,0))</f>
        <v>Bike</v>
      </c>
    </row>
    <row r="566">
      <c r="A566" s="3" t="s">
        <v>3276</v>
      </c>
      <c r="B566" s="73">
        <v>45095.0</v>
      </c>
      <c r="C566" s="74">
        <v>45099.0</v>
      </c>
      <c r="D566" s="3">
        <v>1.0</v>
      </c>
      <c r="E566" s="3">
        <v>3.0</v>
      </c>
      <c r="F566" s="3">
        <f t="shared" si="1"/>
        <v>4</v>
      </c>
      <c r="G566" s="78" t="s">
        <v>2602</v>
      </c>
      <c r="H566" s="3" t="str">
        <f t="array" ref="H566">INDEX(driver_dataset!F:F,MATCH(G566,driver_dataset!A:A,0))</f>
        <v>Bike</v>
      </c>
    </row>
    <row r="567">
      <c r="A567" s="3" t="s">
        <v>3277</v>
      </c>
      <c r="B567" s="73">
        <v>45095.0</v>
      </c>
      <c r="C567" s="74">
        <v>45099.0</v>
      </c>
      <c r="D567" s="3">
        <v>5.0</v>
      </c>
      <c r="E567" s="3">
        <v>2.0</v>
      </c>
      <c r="F567" s="3">
        <f t="shared" si="1"/>
        <v>4</v>
      </c>
      <c r="G567" s="78" t="s">
        <v>2647</v>
      </c>
      <c r="H567" s="3" t="str">
        <f t="array" ref="H567">INDEX(driver_dataset!F:F,MATCH(G567,driver_dataset!A:A,0))</f>
        <v>Bike</v>
      </c>
    </row>
    <row r="568">
      <c r="A568" s="3" t="s">
        <v>3278</v>
      </c>
      <c r="B568" s="73">
        <v>45095.0</v>
      </c>
      <c r="C568" s="74">
        <v>45096.0</v>
      </c>
      <c r="D568" s="3">
        <v>2.0</v>
      </c>
      <c r="E568" s="3">
        <v>3.0</v>
      </c>
      <c r="F568" s="3">
        <f t="shared" si="1"/>
        <v>1</v>
      </c>
      <c r="G568" s="78" t="s">
        <v>2622</v>
      </c>
      <c r="H568" s="3" t="str">
        <f t="array" ref="H568">INDEX(driver_dataset!F:F,MATCH(G568,driver_dataset!A:A,0))</f>
        <v>Bike</v>
      </c>
    </row>
    <row r="569">
      <c r="A569" s="3" t="s">
        <v>3279</v>
      </c>
      <c r="B569" s="73">
        <v>45095.0</v>
      </c>
      <c r="C569" s="74">
        <v>45099.0</v>
      </c>
      <c r="D569" s="3">
        <v>2.0</v>
      </c>
      <c r="E569" s="3">
        <v>2.0</v>
      </c>
      <c r="F569" s="3">
        <f t="shared" si="1"/>
        <v>4</v>
      </c>
      <c r="G569" s="78" t="s">
        <v>2622</v>
      </c>
      <c r="H569" s="3" t="str">
        <f t="array" ref="H569">INDEX(driver_dataset!F:F,MATCH(G569,driver_dataset!A:A,0))</f>
        <v>Bike</v>
      </c>
    </row>
    <row r="570">
      <c r="A570" s="3" t="s">
        <v>3280</v>
      </c>
      <c r="B570" s="73">
        <v>45095.0</v>
      </c>
      <c r="C570" s="74">
        <v>45096.0</v>
      </c>
      <c r="D570" s="3">
        <v>2.0</v>
      </c>
      <c r="E570" s="3">
        <v>3.0</v>
      </c>
      <c r="F570" s="3">
        <f t="shared" si="1"/>
        <v>1</v>
      </c>
      <c r="G570" s="78" t="s">
        <v>2612</v>
      </c>
      <c r="H570" s="3" t="str">
        <f t="array" ref="H570">INDEX(driver_dataset!F:F,MATCH(G570,driver_dataset!A:A,0))</f>
        <v>Bike</v>
      </c>
    </row>
    <row r="571">
      <c r="A571" s="3" t="s">
        <v>3281</v>
      </c>
      <c r="B571" s="73">
        <v>45095.0</v>
      </c>
      <c r="C571" s="74">
        <v>45097.0</v>
      </c>
      <c r="D571" s="3">
        <v>19.0</v>
      </c>
      <c r="E571" s="3">
        <v>4.0</v>
      </c>
      <c r="F571" s="3">
        <f t="shared" si="1"/>
        <v>2</v>
      </c>
      <c r="G571" s="78" t="s">
        <v>2484</v>
      </c>
      <c r="H571" s="3" t="str">
        <f t="array" ref="H571">INDEX(driver_dataset!F:F,MATCH(G571,driver_dataset!A:A,0))</f>
        <v>Van</v>
      </c>
    </row>
    <row r="572">
      <c r="A572" s="3" t="s">
        <v>3282</v>
      </c>
      <c r="B572" s="73">
        <v>45095.0</v>
      </c>
      <c r="C572" s="74">
        <v>45100.0</v>
      </c>
      <c r="D572" s="3">
        <v>3.0</v>
      </c>
      <c r="E572" s="3">
        <v>2.0</v>
      </c>
      <c r="F572" s="3">
        <f t="shared" si="1"/>
        <v>5</v>
      </c>
      <c r="G572" s="78" t="s">
        <v>2572</v>
      </c>
      <c r="H572" s="3" t="str">
        <f t="array" ref="H572">INDEX(driver_dataset!F:F,MATCH(G572,driver_dataset!A:A,0))</f>
        <v>Bike</v>
      </c>
    </row>
    <row r="573">
      <c r="A573" s="3" t="s">
        <v>3283</v>
      </c>
      <c r="B573" s="73">
        <v>45095.0</v>
      </c>
      <c r="C573" s="74">
        <v>45096.0</v>
      </c>
      <c r="D573" s="3">
        <v>5.0</v>
      </c>
      <c r="E573" s="3">
        <v>3.0</v>
      </c>
      <c r="F573" s="3">
        <f t="shared" si="1"/>
        <v>1</v>
      </c>
      <c r="G573" s="78" t="s">
        <v>2547</v>
      </c>
      <c r="H573" s="3" t="str">
        <f t="array" ref="H573">INDEX(driver_dataset!F:F,MATCH(G573,driver_dataset!A:A,0))</f>
        <v>Bike</v>
      </c>
    </row>
    <row r="574">
      <c r="A574" s="3" t="s">
        <v>3284</v>
      </c>
      <c r="B574" s="73">
        <v>45095.0</v>
      </c>
      <c r="C574" s="74">
        <v>45096.0</v>
      </c>
      <c r="D574" s="3">
        <v>3.0</v>
      </c>
      <c r="E574" s="3">
        <v>2.0</v>
      </c>
      <c r="F574" s="3">
        <f t="shared" si="1"/>
        <v>1</v>
      </c>
      <c r="G574" s="78" t="s">
        <v>2496</v>
      </c>
      <c r="H574" s="3" t="str">
        <f t="array" ref="H574">INDEX(driver_dataset!F:F,MATCH(G574,driver_dataset!A:A,0))</f>
        <v>Bike</v>
      </c>
    </row>
    <row r="575">
      <c r="A575" s="3" t="s">
        <v>3285</v>
      </c>
      <c r="B575" s="73">
        <v>45095.0</v>
      </c>
      <c r="C575" s="74">
        <v>45099.0</v>
      </c>
      <c r="D575" s="3">
        <v>14.0</v>
      </c>
      <c r="E575" s="3">
        <v>4.0</v>
      </c>
      <c r="F575" s="3">
        <f t="shared" si="1"/>
        <v>4</v>
      </c>
      <c r="G575" s="78" t="s">
        <v>2587</v>
      </c>
      <c r="H575" s="3" t="str">
        <f t="array" ref="H575">INDEX(driver_dataset!F:F,MATCH(G575,driver_dataset!A:A,0))</f>
        <v>Van</v>
      </c>
    </row>
    <row r="576">
      <c r="A576" s="3" t="s">
        <v>3286</v>
      </c>
      <c r="B576" s="73">
        <v>45095.0</v>
      </c>
      <c r="C576" s="74">
        <v>45099.0</v>
      </c>
      <c r="D576" s="3">
        <v>4.0</v>
      </c>
      <c r="E576" s="3">
        <v>1.0</v>
      </c>
      <c r="F576" s="3">
        <f t="shared" si="1"/>
        <v>4</v>
      </c>
      <c r="G576" s="78" t="s">
        <v>2511</v>
      </c>
      <c r="H576" s="3" t="str">
        <f t="array" ref="H576">INDEX(driver_dataset!F:F,MATCH(G576,driver_dataset!A:A,0))</f>
        <v>Bike</v>
      </c>
    </row>
    <row r="577">
      <c r="A577" s="3" t="s">
        <v>3287</v>
      </c>
      <c r="B577" s="73">
        <v>45095.0</v>
      </c>
      <c r="C577" s="74">
        <v>45100.0</v>
      </c>
      <c r="D577" s="3">
        <v>6.0</v>
      </c>
      <c r="E577" s="3">
        <v>3.0</v>
      </c>
      <c r="F577" s="3">
        <f t="shared" si="1"/>
        <v>5</v>
      </c>
      <c r="G577" s="78" t="s">
        <v>2617</v>
      </c>
      <c r="H577" s="3" t="str">
        <f t="array" ref="H577">INDEX(driver_dataset!F:F,MATCH(G577,driver_dataset!A:A,0))</f>
        <v>Bike</v>
      </c>
    </row>
    <row r="578">
      <c r="A578" s="3" t="s">
        <v>3288</v>
      </c>
      <c r="B578" s="73">
        <v>45095.0</v>
      </c>
      <c r="C578" s="74">
        <v>45098.0</v>
      </c>
      <c r="D578" s="3">
        <v>2.0</v>
      </c>
      <c r="E578" s="3">
        <v>2.0</v>
      </c>
      <c r="F578" s="3">
        <f t="shared" si="1"/>
        <v>3</v>
      </c>
      <c r="G578" s="78" t="s">
        <v>2516</v>
      </c>
      <c r="H578" s="3" t="str">
        <f t="array" ref="H578">INDEX(driver_dataset!F:F,MATCH(G578,driver_dataset!A:A,0))</f>
        <v>Bike</v>
      </c>
    </row>
    <row r="579">
      <c r="A579" s="3" t="s">
        <v>3289</v>
      </c>
      <c r="B579" s="73">
        <v>45095.0</v>
      </c>
      <c r="C579" s="74">
        <v>45099.0</v>
      </c>
      <c r="D579" s="3">
        <v>9.0</v>
      </c>
      <c r="E579" s="3">
        <v>8.0</v>
      </c>
      <c r="F579" s="3">
        <f t="shared" si="1"/>
        <v>4</v>
      </c>
      <c r="G579" s="78" t="s">
        <v>2627</v>
      </c>
      <c r="H579" s="3" t="str">
        <f t="array" ref="H579">INDEX(driver_dataset!F:F,MATCH(G579,driver_dataset!A:A,0))</f>
        <v>Van</v>
      </c>
    </row>
    <row r="580">
      <c r="A580" s="3" t="s">
        <v>3290</v>
      </c>
      <c r="B580" s="73">
        <v>45095.0</v>
      </c>
      <c r="C580" s="74">
        <v>45098.0</v>
      </c>
      <c r="D580" s="3">
        <v>8.0</v>
      </c>
      <c r="E580" s="3">
        <v>5.0</v>
      </c>
      <c r="F580" s="3">
        <f t="shared" si="1"/>
        <v>3</v>
      </c>
      <c r="G580" s="78" t="s">
        <v>2662</v>
      </c>
      <c r="H580" s="3" t="str">
        <f t="array" ref="H580">INDEX(driver_dataset!F:F,MATCH(G580,driver_dataset!A:A,0))</f>
        <v>Van</v>
      </c>
    </row>
    <row r="581">
      <c r="A581" s="3" t="s">
        <v>3291</v>
      </c>
      <c r="B581" s="73">
        <v>45095.0</v>
      </c>
      <c r="C581" s="74">
        <v>45097.0</v>
      </c>
      <c r="D581" s="3">
        <v>2.0</v>
      </c>
      <c r="E581" s="3">
        <v>3.0</v>
      </c>
      <c r="F581" s="3">
        <f t="shared" si="1"/>
        <v>2</v>
      </c>
      <c r="G581" s="78" t="s">
        <v>2547</v>
      </c>
      <c r="H581" s="3" t="str">
        <f t="array" ref="H581">INDEX(driver_dataset!F:F,MATCH(G581,driver_dataset!A:A,0))</f>
        <v>Bike</v>
      </c>
    </row>
    <row r="582">
      <c r="A582" s="3" t="s">
        <v>3292</v>
      </c>
      <c r="B582" s="73">
        <v>45095.0</v>
      </c>
      <c r="C582" s="74">
        <v>45100.0</v>
      </c>
      <c r="D582" s="3">
        <v>1.0</v>
      </c>
      <c r="E582" s="3">
        <v>3.0</v>
      </c>
      <c r="F582" s="3">
        <f t="shared" si="1"/>
        <v>5</v>
      </c>
      <c r="G582" s="78" t="s">
        <v>2642</v>
      </c>
      <c r="H582" s="3" t="str">
        <f t="array" ref="H582">INDEX(driver_dataset!F:F,MATCH(G582,driver_dataset!A:A,0))</f>
        <v>Bike</v>
      </c>
    </row>
    <row r="583">
      <c r="A583" s="3" t="s">
        <v>3293</v>
      </c>
      <c r="B583" s="73">
        <v>45095.0</v>
      </c>
      <c r="C583" s="74">
        <v>45097.0</v>
      </c>
      <c r="D583" s="3">
        <v>13.0</v>
      </c>
      <c r="E583" s="3">
        <v>6.0</v>
      </c>
      <c r="F583" s="3">
        <f t="shared" si="1"/>
        <v>2</v>
      </c>
      <c r="G583" s="78" t="s">
        <v>2637</v>
      </c>
      <c r="H583" s="3" t="str">
        <f t="array" ref="H583">INDEX(driver_dataset!F:F,MATCH(G583,driver_dataset!A:A,0))</f>
        <v>Van</v>
      </c>
    </row>
    <row r="584">
      <c r="A584" s="3" t="s">
        <v>3294</v>
      </c>
      <c r="B584" s="73">
        <v>45095.0</v>
      </c>
      <c r="C584" s="74">
        <v>45097.0</v>
      </c>
      <c r="D584" s="3">
        <v>3.0</v>
      </c>
      <c r="E584" s="3">
        <v>2.0</v>
      </c>
      <c r="F584" s="3">
        <f t="shared" si="1"/>
        <v>2</v>
      </c>
      <c r="G584" s="78" t="s">
        <v>2687</v>
      </c>
      <c r="H584" s="3" t="str">
        <f t="array" ref="H584">INDEX(driver_dataset!F:F,MATCH(G584,driver_dataset!A:A,0))</f>
        <v>Bike</v>
      </c>
    </row>
    <row r="585">
      <c r="A585" s="3" t="s">
        <v>3295</v>
      </c>
      <c r="B585" s="73">
        <v>45095.0</v>
      </c>
      <c r="C585" s="74">
        <v>45096.0</v>
      </c>
      <c r="D585" s="3">
        <v>10.0</v>
      </c>
      <c r="E585" s="3">
        <v>4.0</v>
      </c>
      <c r="F585" s="3">
        <f t="shared" si="1"/>
        <v>1</v>
      </c>
      <c r="G585" s="78" t="s">
        <v>2501</v>
      </c>
      <c r="H585" s="3" t="str">
        <f t="array" ref="H585">INDEX(driver_dataset!F:F,MATCH(G585,driver_dataset!A:A,0))</f>
        <v>Van</v>
      </c>
    </row>
    <row r="586">
      <c r="A586" s="3" t="s">
        <v>3296</v>
      </c>
      <c r="B586" s="73">
        <v>45095.0</v>
      </c>
      <c r="C586" s="74">
        <v>45099.0</v>
      </c>
      <c r="D586" s="3">
        <v>11.0</v>
      </c>
      <c r="E586" s="3">
        <v>4.0</v>
      </c>
      <c r="F586" s="3">
        <f t="shared" si="1"/>
        <v>4</v>
      </c>
      <c r="G586" s="78" t="s">
        <v>2484</v>
      </c>
      <c r="H586" s="3" t="str">
        <f t="array" ref="H586">INDEX(driver_dataset!F:F,MATCH(G586,driver_dataset!A:A,0))</f>
        <v>Van</v>
      </c>
    </row>
    <row r="587">
      <c r="A587" s="3" t="s">
        <v>3297</v>
      </c>
      <c r="B587" s="73">
        <v>45095.0</v>
      </c>
      <c r="C587" s="74">
        <v>45100.0</v>
      </c>
      <c r="D587" s="3">
        <v>2.0</v>
      </c>
      <c r="E587" s="3">
        <v>2.0</v>
      </c>
      <c r="F587" s="3">
        <f t="shared" si="1"/>
        <v>5</v>
      </c>
      <c r="G587" s="78" t="s">
        <v>2602</v>
      </c>
      <c r="H587" s="3" t="str">
        <f t="array" ref="H587">INDEX(driver_dataset!F:F,MATCH(G587,driver_dataset!A:A,0))</f>
        <v>Bike</v>
      </c>
    </row>
    <row r="588">
      <c r="A588" s="3" t="s">
        <v>3298</v>
      </c>
      <c r="B588" s="73">
        <v>45095.0</v>
      </c>
      <c r="C588" s="74">
        <v>45100.0</v>
      </c>
      <c r="D588" s="3">
        <v>3.0</v>
      </c>
      <c r="E588" s="3">
        <v>3.0</v>
      </c>
      <c r="F588" s="3">
        <f t="shared" si="1"/>
        <v>5</v>
      </c>
      <c r="G588" s="78" t="s">
        <v>2612</v>
      </c>
      <c r="H588" s="3" t="str">
        <f t="array" ref="H588">INDEX(driver_dataset!F:F,MATCH(G588,driver_dataset!A:A,0))</f>
        <v>Bike</v>
      </c>
    </row>
    <row r="589">
      <c r="A589" s="3" t="s">
        <v>3299</v>
      </c>
      <c r="B589" s="73">
        <v>45095.0</v>
      </c>
      <c r="C589" s="74">
        <v>45096.0</v>
      </c>
      <c r="D589" s="3">
        <v>5.0</v>
      </c>
      <c r="E589" s="3">
        <v>3.0</v>
      </c>
      <c r="F589" s="3">
        <f t="shared" si="1"/>
        <v>1</v>
      </c>
      <c r="G589" s="78" t="s">
        <v>2527</v>
      </c>
      <c r="H589" s="3" t="str">
        <f t="array" ref="H589">INDEX(driver_dataset!F:F,MATCH(G589,driver_dataset!A:A,0))</f>
        <v>Bike</v>
      </c>
    </row>
    <row r="590">
      <c r="A590" s="3" t="s">
        <v>3300</v>
      </c>
      <c r="B590" s="73">
        <v>45095.0</v>
      </c>
      <c r="C590" s="74">
        <v>45098.0</v>
      </c>
      <c r="D590" s="3">
        <v>6.0</v>
      </c>
      <c r="E590" s="3">
        <v>3.0</v>
      </c>
      <c r="F590" s="3">
        <f t="shared" si="1"/>
        <v>3</v>
      </c>
      <c r="G590" s="78" t="s">
        <v>2511</v>
      </c>
      <c r="H590" s="3" t="str">
        <f t="array" ref="H590">INDEX(driver_dataset!F:F,MATCH(G590,driver_dataset!A:A,0))</f>
        <v>Bike</v>
      </c>
    </row>
    <row r="591">
      <c r="A591" s="3" t="s">
        <v>3301</v>
      </c>
      <c r="B591" s="73">
        <v>45095.0</v>
      </c>
      <c r="C591" s="74">
        <v>45096.0</v>
      </c>
      <c r="D591" s="3">
        <v>2.0</v>
      </c>
      <c r="E591" s="3">
        <v>3.0</v>
      </c>
      <c r="F591" s="3">
        <f t="shared" si="1"/>
        <v>1</v>
      </c>
      <c r="G591" s="78" t="s">
        <v>2572</v>
      </c>
      <c r="H591" s="3" t="str">
        <f t="array" ref="H591">INDEX(driver_dataset!F:F,MATCH(G591,driver_dataset!A:A,0))</f>
        <v>Bike</v>
      </c>
    </row>
    <row r="592">
      <c r="A592" s="3" t="s">
        <v>3302</v>
      </c>
      <c r="B592" s="73">
        <v>45095.0</v>
      </c>
      <c r="C592" s="74">
        <v>45100.0</v>
      </c>
      <c r="D592" s="3">
        <v>4.0</v>
      </c>
      <c r="E592" s="3">
        <v>2.0</v>
      </c>
      <c r="F592" s="3">
        <f t="shared" si="1"/>
        <v>5</v>
      </c>
      <c r="G592" s="78" t="s">
        <v>2557</v>
      </c>
      <c r="H592" s="3" t="str">
        <f t="array" ref="H592">INDEX(driver_dataset!F:F,MATCH(G592,driver_dataset!A:A,0))</f>
        <v>Bike</v>
      </c>
    </row>
    <row r="593">
      <c r="A593" s="3" t="s">
        <v>3303</v>
      </c>
      <c r="B593" s="73">
        <v>45095.0</v>
      </c>
      <c r="C593" s="74">
        <v>45099.0</v>
      </c>
      <c r="D593" s="3">
        <v>1.0</v>
      </c>
      <c r="E593" s="3">
        <v>1.0</v>
      </c>
      <c r="F593" s="3">
        <f t="shared" si="1"/>
        <v>4</v>
      </c>
      <c r="G593" s="78" t="s">
        <v>2602</v>
      </c>
      <c r="H593" s="3" t="str">
        <f t="array" ref="H593">INDEX(driver_dataset!F:F,MATCH(G593,driver_dataset!A:A,0))</f>
        <v>Bike</v>
      </c>
    </row>
    <row r="594">
      <c r="A594" s="3" t="s">
        <v>3304</v>
      </c>
      <c r="B594" s="73">
        <v>45095.0</v>
      </c>
      <c r="C594" s="74">
        <v>45096.0</v>
      </c>
      <c r="D594" s="3">
        <v>19.0</v>
      </c>
      <c r="E594" s="3">
        <v>9.0</v>
      </c>
      <c r="F594" s="3">
        <f t="shared" si="1"/>
        <v>1</v>
      </c>
      <c r="G594" s="78" t="s">
        <v>2637</v>
      </c>
      <c r="H594" s="3" t="str">
        <f t="array" ref="H594">INDEX(driver_dataset!F:F,MATCH(G594,driver_dataset!A:A,0))</f>
        <v>Van</v>
      </c>
    </row>
    <row r="595">
      <c r="A595" s="3" t="s">
        <v>3305</v>
      </c>
      <c r="B595" s="73">
        <v>45095.0</v>
      </c>
      <c r="C595" s="74">
        <v>45099.0</v>
      </c>
      <c r="D595" s="3">
        <v>13.0</v>
      </c>
      <c r="E595" s="3">
        <v>4.0</v>
      </c>
      <c r="F595" s="3">
        <f t="shared" si="1"/>
        <v>4</v>
      </c>
      <c r="G595" s="78" t="s">
        <v>2637</v>
      </c>
      <c r="H595" s="3" t="str">
        <f t="array" ref="H595">INDEX(driver_dataset!F:F,MATCH(G595,driver_dataset!A:A,0))</f>
        <v>Van</v>
      </c>
    </row>
    <row r="596">
      <c r="A596" s="3" t="s">
        <v>3306</v>
      </c>
      <c r="B596" s="73">
        <v>45095.0</v>
      </c>
      <c r="C596" s="74">
        <v>45097.0</v>
      </c>
      <c r="D596" s="3">
        <v>1.0</v>
      </c>
      <c r="E596" s="3">
        <v>3.0</v>
      </c>
      <c r="F596" s="3">
        <f t="shared" si="1"/>
        <v>2</v>
      </c>
      <c r="G596" s="78" t="s">
        <v>2622</v>
      </c>
      <c r="H596" s="3" t="str">
        <f t="array" ref="H596">INDEX(driver_dataset!F:F,MATCH(G596,driver_dataset!A:A,0))</f>
        <v>Bike</v>
      </c>
    </row>
    <row r="597">
      <c r="A597" s="3" t="s">
        <v>3307</v>
      </c>
      <c r="B597" s="73">
        <v>45095.0</v>
      </c>
      <c r="C597" s="74">
        <v>45099.0</v>
      </c>
      <c r="D597" s="3">
        <v>2.0</v>
      </c>
      <c r="E597" s="3">
        <v>1.0</v>
      </c>
      <c r="F597" s="3">
        <f t="shared" si="1"/>
        <v>4</v>
      </c>
      <c r="G597" s="78" t="s">
        <v>2692</v>
      </c>
      <c r="H597" s="3" t="str">
        <f t="array" ref="H597">INDEX(driver_dataset!F:F,MATCH(G597,driver_dataset!A:A,0))</f>
        <v>Bike</v>
      </c>
    </row>
    <row r="598">
      <c r="A598" s="3" t="s">
        <v>3308</v>
      </c>
      <c r="B598" s="74">
        <v>45096.0</v>
      </c>
      <c r="C598" s="74">
        <v>45101.0</v>
      </c>
      <c r="D598" s="3">
        <v>5.0</v>
      </c>
      <c r="E598" s="3">
        <v>3.0</v>
      </c>
      <c r="F598" s="3">
        <f t="shared" si="1"/>
        <v>5</v>
      </c>
      <c r="G598" s="78" t="s">
        <v>2647</v>
      </c>
      <c r="H598" s="3" t="str">
        <f t="array" ref="H598">INDEX(driver_dataset!F:F,MATCH(G598,driver_dataset!A:A,0))</f>
        <v>Bike</v>
      </c>
    </row>
    <row r="599">
      <c r="A599" s="3" t="s">
        <v>3309</v>
      </c>
      <c r="B599" s="73">
        <v>45096.0</v>
      </c>
      <c r="C599" s="74">
        <v>45100.0</v>
      </c>
      <c r="D599" s="3">
        <v>5.0</v>
      </c>
      <c r="E599" s="3">
        <v>1.0</v>
      </c>
      <c r="F599" s="3">
        <f t="shared" si="1"/>
        <v>4</v>
      </c>
      <c r="G599" s="78" t="s">
        <v>2542</v>
      </c>
      <c r="H599" s="3" t="str">
        <f t="array" ref="H599">INDEX(driver_dataset!F:F,MATCH(G599,driver_dataset!A:A,0))</f>
        <v>Bike</v>
      </c>
    </row>
    <row r="600">
      <c r="A600" s="3" t="s">
        <v>3310</v>
      </c>
      <c r="B600" s="73">
        <v>45096.0</v>
      </c>
      <c r="C600" s="74">
        <v>45101.0</v>
      </c>
      <c r="D600" s="3">
        <v>2.0</v>
      </c>
      <c r="E600" s="3">
        <v>2.0</v>
      </c>
      <c r="F600" s="3">
        <f t="shared" si="1"/>
        <v>5</v>
      </c>
      <c r="G600" s="78" t="s">
        <v>2547</v>
      </c>
      <c r="H600" s="3" t="str">
        <f t="array" ref="H600">INDEX(driver_dataset!F:F,MATCH(G600,driver_dataset!A:A,0))</f>
        <v>Bike</v>
      </c>
    </row>
    <row r="601">
      <c r="A601" s="3" t="s">
        <v>3311</v>
      </c>
      <c r="B601" s="73">
        <v>45096.0</v>
      </c>
      <c r="C601" s="74">
        <v>45099.0</v>
      </c>
      <c r="D601" s="3">
        <v>5.0</v>
      </c>
      <c r="E601" s="3">
        <v>3.0</v>
      </c>
      <c r="F601" s="3">
        <f t="shared" si="1"/>
        <v>3</v>
      </c>
      <c r="G601" s="78" t="s">
        <v>2617</v>
      </c>
      <c r="H601" s="3" t="str">
        <f t="array" ref="H601">INDEX(driver_dataset!F:F,MATCH(G601,driver_dataset!A:A,0))</f>
        <v>Bike</v>
      </c>
    </row>
    <row r="602">
      <c r="A602" s="3" t="s">
        <v>3312</v>
      </c>
      <c r="B602" s="73">
        <v>45096.0</v>
      </c>
      <c r="C602" s="74">
        <v>45100.0</v>
      </c>
      <c r="D602" s="3">
        <v>6.0</v>
      </c>
      <c r="E602" s="3">
        <v>3.0</v>
      </c>
      <c r="F602" s="3">
        <f t="shared" si="1"/>
        <v>4</v>
      </c>
      <c r="G602" s="78" t="s">
        <v>2647</v>
      </c>
      <c r="H602" s="3" t="str">
        <f t="array" ref="H602">INDEX(driver_dataset!F:F,MATCH(G602,driver_dataset!A:A,0))</f>
        <v>Bike</v>
      </c>
    </row>
    <row r="603">
      <c r="A603" s="3" t="s">
        <v>3313</v>
      </c>
      <c r="B603" s="73">
        <v>45096.0</v>
      </c>
      <c r="C603" s="74">
        <v>45100.0</v>
      </c>
      <c r="D603" s="3">
        <v>5.0</v>
      </c>
      <c r="E603" s="3">
        <v>2.0</v>
      </c>
      <c r="F603" s="3">
        <f t="shared" si="1"/>
        <v>4</v>
      </c>
      <c r="G603" s="78" t="s">
        <v>2582</v>
      </c>
      <c r="H603" s="3" t="str">
        <f t="array" ref="H603">INDEX(driver_dataset!F:F,MATCH(G603,driver_dataset!A:A,0))</f>
        <v>Bike</v>
      </c>
    </row>
    <row r="604">
      <c r="A604" s="3" t="s">
        <v>3314</v>
      </c>
      <c r="B604" s="73">
        <v>45096.0</v>
      </c>
      <c r="C604" s="74">
        <v>45097.0</v>
      </c>
      <c r="D604" s="3">
        <v>4.0</v>
      </c>
      <c r="E604" s="3">
        <v>3.0</v>
      </c>
      <c r="F604" s="3">
        <f t="shared" si="1"/>
        <v>1</v>
      </c>
      <c r="G604" s="78" t="s">
        <v>2567</v>
      </c>
      <c r="H604" s="3" t="str">
        <f t="array" ref="H604">INDEX(driver_dataset!F:F,MATCH(G604,driver_dataset!A:A,0))</f>
        <v>Bike</v>
      </c>
    </row>
    <row r="605">
      <c r="A605" s="3" t="s">
        <v>3315</v>
      </c>
      <c r="B605" s="73">
        <v>45096.0</v>
      </c>
      <c r="C605" s="74">
        <v>45101.0</v>
      </c>
      <c r="D605" s="3">
        <v>6.0</v>
      </c>
      <c r="E605" s="3">
        <v>2.0</v>
      </c>
      <c r="F605" s="3">
        <f t="shared" si="1"/>
        <v>5</v>
      </c>
      <c r="G605" s="78" t="s">
        <v>2612</v>
      </c>
      <c r="H605" s="3" t="str">
        <f t="array" ref="H605">INDEX(driver_dataset!F:F,MATCH(G605,driver_dataset!A:A,0))</f>
        <v>Bike</v>
      </c>
    </row>
    <row r="606">
      <c r="A606" s="3" t="s">
        <v>3316</v>
      </c>
      <c r="B606" s="73">
        <v>45096.0</v>
      </c>
      <c r="C606" s="74">
        <v>45097.0</v>
      </c>
      <c r="D606" s="3">
        <v>4.0</v>
      </c>
      <c r="E606" s="3">
        <v>2.0</v>
      </c>
      <c r="F606" s="3">
        <f t="shared" si="1"/>
        <v>1</v>
      </c>
      <c r="G606" s="78" t="s">
        <v>2652</v>
      </c>
      <c r="H606" s="3" t="str">
        <f t="array" ref="H606">INDEX(driver_dataset!F:F,MATCH(G606,driver_dataset!A:A,0))</f>
        <v>Bike</v>
      </c>
    </row>
    <row r="607">
      <c r="A607" s="3" t="s">
        <v>3317</v>
      </c>
      <c r="B607" s="73">
        <v>45096.0</v>
      </c>
      <c r="C607" s="74">
        <v>45099.0</v>
      </c>
      <c r="D607" s="3">
        <v>4.0</v>
      </c>
      <c r="E607" s="3">
        <v>2.0</v>
      </c>
      <c r="F607" s="3">
        <f t="shared" si="1"/>
        <v>3</v>
      </c>
      <c r="G607" s="78" t="s">
        <v>2490</v>
      </c>
      <c r="H607" s="3" t="str">
        <f t="array" ref="H607">INDEX(driver_dataset!F:F,MATCH(G607,driver_dataset!A:A,0))</f>
        <v>Bike</v>
      </c>
    </row>
    <row r="608">
      <c r="A608" s="3" t="s">
        <v>3318</v>
      </c>
      <c r="B608" s="73">
        <v>45096.0</v>
      </c>
      <c r="C608" s="74">
        <v>45100.0</v>
      </c>
      <c r="D608" s="3">
        <v>8.0</v>
      </c>
      <c r="E608" s="3">
        <v>6.0</v>
      </c>
      <c r="F608" s="3">
        <f t="shared" si="1"/>
        <v>4</v>
      </c>
      <c r="G608" s="78" t="s">
        <v>2627</v>
      </c>
      <c r="H608" s="3" t="str">
        <f t="array" ref="H608">INDEX(driver_dataset!F:F,MATCH(G608,driver_dataset!A:A,0))</f>
        <v>Van</v>
      </c>
    </row>
    <row r="609">
      <c r="A609" s="3" t="s">
        <v>3319</v>
      </c>
      <c r="B609" s="73">
        <v>45096.0</v>
      </c>
      <c r="C609" s="74">
        <v>45100.0</v>
      </c>
      <c r="D609" s="3">
        <v>3.0</v>
      </c>
      <c r="E609" s="3">
        <v>1.0</v>
      </c>
      <c r="F609" s="3">
        <f t="shared" si="1"/>
        <v>4</v>
      </c>
      <c r="G609" s="78" t="s">
        <v>2577</v>
      </c>
      <c r="H609" s="3" t="str">
        <f t="array" ref="H609">INDEX(driver_dataset!F:F,MATCH(G609,driver_dataset!A:A,0))</f>
        <v>Bike</v>
      </c>
    </row>
    <row r="610">
      <c r="A610" s="3" t="s">
        <v>3320</v>
      </c>
      <c r="B610" s="73">
        <v>45096.0</v>
      </c>
      <c r="C610" s="74">
        <v>45097.0</v>
      </c>
      <c r="D610" s="3">
        <v>1.0</v>
      </c>
      <c r="E610" s="3">
        <v>2.0</v>
      </c>
      <c r="F610" s="3">
        <f t="shared" si="1"/>
        <v>1</v>
      </c>
      <c r="G610" s="78" t="s">
        <v>2567</v>
      </c>
      <c r="H610" s="3" t="str">
        <f t="array" ref="H610">INDEX(driver_dataset!F:F,MATCH(G610,driver_dataset!A:A,0))</f>
        <v>Bike</v>
      </c>
    </row>
    <row r="611">
      <c r="A611" s="3" t="s">
        <v>3321</v>
      </c>
      <c r="B611" s="73">
        <v>45096.0</v>
      </c>
      <c r="C611" s="74">
        <v>45100.0</v>
      </c>
      <c r="D611" s="3">
        <v>3.0</v>
      </c>
      <c r="E611" s="3">
        <v>2.0</v>
      </c>
      <c r="F611" s="3">
        <f t="shared" si="1"/>
        <v>4</v>
      </c>
      <c r="G611" s="78" t="s">
        <v>2532</v>
      </c>
      <c r="H611" s="3" t="str">
        <f t="array" ref="H611">INDEX(driver_dataset!F:F,MATCH(G611,driver_dataset!A:A,0))</f>
        <v>Bike</v>
      </c>
    </row>
    <row r="612">
      <c r="A612" s="3" t="s">
        <v>3322</v>
      </c>
      <c r="B612" s="73">
        <v>45096.0</v>
      </c>
      <c r="C612" s="74">
        <v>45099.0</v>
      </c>
      <c r="D612" s="3">
        <v>5.0</v>
      </c>
      <c r="E612" s="3">
        <v>1.0</v>
      </c>
      <c r="F612" s="3">
        <f t="shared" si="1"/>
        <v>3</v>
      </c>
      <c r="G612" s="78" t="s">
        <v>2542</v>
      </c>
      <c r="H612" s="3" t="str">
        <f t="array" ref="H612">INDEX(driver_dataset!F:F,MATCH(G612,driver_dataset!A:A,0))</f>
        <v>Bike</v>
      </c>
    </row>
    <row r="613">
      <c r="A613" s="3" t="s">
        <v>3323</v>
      </c>
      <c r="B613" s="73">
        <v>45096.0</v>
      </c>
      <c r="C613" s="74">
        <v>45099.0</v>
      </c>
      <c r="D613" s="3">
        <v>14.0</v>
      </c>
      <c r="E613" s="3">
        <v>4.0</v>
      </c>
      <c r="F613" s="3">
        <f t="shared" si="1"/>
        <v>3</v>
      </c>
      <c r="G613" s="78" t="s">
        <v>2637</v>
      </c>
      <c r="H613" s="3" t="str">
        <f t="array" ref="H613">INDEX(driver_dataset!F:F,MATCH(G613,driver_dataset!A:A,0))</f>
        <v>Van</v>
      </c>
    </row>
    <row r="614">
      <c r="A614" s="3" t="s">
        <v>3324</v>
      </c>
      <c r="B614" s="73">
        <v>45096.0</v>
      </c>
      <c r="C614" s="74">
        <v>45099.0</v>
      </c>
      <c r="D614" s="3">
        <v>2.0</v>
      </c>
      <c r="E614" s="3">
        <v>1.0</v>
      </c>
      <c r="F614" s="3">
        <f t="shared" si="1"/>
        <v>3</v>
      </c>
      <c r="G614" s="78" t="s">
        <v>2490</v>
      </c>
      <c r="H614" s="3" t="str">
        <f t="array" ref="H614">INDEX(driver_dataset!F:F,MATCH(G614,driver_dataset!A:A,0))</f>
        <v>Bike</v>
      </c>
    </row>
    <row r="615">
      <c r="A615" s="3" t="s">
        <v>3325</v>
      </c>
      <c r="B615" s="73">
        <v>45096.0</v>
      </c>
      <c r="C615" s="74">
        <v>45101.0</v>
      </c>
      <c r="D615" s="3">
        <v>6.0</v>
      </c>
      <c r="E615" s="3">
        <v>3.0</v>
      </c>
      <c r="F615" s="3">
        <f t="shared" si="1"/>
        <v>5</v>
      </c>
      <c r="G615" s="78" t="s">
        <v>2542</v>
      </c>
      <c r="H615" s="3" t="str">
        <f t="array" ref="H615">INDEX(driver_dataset!F:F,MATCH(G615,driver_dataset!A:A,0))</f>
        <v>Bike</v>
      </c>
    </row>
    <row r="616">
      <c r="A616" s="3" t="s">
        <v>3326</v>
      </c>
      <c r="B616" s="73">
        <v>45096.0</v>
      </c>
      <c r="C616" s="74">
        <v>45097.0</v>
      </c>
      <c r="D616" s="3">
        <v>2.0</v>
      </c>
      <c r="E616" s="3">
        <v>2.0</v>
      </c>
      <c r="F616" s="3">
        <f t="shared" si="1"/>
        <v>1</v>
      </c>
      <c r="G616" s="78" t="s">
        <v>2602</v>
      </c>
      <c r="H616" s="3" t="str">
        <f t="array" ref="H616">INDEX(driver_dataset!F:F,MATCH(G616,driver_dataset!A:A,0))</f>
        <v>Bike</v>
      </c>
    </row>
    <row r="617">
      <c r="A617" s="3" t="s">
        <v>3327</v>
      </c>
      <c r="B617" s="73">
        <v>45096.0</v>
      </c>
      <c r="C617" s="74">
        <v>45097.0</v>
      </c>
      <c r="D617" s="3">
        <v>17.0</v>
      </c>
      <c r="E617" s="3">
        <v>7.0</v>
      </c>
      <c r="F617" s="3">
        <f t="shared" si="1"/>
        <v>1</v>
      </c>
      <c r="G617" s="78" t="s">
        <v>2587</v>
      </c>
      <c r="H617" s="3" t="str">
        <f t="array" ref="H617">INDEX(driver_dataset!F:F,MATCH(G617,driver_dataset!A:A,0))</f>
        <v>Van</v>
      </c>
    </row>
    <row r="618">
      <c r="A618" s="3" t="s">
        <v>3328</v>
      </c>
      <c r="B618" s="73">
        <v>45096.0</v>
      </c>
      <c r="C618" s="74">
        <v>45097.0</v>
      </c>
      <c r="D618" s="3">
        <v>6.0</v>
      </c>
      <c r="E618" s="3">
        <v>3.0</v>
      </c>
      <c r="F618" s="3">
        <f t="shared" si="1"/>
        <v>1</v>
      </c>
      <c r="G618" s="78" t="s">
        <v>2511</v>
      </c>
      <c r="H618" s="3" t="str">
        <f t="array" ref="H618">INDEX(driver_dataset!F:F,MATCH(G618,driver_dataset!A:A,0))</f>
        <v>Bike</v>
      </c>
    </row>
    <row r="619">
      <c r="A619" s="3" t="s">
        <v>3329</v>
      </c>
      <c r="B619" s="73">
        <v>45096.0</v>
      </c>
      <c r="C619" s="74">
        <v>45097.0</v>
      </c>
      <c r="D619" s="3">
        <v>5.0</v>
      </c>
      <c r="E619" s="3">
        <v>2.0</v>
      </c>
      <c r="F619" s="3">
        <f t="shared" si="1"/>
        <v>1</v>
      </c>
      <c r="G619" s="78" t="s">
        <v>2677</v>
      </c>
      <c r="H619" s="3" t="str">
        <f t="array" ref="H619">INDEX(driver_dataset!F:F,MATCH(G619,driver_dataset!A:A,0))</f>
        <v>Bike</v>
      </c>
    </row>
    <row r="620">
      <c r="A620" s="3" t="s">
        <v>3330</v>
      </c>
      <c r="B620" s="73">
        <v>45096.0</v>
      </c>
      <c r="C620" s="74">
        <v>45097.0</v>
      </c>
      <c r="D620" s="3">
        <v>9.0</v>
      </c>
      <c r="E620" s="3">
        <v>10.0</v>
      </c>
      <c r="F620" s="3">
        <f t="shared" si="1"/>
        <v>1</v>
      </c>
      <c r="G620" s="3" t="s">
        <v>2537</v>
      </c>
      <c r="H620" s="3" t="str">
        <f t="array" ref="H620">INDEX(driver_dataset!F:F,MATCH(G620,driver_dataset!A:A,0))</f>
        <v>Van</v>
      </c>
    </row>
    <row r="621">
      <c r="A621" s="3" t="s">
        <v>3331</v>
      </c>
      <c r="B621" s="73">
        <v>45096.0</v>
      </c>
      <c r="C621" s="74">
        <v>45097.0</v>
      </c>
      <c r="D621" s="3">
        <v>2.0</v>
      </c>
      <c r="E621" s="3">
        <v>1.0</v>
      </c>
      <c r="F621" s="3">
        <f t="shared" si="1"/>
        <v>1</v>
      </c>
      <c r="G621" s="3" t="s">
        <v>2622</v>
      </c>
      <c r="H621" s="3" t="str">
        <f t="array" ref="H621">INDEX(driver_dataset!F:F,MATCH(G621,driver_dataset!A:A,0))</f>
        <v>Bike</v>
      </c>
    </row>
    <row r="622">
      <c r="A622" s="3" t="s">
        <v>3332</v>
      </c>
      <c r="B622" s="73">
        <v>45096.0</v>
      </c>
      <c r="C622" s="74">
        <v>45100.0</v>
      </c>
      <c r="D622" s="3">
        <v>13.0</v>
      </c>
      <c r="E622" s="3">
        <v>7.0</v>
      </c>
      <c r="F622" s="3">
        <f t="shared" si="1"/>
        <v>4</v>
      </c>
      <c r="G622" s="78" t="s">
        <v>2537</v>
      </c>
      <c r="H622" s="3" t="str">
        <f t="array" ref="H622">INDEX(driver_dataset!F:F,MATCH(G622,driver_dataset!A:A,0))</f>
        <v>Van</v>
      </c>
    </row>
    <row r="623">
      <c r="A623" s="3" t="s">
        <v>3333</v>
      </c>
      <c r="B623" s="73">
        <v>45096.0</v>
      </c>
      <c r="C623" s="74">
        <v>45098.0</v>
      </c>
      <c r="D623" s="3">
        <v>4.0</v>
      </c>
      <c r="E623" s="3">
        <v>1.0</v>
      </c>
      <c r="F623" s="3">
        <f t="shared" si="1"/>
        <v>2</v>
      </c>
      <c r="G623" s="78" t="s">
        <v>2632</v>
      </c>
      <c r="H623" s="3" t="str">
        <f t="array" ref="H623">INDEX(driver_dataset!F:F,MATCH(G623,driver_dataset!A:A,0))</f>
        <v>Bike</v>
      </c>
    </row>
    <row r="624">
      <c r="A624" s="3" t="s">
        <v>3334</v>
      </c>
      <c r="B624" s="73">
        <v>45096.0</v>
      </c>
      <c r="C624" s="74">
        <v>45100.0</v>
      </c>
      <c r="D624" s="3">
        <v>20.0</v>
      </c>
      <c r="E624" s="3">
        <v>10.0</v>
      </c>
      <c r="F624" s="3">
        <f t="shared" si="1"/>
        <v>4</v>
      </c>
      <c r="G624" s="78" t="s">
        <v>2587</v>
      </c>
      <c r="H624" s="3" t="str">
        <f t="array" ref="H624">INDEX(driver_dataset!F:F,MATCH(G624,driver_dataset!A:A,0))</f>
        <v>Van</v>
      </c>
    </row>
    <row r="625">
      <c r="A625" s="3" t="s">
        <v>3335</v>
      </c>
      <c r="B625" s="73">
        <v>45096.0</v>
      </c>
      <c r="C625" s="74">
        <v>45100.0</v>
      </c>
      <c r="D625" s="3">
        <v>1.0</v>
      </c>
      <c r="E625" s="3">
        <v>1.0</v>
      </c>
      <c r="F625" s="3">
        <f t="shared" si="1"/>
        <v>4</v>
      </c>
      <c r="G625" s="78" t="s">
        <v>2682</v>
      </c>
      <c r="H625" s="3" t="str">
        <f t="array" ref="H625">INDEX(driver_dataset!F:F,MATCH(G625,driver_dataset!A:A,0))</f>
        <v>Bike</v>
      </c>
    </row>
    <row r="626">
      <c r="A626" s="3" t="s">
        <v>3336</v>
      </c>
      <c r="B626" s="73">
        <v>45096.0</v>
      </c>
      <c r="C626" s="74">
        <v>45100.0</v>
      </c>
      <c r="D626" s="3">
        <v>4.0</v>
      </c>
      <c r="E626" s="3">
        <v>1.0</v>
      </c>
      <c r="F626" s="3">
        <f t="shared" si="1"/>
        <v>4</v>
      </c>
      <c r="G626" s="78" t="s">
        <v>2547</v>
      </c>
      <c r="H626" s="3" t="str">
        <f t="array" ref="H626">INDEX(driver_dataset!F:F,MATCH(G626,driver_dataset!A:A,0))</f>
        <v>Bike</v>
      </c>
    </row>
    <row r="627">
      <c r="A627" s="3" t="s">
        <v>3337</v>
      </c>
      <c r="B627" s="73">
        <v>45096.0</v>
      </c>
      <c r="C627" s="74">
        <v>45097.0</v>
      </c>
      <c r="D627" s="3">
        <v>5.0</v>
      </c>
      <c r="E627" s="3">
        <v>3.0</v>
      </c>
      <c r="F627" s="3">
        <f t="shared" si="1"/>
        <v>1</v>
      </c>
      <c r="G627" s="78" t="s">
        <v>2602</v>
      </c>
      <c r="H627" s="3" t="str">
        <f t="array" ref="H627">INDEX(driver_dataset!F:F,MATCH(G627,driver_dataset!A:A,0))</f>
        <v>Bike</v>
      </c>
    </row>
    <row r="628">
      <c r="A628" s="3" t="s">
        <v>3338</v>
      </c>
      <c r="B628" s="74">
        <v>45097.0</v>
      </c>
      <c r="C628" s="74">
        <v>45098.0</v>
      </c>
      <c r="D628" s="3">
        <v>6.0</v>
      </c>
      <c r="E628" s="3">
        <v>2.0</v>
      </c>
      <c r="F628" s="3">
        <f t="shared" si="1"/>
        <v>1</v>
      </c>
      <c r="G628" s="78" t="s">
        <v>2511</v>
      </c>
      <c r="H628" s="3" t="str">
        <f t="array" ref="H628">INDEX(driver_dataset!F:F,MATCH(G628,driver_dataset!A:A,0))</f>
        <v>Bike</v>
      </c>
    </row>
    <row r="629">
      <c r="A629" s="3" t="s">
        <v>3339</v>
      </c>
      <c r="B629" s="74">
        <v>45097.0</v>
      </c>
      <c r="C629" s="74">
        <v>45101.0</v>
      </c>
      <c r="D629" s="3">
        <v>1.0</v>
      </c>
      <c r="E629" s="3">
        <v>3.0</v>
      </c>
      <c r="F629" s="3">
        <f t="shared" si="1"/>
        <v>4</v>
      </c>
      <c r="G629" s="78" t="s">
        <v>2612</v>
      </c>
      <c r="H629" s="3" t="str">
        <f t="array" ref="H629">INDEX(driver_dataset!F:F,MATCH(G629,driver_dataset!A:A,0))</f>
        <v>Bike</v>
      </c>
    </row>
    <row r="630">
      <c r="A630" s="3" t="s">
        <v>3340</v>
      </c>
      <c r="B630" s="73">
        <v>45097.0</v>
      </c>
      <c r="C630" s="74">
        <v>45102.0</v>
      </c>
      <c r="D630" s="3">
        <v>3.0</v>
      </c>
      <c r="E630" s="3">
        <v>1.0</v>
      </c>
      <c r="F630" s="3">
        <f t="shared" si="1"/>
        <v>5</v>
      </c>
      <c r="G630" s="78" t="s">
        <v>2682</v>
      </c>
      <c r="H630" s="3" t="str">
        <f t="array" ref="H630">INDEX(driver_dataset!F:F,MATCH(G630,driver_dataset!A:A,0))</f>
        <v>Bike</v>
      </c>
    </row>
    <row r="631">
      <c r="A631" s="3" t="s">
        <v>3341</v>
      </c>
      <c r="B631" s="73">
        <v>45097.0</v>
      </c>
      <c r="C631" s="74">
        <v>45102.0</v>
      </c>
      <c r="D631" s="3">
        <v>3.0</v>
      </c>
      <c r="E631" s="3">
        <v>3.0</v>
      </c>
      <c r="F631" s="3">
        <f t="shared" si="1"/>
        <v>5</v>
      </c>
      <c r="G631" s="78" t="s">
        <v>2506</v>
      </c>
      <c r="H631" s="3" t="str">
        <f t="array" ref="H631">INDEX(driver_dataset!F:F,MATCH(G631,driver_dataset!A:A,0))</f>
        <v>Bike</v>
      </c>
    </row>
    <row r="632">
      <c r="A632" s="3" t="s">
        <v>3342</v>
      </c>
      <c r="B632" s="73">
        <v>45097.0</v>
      </c>
      <c r="C632" s="74">
        <v>45098.0</v>
      </c>
      <c r="D632" s="3">
        <v>1.0</v>
      </c>
      <c r="E632" s="3">
        <v>2.0</v>
      </c>
      <c r="F632" s="3">
        <f t="shared" si="1"/>
        <v>1</v>
      </c>
      <c r="G632" s="78" t="s">
        <v>2496</v>
      </c>
      <c r="H632" s="3" t="str">
        <f t="array" ref="H632">INDEX(driver_dataset!F:F,MATCH(G632,driver_dataset!A:A,0))</f>
        <v>Bike</v>
      </c>
    </row>
    <row r="633">
      <c r="A633" s="3" t="s">
        <v>3343</v>
      </c>
      <c r="B633" s="73">
        <v>45097.0</v>
      </c>
      <c r="C633" s="74">
        <v>45098.0</v>
      </c>
      <c r="D633" s="3">
        <v>17.0</v>
      </c>
      <c r="E633" s="3">
        <v>7.0</v>
      </c>
      <c r="F633" s="3">
        <f t="shared" si="1"/>
        <v>1</v>
      </c>
      <c r="G633" s="78" t="s">
        <v>2627</v>
      </c>
      <c r="H633" s="3" t="str">
        <f t="array" ref="H633">INDEX(driver_dataset!F:F,MATCH(G633,driver_dataset!A:A,0))</f>
        <v>Van</v>
      </c>
    </row>
    <row r="634">
      <c r="A634" s="3" t="s">
        <v>3344</v>
      </c>
      <c r="B634" s="73">
        <v>45097.0</v>
      </c>
      <c r="C634" s="74">
        <v>45101.0</v>
      </c>
      <c r="D634" s="3">
        <v>16.0</v>
      </c>
      <c r="E634" s="3">
        <v>5.0</v>
      </c>
      <c r="F634" s="3">
        <f t="shared" si="1"/>
        <v>4</v>
      </c>
      <c r="G634" s="78" t="s">
        <v>2637</v>
      </c>
      <c r="H634" s="3" t="str">
        <f t="array" ref="H634">INDEX(driver_dataset!F:F,MATCH(G634,driver_dataset!A:A,0))</f>
        <v>Van</v>
      </c>
    </row>
    <row r="635">
      <c r="A635" s="3" t="s">
        <v>3345</v>
      </c>
      <c r="B635" s="73">
        <v>45097.0</v>
      </c>
      <c r="C635" s="74">
        <v>45101.0</v>
      </c>
      <c r="D635" s="3">
        <v>3.0</v>
      </c>
      <c r="E635" s="3">
        <v>1.0</v>
      </c>
      <c r="F635" s="3">
        <f t="shared" si="1"/>
        <v>4</v>
      </c>
      <c r="G635" s="78" t="s">
        <v>2632</v>
      </c>
      <c r="H635" s="3" t="str">
        <f t="array" ref="H635">INDEX(driver_dataset!F:F,MATCH(G635,driver_dataset!A:A,0))</f>
        <v>Bike</v>
      </c>
    </row>
    <row r="636">
      <c r="A636" s="3" t="s">
        <v>3346</v>
      </c>
      <c r="B636" s="73">
        <v>45097.0</v>
      </c>
      <c r="C636" s="74">
        <v>45100.0</v>
      </c>
      <c r="D636" s="3">
        <v>4.0</v>
      </c>
      <c r="E636" s="3">
        <v>1.0</v>
      </c>
      <c r="F636" s="3">
        <f t="shared" si="1"/>
        <v>3</v>
      </c>
      <c r="G636" s="78" t="s">
        <v>2527</v>
      </c>
      <c r="H636" s="3" t="str">
        <f t="array" ref="H636">INDEX(driver_dataset!F:F,MATCH(G636,driver_dataset!A:A,0))</f>
        <v>Bike</v>
      </c>
    </row>
    <row r="637">
      <c r="A637" s="3" t="s">
        <v>3347</v>
      </c>
      <c r="B637" s="73">
        <v>45097.0</v>
      </c>
      <c r="C637" s="74">
        <v>45098.0</v>
      </c>
      <c r="D637" s="3">
        <v>1.0</v>
      </c>
      <c r="E637" s="3">
        <v>1.0</v>
      </c>
      <c r="F637" s="3">
        <f t="shared" si="1"/>
        <v>1</v>
      </c>
      <c r="G637" s="78" t="s">
        <v>2532</v>
      </c>
      <c r="H637" s="3" t="str">
        <f t="array" ref="H637">INDEX(driver_dataset!F:F,MATCH(G637,driver_dataset!A:A,0))</f>
        <v>Bike</v>
      </c>
    </row>
    <row r="638">
      <c r="A638" s="3" t="s">
        <v>3348</v>
      </c>
      <c r="B638" s="73">
        <v>45097.0</v>
      </c>
      <c r="C638" s="74">
        <v>45101.0</v>
      </c>
      <c r="D638" s="3">
        <v>2.0</v>
      </c>
      <c r="E638" s="3">
        <v>2.0</v>
      </c>
      <c r="F638" s="3">
        <f t="shared" si="1"/>
        <v>4</v>
      </c>
      <c r="G638" s="78" t="s">
        <v>2677</v>
      </c>
      <c r="H638" s="3" t="str">
        <f t="array" ref="H638">INDEX(driver_dataset!F:F,MATCH(G638,driver_dataset!A:A,0))</f>
        <v>Bike</v>
      </c>
    </row>
    <row r="639">
      <c r="A639" s="3" t="s">
        <v>3349</v>
      </c>
      <c r="B639" s="73">
        <v>45097.0</v>
      </c>
      <c r="C639" s="74">
        <v>45102.0</v>
      </c>
      <c r="D639" s="3">
        <v>16.0</v>
      </c>
      <c r="E639" s="3">
        <v>9.0</v>
      </c>
      <c r="F639" s="3">
        <f t="shared" si="1"/>
        <v>5</v>
      </c>
      <c r="G639" s="78" t="s">
        <v>2662</v>
      </c>
      <c r="H639" s="3" t="str">
        <f t="array" ref="H639">INDEX(driver_dataset!F:F,MATCH(G639,driver_dataset!A:A,0))</f>
        <v>Van</v>
      </c>
    </row>
    <row r="640">
      <c r="A640" s="3" t="s">
        <v>3350</v>
      </c>
      <c r="B640" s="73">
        <v>45097.0</v>
      </c>
      <c r="C640" s="74">
        <v>45100.0</v>
      </c>
      <c r="D640" s="3">
        <v>4.0</v>
      </c>
      <c r="E640" s="3">
        <v>3.0</v>
      </c>
      <c r="F640" s="3">
        <f t="shared" si="1"/>
        <v>3</v>
      </c>
      <c r="G640" s="78" t="s">
        <v>2562</v>
      </c>
      <c r="H640" s="3" t="str">
        <f t="array" ref="H640">INDEX(driver_dataset!F:F,MATCH(G640,driver_dataset!A:A,0))</f>
        <v>Bike</v>
      </c>
    </row>
    <row r="641">
      <c r="A641" s="3" t="s">
        <v>3351</v>
      </c>
      <c r="B641" s="73">
        <v>45097.0</v>
      </c>
      <c r="C641" s="74">
        <v>45098.0</v>
      </c>
      <c r="D641" s="3">
        <v>2.0</v>
      </c>
      <c r="E641" s="3">
        <v>3.0</v>
      </c>
      <c r="F641" s="3">
        <f t="shared" si="1"/>
        <v>1</v>
      </c>
      <c r="G641" s="78" t="s">
        <v>2682</v>
      </c>
      <c r="H641" s="3" t="str">
        <f t="array" ref="H641">INDEX(driver_dataset!F:F,MATCH(G641,driver_dataset!A:A,0))</f>
        <v>Bike</v>
      </c>
    </row>
    <row r="642">
      <c r="A642" s="3" t="s">
        <v>3352</v>
      </c>
      <c r="B642" s="73">
        <v>45097.0</v>
      </c>
      <c r="C642" s="74">
        <v>45100.0</v>
      </c>
      <c r="D642" s="3">
        <v>13.0</v>
      </c>
      <c r="E642" s="3">
        <v>10.0</v>
      </c>
      <c r="F642" s="3">
        <f t="shared" si="1"/>
        <v>3</v>
      </c>
      <c r="G642" s="78" t="s">
        <v>2637</v>
      </c>
      <c r="H642" s="3" t="str">
        <f t="array" ref="H642">INDEX(driver_dataset!F:F,MATCH(G642,driver_dataset!A:A,0))</f>
        <v>Van</v>
      </c>
    </row>
    <row r="643">
      <c r="A643" s="3" t="s">
        <v>3353</v>
      </c>
      <c r="B643" s="73">
        <v>45097.0</v>
      </c>
      <c r="C643" s="74">
        <v>45102.0</v>
      </c>
      <c r="D643" s="3">
        <v>7.0</v>
      </c>
      <c r="E643" s="3">
        <v>8.0</v>
      </c>
      <c r="F643" s="3">
        <f t="shared" si="1"/>
        <v>5</v>
      </c>
      <c r="G643" s="78" t="s">
        <v>2662</v>
      </c>
      <c r="H643" s="3" t="str">
        <f t="array" ref="H643">INDEX(driver_dataset!F:F,MATCH(G643,driver_dataset!A:A,0))</f>
        <v>Van</v>
      </c>
    </row>
    <row r="644">
      <c r="A644" s="3" t="s">
        <v>3354</v>
      </c>
      <c r="B644" s="73">
        <v>45097.0</v>
      </c>
      <c r="C644" s="74">
        <v>45100.0</v>
      </c>
      <c r="D644" s="3">
        <v>1.0</v>
      </c>
      <c r="E644" s="3">
        <v>2.0</v>
      </c>
      <c r="F644" s="3">
        <f t="shared" si="1"/>
        <v>3</v>
      </c>
      <c r="G644" s="78" t="s">
        <v>2597</v>
      </c>
      <c r="H644" s="3" t="str">
        <f t="array" ref="H644">INDEX(driver_dataset!F:F,MATCH(G644,driver_dataset!A:A,0))</f>
        <v>Bike</v>
      </c>
    </row>
    <row r="645">
      <c r="A645" s="3" t="s">
        <v>3355</v>
      </c>
      <c r="B645" s="73">
        <v>45097.0</v>
      </c>
      <c r="C645" s="74">
        <v>45102.0</v>
      </c>
      <c r="D645" s="3">
        <v>4.0</v>
      </c>
      <c r="E645" s="3">
        <v>3.0</v>
      </c>
      <c r="F645" s="3">
        <f t="shared" si="1"/>
        <v>5</v>
      </c>
      <c r="G645" s="78" t="s">
        <v>2622</v>
      </c>
      <c r="H645" s="3" t="str">
        <f t="array" ref="H645">INDEX(driver_dataset!F:F,MATCH(G645,driver_dataset!A:A,0))</f>
        <v>Bike</v>
      </c>
    </row>
    <row r="646">
      <c r="A646" s="3" t="s">
        <v>3356</v>
      </c>
      <c r="B646" s="73">
        <v>45097.0</v>
      </c>
      <c r="C646" s="74">
        <v>45101.0</v>
      </c>
      <c r="D646" s="3">
        <v>6.0</v>
      </c>
      <c r="E646" s="3">
        <v>2.0</v>
      </c>
      <c r="F646" s="3">
        <f t="shared" si="1"/>
        <v>4</v>
      </c>
      <c r="G646" s="78" t="s">
        <v>2602</v>
      </c>
      <c r="H646" s="3" t="str">
        <f t="array" ref="H646">INDEX(driver_dataset!F:F,MATCH(G646,driver_dataset!A:A,0))</f>
        <v>Bike</v>
      </c>
    </row>
    <row r="647">
      <c r="A647" s="3" t="s">
        <v>3357</v>
      </c>
      <c r="B647" s="73">
        <v>45097.0</v>
      </c>
      <c r="C647" s="74">
        <v>45099.0</v>
      </c>
      <c r="D647" s="3">
        <v>2.0</v>
      </c>
      <c r="E647" s="3">
        <v>1.0</v>
      </c>
      <c r="F647" s="3">
        <f t="shared" si="1"/>
        <v>2</v>
      </c>
      <c r="G647" s="78" t="s">
        <v>2490</v>
      </c>
      <c r="H647" s="3" t="str">
        <f t="array" ref="H647">INDEX(driver_dataset!F:F,MATCH(G647,driver_dataset!A:A,0))</f>
        <v>Bike</v>
      </c>
    </row>
    <row r="648">
      <c r="A648" s="3" t="s">
        <v>3358</v>
      </c>
      <c r="B648" s="73">
        <v>45097.0</v>
      </c>
      <c r="C648" s="74">
        <v>45101.0</v>
      </c>
      <c r="D648" s="3">
        <v>3.0</v>
      </c>
      <c r="E648" s="3">
        <v>1.0</v>
      </c>
      <c r="F648" s="3">
        <f t="shared" si="1"/>
        <v>4</v>
      </c>
      <c r="G648" s="78" t="s">
        <v>2652</v>
      </c>
      <c r="H648" s="3" t="str">
        <f t="array" ref="H648">INDEX(driver_dataset!F:F,MATCH(G648,driver_dataset!A:A,0))</f>
        <v>Bike</v>
      </c>
    </row>
    <row r="649">
      <c r="A649" s="3" t="s">
        <v>3359</v>
      </c>
      <c r="B649" s="73">
        <v>45097.0</v>
      </c>
      <c r="C649" s="74">
        <v>45098.0</v>
      </c>
      <c r="D649" s="3">
        <v>3.0</v>
      </c>
      <c r="E649" s="3">
        <v>1.0</v>
      </c>
      <c r="F649" s="3">
        <f t="shared" si="1"/>
        <v>1</v>
      </c>
      <c r="G649" s="78" t="s">
        <v>2511</v>
      </c>
      <c r="H649" s="3" t="str">
        <f t="array" ref="H649">INDEX(driver_dataset!F:F,MATCH(G649,driver_dataset!A:A,0))</f>
        <v>Bike</v>
      </c>
    </row>
    <row r="650">
      <c r="A650" s="3" t="s">
        <v>3360</v>
      </c>
      <c r="B650" s="73">
        <v>45097.0</v>
      </c>
      <c r="C650" s="74">
        <v>45100.0</v>
      </c>
      <c r="D650" s="3">
        <v>3.0</v>
      </c>
      <c r="E650" s="3">
        <v>3.0</v>
      </c>
      <c r="F650" s="3">
        <f t="shared" si="1"/>
        <v>3</v>
      </c>
      <c r="G650" s="78" t="s">
        <v>2511</v>
      </c>
      <c r="H650" s="3" t="str">
        <f t="array" ref="H650">INDEX(driver_dataset!F:F,MATCH(G650,driver_dataset!A:A,0))</f>
        <v>Bike</v>
      </c>
    </row>
    <row r="651">
      <c r="A651" s="3" t="s">
        <v>3361</v>
      </c>
      <c r="B651" s="73">
        <v>45097.0</v>
      </c>
      <c r="C651" s="74">
        <v>45100.0</v>
      </c>
      <c r="D651" s="3">
        <v>4.0</v>
      </c>
      <c r="E651" s="3">
        <v>1.0</v>
      </c>
      <c r="F651" s="3">
        <f t="shared" si="1"/>
        <v>3</v>
      </c>
      <c r="G651" s="78" t="s">
        <v>2617</v>
      </c>
      <c r="H651" s="3" t="str">
        <f t="array" ref="H651">INDEX(driver_dataset!F:F,MATCH(G651,driver_dataset!A:A,0))</f>
        <v>Bike</v>
      </c>
    </row>
    <row r="652">
      <c r="A652" s="3" t="s">
        <v>3362</v>
      </c>
      <c r="B652" s="73">
        <v>45097.0</v>
      </c>
      <c r="C652" s="74">
        <v>45099.0</v>
      </c>
      <c r="D652" s="3">
        <v>34.0</v>
      </c>
      <c r="E652" s="3">
        <v>16.0</v>
      </c>
      <c r="F652" s="3">
        <f t="shared" si="1"/>
        <v>2</v>
      </c>
      <c r="G652" s="78" t="s">
        <v>2521</v>
      </c>
      <c r="H652" s="3" t="str">
        <f t="array" ref="H652">INDEX(driver_dataset!F:F,MATCH(G652,driver_dataset!A:A,0))</f>
        <v>Truck</v>
      </c>
    </row>
    <row r="653">
      <c r="A653" s="3" t="s">
        <v>3363</v>
      </c>
      <c r="B653" s="73">
        <v>45097.0</v>
      </c>
      <c r="C653" s="74">
        <v>45102.0</v>
      </c>
      <c r="D653" s="3">
        <v>1.0</v>
      </c>
      <c r="E653" s="3">
        <v>1.0</v>
      </c>
      <c r="F653" s="3">
        <f t="shared" si="1"/>
        <v>5</v>
      </c>
      <c r="G653" s="78" t="s">
        <v>2490</v>
      </c>
      <c r="H653" s="3" t="str">
        <f t="array" ref="H653">INDEX(driver_dataset!F:F,MATCH(G653,driver_dataset!A:A,0))</f>
        <v>Bike</v>
      </c>
    </row>
    <row r="654">
      <c r="A654" s="3" t="s">
        <v>3364</v>
      </c>
      <c r="B654" s="73">
        <v>45097.0</v>
      </c>
      <c r="C654" s="74">
        <v>45099.0</v>
      </c>
      <c r="D654" s="3">
        <v>43.0</v>
      </c>
      <c r="E654" s="3">
        <v>20.0</v>
      </c>
      <c r="F654" s="3">
        <f t="shared" si="1"/>
        <v>2</v>
      </c>
      <c r="G654" s="78" t="s">
        <v>2521</v>
      </c>
      <c r="H654" s="3" t="str">
        <f t="array" ref="H654">INDEX(driver_dataset!F:F,MATCH(G654,driver_dataset!A:A,0))</f>
        <v>Truck</v>
      </c>
    </row>
    <row r="655">
      <c r="A655" s="3" t="s">
        <v>3365</v>
      </c>
      <c r="B655" s="73">
        <v>45097.0</v>
      </c>
      <c r="C655" s="74">
        <v>45100.0</v>
      </c>
      <c r="D655" s="3">
        <v>1.0</v>
      </c>
      <c r="E655" s="3">
        <v>1.0</v>
      </c>
      <c r="F655" s="3">
        <f t="shared" si="1"/>
        <v>3</v>
      </c>
      <c r="G655" s="78" t="s">
        <v>2687</v>
      </c>
      <c r="H655" s="3" t="str">
        <f t="array" ref="H655">INDEX(driver_dataset!F:F,MATCH(G655,driver_dataset!A:A,0))</f>
        <v>Bike</v>
      </c>
    </row>
    <row r="656">
      <c r="A656" s="3" t="s">
        <v>3366</v>
      </c>
      <c r="B656" s="73">
        <v>45097.0</v>
      </c>
      <c r="C656" s="74">
        <v>45099.0</v>
      </c>
      <c r="D656" s="3">
        <v>19.0</v>
      </c>
      <c r="E656" s="3">
        <v>6.0</v>
      </c>
      <c r="F656" s="3">
        <f t="shared" si="1"/>
        <v>2</v>
      </c>
      <c r="G656" s="78" t="s">
        <v>2662</v>
      </c>
      <c r="H656" s="3" t="str">
        <f t="array" ref="H656">INDEX(driver_dataset!F:F,MATCH(G656,driver_dataset!A:A,0))</f>
        <v>Van</v>
      </c>
    </row>
    <row r="657">
      <c r="A657" s="3" t="s">
        <v>3367</v>
      </c>
      <c r="B657" s="73">
        <v>45097.0</v>
      </c>
      <c r="C657" s="74">
        <v>45098.0</v>
      </c>
      <c r="D657" s="3">
        <v>12.0</v>
      </c>
      <c r="E657" s="3">
        <v>6.0</v>
      </c>
      <c r="F657" s="3">
        <f t="shared" si="1"/>
        <v>1</v>
      </c>
      <c r="G657" s="78" t="s">
        <v>2637</v>
      </c>
      <c r="H657" s="3" t="str">
        <f t="array" ref="H657">INDEX(driver_dataset!F:F,MATCH(G657,driver_dataset!A:A,0))</f>
        <v>Van</v>
      </c>
    </row>
    <row r="658">
      <c r="A658" s="3" t="s">
        <v>3368</v>
      </c>
      <c r="B658" s="73">
        <v>45097.0</v>
      </c>
      <c r="C658" s="74">
        <v>45100.0</v>
      </c>
      <c r="D658" s="3">
        <v>1.0</v>
      </c>
      <c r="E658" s="3">
        <v>2.0</v>
      </c>
      <c r="F658" s="3">
        <f t="shared" si="1"/>
        <v>3</v>
      </c>
      <c r="G658" s="78" t="s">
        <v>2692</v>
      </c>
      <c r="H658" s="3" t="str">
        <f t="array" ref="H658">INDEX(driver_dataset!F:F,MATCH(G658,driver_dataset!A:A,0))</f>
        <v>Bike</v>
      </c>
    </row>
    <row r="659">
      <c r="A659" s="3" t="s">
        <v>3369</v>
      </c>
      <c r="B659" s="73">
        <v>45097.0</v>
      </c>
      <c r="C659" s="74">
        <v>45100.0</v>
      </c>
      <c r="D659" s="3">
        <v>25.0</v>
      </c>
      <c r="E659" s="3">
        <v>27.0</v>
      </c>
      <c r="F659" s="3">
        <f t="shared" si="1"/>
        <v>3</v>
      </c>
      <c r="G659" s="78" t="s">
        <v>2521</v>
      </c>
      <c r="H659" s="3" t="str">
        <f t="array" ref="H659">INDEX(driver_dataset!F:F,MATCH(G659,driver_dataset!A:A,0))</f>
        <v>Truck</v>
      </c>
    </row>
    <row r="660">
      <c r="A660" s="3" t="s">
        <v>3370</v>
      </c>
      <c r="B660" s="73">
        <v>45097.0</v>
      </c>
      <c r="C660" s="74">
        <v>45102.0</v>
      </c>
      <c r="D660" s="3">
        <v>6.0</v>
      </c>
      <c r="E660" s="3">
        <v>1.0</v>
      </c>
      <c r="F660" s="3">
        <f t="shared" si="1"/>
        <v>5</v>
      </c>
      <c r="G660" s="78" t="s">
        <v>2577</v>
      </c>
      <c r="H660" s="3" t="str">
        <f t="array" ref="H660">INDEX(driver_dataset!F:F,MATCH(G660,driver_dataset!A:A,0))</f>
        <v>Bike</v>
      </c>
    </row>
    <row r="661">
      <c r="A661" s="3" t="s">
        <v>3371</v>
      </c>
      <c r="B661" s="73">
        <v>45097.0</v>
      </c>
      <c r="C661" s="74">
        <v>45100.0</v>
      </c>
      <c r="D661" s="3">
        <v>12.0</v>
      </c>
      <c r="E661" s="3">
        <v>8.0</v>
      </c>
      <c r="F661" s="3">
        <f t="shared" si="1"/>
        <v>3</v>
      </c>
      <c r="G661" s="78" t="s">
        <v>2672</v>
      </c>
      <c r="H661" s="3" t="str">
        <f t="array" ref="H661">INDEX(driver_dataset!F:F,MATCH(G661,driver_dataset!A:A,0))</f>
        <v>Van</v>
      </c>
    </row>
    <row r="662">
      <c r="A662" s="3" t="s">
        <v>3372</v>
      </c>
      <c r="B662" s="73">
        <v>45097.0</v>
      </c>
      <c r="C662" s="74">
        <v>45101.0</v>
      </c>
      <c r="D662" s="3">
        <v>5.0</v>
      </c>
      <c r="E662" s="3">
        <v>1.0</v>
      </c>
      <c r="F662" s="3">
        <f t="shared" si="1"/>
        <v>4</v>
      </c>
      <c r="G662" s="78" t="s">
        <v>2592</v>
      </c>
      <c r="H662" s="3" t="str">
        <f t="array" ref="H662">INDEX(driver_dataset!F:F,MATCH(G662,driver_dataset!A:A,0))</f>
        <v>Bike</v>
      </c>
    </row>
    <row r="663">
      <c r="A663" s="3" t="s">
        <v>3373</v>
      </c>
      <c r="B663" s="73">
        <v>45097.0</v>
      </c>
      <c r="C663" s="74">
        <v>45098.0</v>
      </c>
      <c r="D663" s="3">
        <v>5.0</v>
      </c>
      <c r="E663" s="3">
        <v>2.0</v>
      </c>
      <c r="F663" s="3">
        <f t="shared" si="1"/>
        <v>1</v>
      </c>
      <c r="G663" s="78" t="s">
        <v>2592</v>
      </c>
      <c r="H663" s="3" t="str">
        <f t="array" ref="H663">INDEX(driver_dataset!F:F,MATCH(G663,driver_dataset!A:A,0))</f>
        <v>Bike</v>
      </c>
    </row>
    <row r="664">
      <c r="A664" s="3" t="s">
        <v>3374</v>
      </c>
      <c r="B664" s="73">
        <v>45097.0</v>
      </c>
      <c r="C664" s="74">
        <v>45098.0</v>
      </c>
      <c r="D664" s="3">
        <v>27.0</v>
      </c>
      <c r="E664" s="3">
        <v>18.0</v>
      </c>
      <c r="F664" s="3">
        <f t="shared" si="1"/>
        <v>1</v>
      </c>
      <c r="G664" s="78" t="s">
        <v>2521</v>
      </c>
      <c r="H664" s="3" t="str">
        <f t="array" ref="H664">INDEX(driver_dataset!F:F,MATCH(G664,driver_dataset!A:A,0))</f>
        <v>Truck</v>
      </c>
    </row>
    <row r="665">
      <c r="A665" s="3" t="s">
        <v>3375</v>
      </c>
      <c r="B665" s="74">
        <v>45098.0</v>
      </c>
      <c r="C665" s="74">
        <v>45103.0</v>
      </c>
      <c r="D665" s="3">
        <v>4.0</v>
      </c>
      <c r="E665" s="3">
        <v>3.0</v>
      </c>
      <c r="F665" s="3">
        <f t="shared" si="1"/>
        <v>5</v>
      </c>
      <c r="G665" s="78" t="s">
        <v>2567</v>
      </c>
      <c r="H665" s="3" t="str">
        <f t="array" ref="H665">INDEX(driver_dataset!F:F,MATCH(G665,driver_dataset!A:A,0))</f>
        <v>Bike</v>
      </c>
    </row>
    <row r="666">
      <c r="A666" s="3" t="s">
        <v>3376</v>
      </c>
      <c r="B666" s="73">
        <v>45098.0</v>
      </c>
      <c r="C666" s="74">
        <v>45099.0</v>
      </c>
      <c r="D666" s="3">
        <v>12.0</v>
      </c>
      <c r="E666" s="3">
        <v>5.0</v>
      </c>
      <c r="F666" s="3">
        <f t="shared" si="1"/>
        <v>1</v>
      </c>
      <c r="G666" s="78" t="s">
        <v>2637</v>
      </c>
      <c r="H666" s="3" t="str">
        <f t="array" ref="H666">INDEX(driver_dataset!F:F,MATCH(G666,driver_dataset!A:A,0))</f>
        <v>Van</v>
      </c>
    </row>
    <row r="667">
      <c r="A667" s="3" t="s">
        <v>3377</v>
      </c>
      <c r="B667" s="73">
        <v>45098.0</v>
      </c>
      <c r="C667" s="74">
        <v>45101.0</v>
      </c>
      <c r="D667" s="3">
        <v>18.0</v>
      </c>
      <c r="E667" s="3">
        <v>8.0</v>
      </c>
      <c r="F667" s="3">
        <f t="shared" si="1"/>
        <v>3</v>
      </c>
      <c r="G667" s="78" t="s">
        <v>2637</v>
      </c>
      <c r="H667" s="3" t="str">
        <f t="array" ref="H667">INDEX(driver_dataset!F:F,MATCH(G667,driver_dataset!A:A,0))</f>
        <v>Van</v>
      </c>
    </row>
    <row r="668">
      <c r="A668" s="3" t="s">
        <v>3378</v>
      </c>
      <c r="B668" s="73">
        <v>45098.0</v>
      </c>
      <c r="C668" s="74">
        <v>45099.0</v>
      </c>
      <c r="D668" s="3">
        <v>3.0</v>
      </c>
      <c r="E668" s="3">
        <v>2.0</v>
      </c>
      <c r="F668" s="3">
        <f t="shared" si="1"/>
        <v>1</v>
      </c>
      <c r="G668" s="78" t="s">
        <v>2642</v>
      </c>
      <c r="H668" s="3" t="str">
        <f t="array" ref="H668">INDEX(driver_dataset!F:F,MATCH(G668,driver_dataset!A:A,0))</f>
        <v>Bike</v>
      </c>
    </row>
    <row r="669">
      <c r="A669" s="3" t="s">
        <v>3379</v>
      </c>
      <c r="B669" s="73">
        <v>45098.0</v>
      </c>
      <c r="C669" s="74">
        <v>45101.0</v>
      </c>
      <c r="D669" s="3">
        <v>1.0</v>
      </c>
      <c r="E669" s="3">
        <v>3.0</v>
      </c>
      <c r="F669" s="3">
        <f t="shared" si="1"/>
        <v>3</v>
      </c>
      <c r="G669" s="78" t="s">
        <v>2542</v>
      </c>
      <c r="H669" s="3" t="str">
        <f t="array" ref="H669">INDEX(driver_dataset!F:F,MATCH(G669,driver_dataset!A:A,0))</f>
        <v>Bike</v>
      </c>
    </row>
    <row r="670">
      <c r="A670" s="3" t="s">
        <v>3380</v>
      </c>
      <c r="B670" s="73">
        <v>45098.0</v>
      </c>
      <c r="C670" s="74">
        <v>45101.0</v>
      </c>
      <c r="D670" s="3">
        <v>1.0</v>
      </c>
      <c r="E670" s="3">
        <v>1.0</v>
      </c>
      <c r="F670" s="3">
        <f t="shared" si="1"/>
        <v>3</v>
      </c>
      <c r="G670" s="78" t="s">
        <v>2506</v>
      </c>
      <c r="H670" s="3" t="str">
        <f t="array" ref="H670">INDEX(driver_dataset!F:F,MATCH(G670,driver_dataset!A:A,0))</f>
        <v>Bike</v>
      </c>
    </row>
    <row r="671">
      <c r="A671" s="3" t="s">
        <v>3381</v>
      </c>
      <c r="B671" s="73">
        <v>45098.0</v>
      </c>
      <c r="C671" s="74">
        <v>45103.0</v>
      </c>
      <c r="D671" s="3">
        <v>5.0</v>
      </c>
      <c r="E671" s="3">
        <v>3.0</v>
      </c>
      <c r="F671" s="3">
        <f t="shared" si="1"/>
        <v>5</v>
      </c>
      <c r="G671" s="78" t="s">
        <v>2602</v>
      </c>
      <c r="H671" s="3" t="str">
        <f t="array" ref="H671">INDEX(driver_dataset!F:F,MATCH(G671,driver_dataset!A:A,0))</f>
        <v>Bike</v>
      </c>
    </row>
    <row r="672">
      <c r="A672" s="3" t="s">
        <v>3382</v>
      </c>
      <c r="B672" s="73">
        <v>45098.0</v>
      </c>
      <c r="C672" s="74">
        <v>45101.0</v>
      </c>
      <c r="D672" s="3">
        <v>12.0</v>
      </c>
      <c r="E672" s="3">
        <v>4.0</v>
      </c>
      <c r="F672" s="3">
        <f t="shared" si="1"/>
        <v>3</v>
      </c>
      <c r="G672" s="78" t="s">
        <v>2662</v>
      </c>
      <c r="H672" s="3" t="str">
        <f t="array" ref="H672">INDEX(driver_dataset!F:F,MATCH(G672,driver_dataset!A:A,0))</f>
        <v>Van</v>
      </c>
    </row>
    <row r="673">
      <c r="A673" s="3" t="s">
        <v>3383</v>
      </c>
      <c r="B673" s="73">
        <v>45098.0</v>
      </c>
      <c r="C673" s="74">
        <v>45099.0</v>
      </c>
      <c r="D673" s="3">
        <v>2.0</v>
      </c>
      <c r="E673" s="3">
        <v>1.0</v>
      </c>
      <c r="F673" s="3">
        <f t="shared" si="1"/>
        <v>1</v>
      </c>
      <c r="G673" s="78" t="s">
        <v>2496</v>
      </c>
      <c r="H673" s="3" t="str">
        <f t="array" ref="H673">INDEX(driver_dataset!F:F,MATCH(G673,driver_dataset!A:A,0))</f>
        <v>Bike</v>
      </c>
    </row>
    <row r="674">
      <c r="A674" s="3" t="s">
        <v>3384</v>
      </c>
      <c r="B674" s="73">
        <v>45098.0</v>
      </c>
      <c r="C674" s="74">
        <v>45100.0</v>
      </c>
      <c r="D674" s="3">
        <v>4.0</v>
      </c>
      <c r="E674" s="3">
        <v>2.0</v>
      </c>
      <c r="F674" s="3">
        <f t="shared" si="1"/>
        <v>2</v>
      </c>
      <c r="G674" s="78" t="s">
        <v>2692</v>
      </c>
      <c r="H674" s="3" t="str">
        <f t="array" ref="H674">INDEX(driver_dataset!F:F,MATCH(G674,driver_dataset!A:A,0))</f>
        <v>Bike</v>
      </c>
    </row>
    <row r="675">
      <c r="A675" s="3" t="s">
        <v>3385</v>
      </c>
      <c r="B675" s="73">
        <v>45098.0</v>
      </c>
      <c r="C675" s="74">
        <v>45100.0</v>
      </c>
      <c r="D675" s="3">
        <v>12.0</v>
      </c>
      <c r="E675" s="3">
        <v>5.0</v>
      </c>
      <c r="F675" s="3">
        <f t="shared" si="1"/>
        <v>2</v>
      </c>
      <c r="G675" s="78" t="s">
        <v>2607</v>
      </c>
      <c r="H675" s="3" t="str">
        <f t="array" ref="H675">INDEX(driver_dataset!F:F,MATCH(G675,driver_dataset!A:A,0))</f>
        <v>Van</v>
      </c>
    </row>
    <row r="676">
      <c r="A676" s="3" t="s">
        <v>3386</v>
      </c>
      <c r="B676" s="73">
        <v>45098.0</v>
      </c>
      <c r="C676" s="74">
        <v>45099.0</v>
      </c>
      <c r="D676" s="3">
        <v>2.0</v>
      </c>
      <c r="E676" s="3">
        <v>1.0</v>
      </c>
      <c r="F676" s="3">
        <f t="shared" si="1"/>
        <v>1</v>
      </c>
      <c r="G676" s="78" t="s">
        <v>2557</v>
      </c>
      <c r="H676" s="3" t="str">
        <f t="array" ref="H676">INDEX(driver_dataset!F:F,MATCH(G676,driver_dataset!A:A,0))</f>
        <v>Bike</v>
      </c>
    </row>
    <row r="677">
      <c r="A677" s="3" t="s">
        <v>3387</v>
      </c>
      <c r="B677" s="73">
        <v>45098.0</v>
      </c>
      <c r="C677" s="74">
        <v>45100.0</v>
      </c>
      <c r="D677" s="3">
        <v>20.0</v>
      </c>
      <c r="E677" s="3">
        <v>5.0</v>
      </c>
      <c r="F677" s="3">
        <f t="shared" si="1"/>
        <v>2</v>
      </c>
      <c r="G677" s="78" t="s">
        <v>2697</v>
      </c>
      <c r="H677" s="3" t="str">
        <f t="array" ref="H677">INDEX(driver_dataset!F:F,MATCH(G677,driver_dataset!A:A,0))</f>
        <v>Van</v>
      </c>
    </row>
    <row r="678">
      <c r="A678" s="3" t="s">
        <v>3388</v>
      </c>
      <c r="B678" s="73">
        <v>45098.0</v>
      </c>
      <c r="C678" s="74">
        <v>45101.0</v>
      </c>
      <c r="D678" s="3">
        <v>3.0</v>
      </c>
      <c r="E678" s="3">
        <v>1.0</v>
      </c>
      <c r="F678" s="3">
        <f t="shared" si="1"/>
        <v>3</v>
      </c>
      <c r="G678" s="78" t="s">
        <v>2496</v>
      </c>
      <c r="H678" s="3" t="str">
        <f t="array" ref="H678">INDEX(driver_dataset!F:F,MATCH(G678,driver_dataset!A:A,0))</f>
        <v>Bike</v>
      </c>
    </row>
    <row r="679">
      <c r="A679" s="3" t="s">
        <v>3389</v>
      </c>
      <c r="B679" s="73">
        <v>45098.0</v>
      </c>
      <c r="C679" s="74">
        <v>45100.0</v>
      </c>
      <c r="D679" s="3">
        <v>4.0</v>
      </c>
      <c r="E679" s="3">
        <v>3.0</v>
      </c>
      <c r="F679" s="3">
        <f t="shared" si="1"/>
        <v>2</v>
      </c>
      <c r="G679" s="78" t="s">
        <v>2622</v>
      </c>
      <c r="H679" s="3" t="str">
        <f t="array" ref="H679">INDEX(driver_dataset!F:F,MATCH(G679,driver_dataset!A:A,0))</f>
        <v>Bike</v>
      </c>
    </row>
    <row r="680">
      <c r="A680" s="3" t="s">
        <v>3390</v>
      </c>
      <c r="B680" s="73">
        <v>45098.0</v>
      </c>
      <c r="C680" s="74">
        <v>45099.0</v>
      </c>
      <c r="D680" s="3">
        <v>8.0</v>
      </c>
      <c r="E680" s="3">
        <v>8.0</v>
      </c>
      <c r="F680" s="3">
        <f t="shared" si="1"/>
        <v>1</v>
      </c>
      <c r="G680" s="78" t="s">
        <v>2537</v>
      </c>
      <c r="H680" s="3" t="str">
        <f t="array" ref="H680">INDEX(driver_dataset!F:F,MATCH(G680,driver_dataset!A:A,0))</f>
        <v>Van</v>
      </c>
    </row>
    <row r="681">
      <c r="A681" s="3" t="s">
        <v>3391</v>
      </c>
      <c r="B681" s="73">
        <v>45098.0</v>
      </c>
      <c r="C681" s="74">
        <v>45103.0</v>
      </c>
      <c r="D681" s="3">
        <v>4.0</v>
      </c>
      <c r="E681" s="3">
        <v>1.0</v>
      </c>
      <c r="F681" s="3">
        <f t="shared" si="1"/>
        <v>5</v>
      </c>
      <c r="G681" s="78" t="s">
        <v>2617</v>
      </c>
      <c r="H681" s="3" t="str">
        <f t="array" ref="H681">INDEX(driver_dataset!F:F,MATCH(G681,driver_dataset!A:A,0))</f>
        <v>Bike</v>
      </c>
    </row>
    <row r="682">
      <c r="A682" s="3" t="s">
        <v>3392</v>
      </c>
      <c r="B682" s="73">
        <v>45098.0</v>
      </c>
      <c r="C682" s="74">
        <v>45103.0</v>
      </c>
      <c r="D682" s="3">
        <v>19.0</v>
      </c>
      <c r="E682" s="3">
        <v>4.0</v>
      </c>
      <c r="F682" s="3">
        <f t="shared" si="1"/>
        <v>5</v>
      </c>
      <c r="G682" s="78" t="s">
        <v>2501</v>
      </c>
      <c r="H682" s="3" t="str">
        <f t="array" ref="H682">INDEX(driver_dataset!F:F,MATCH(G682,driver_dataset!A:A,0))</f>
        <v>Van</v>
      </c>
    </row>
    <row r="683">
      <c r="A683" s="3" t="s">
        <v>3393</v>
      </c>
      <c r="B683" s="73">
        <v>45098.0</v>
      </c>
      <c r="C683" s="74">
        <v>45100.0</v>
      </c>
      <c r="D683" s="3">
        <v>4.0</v>
      </c>
      <c r="E683" s="3">
        <v>1.0</v>
      </c>
      <c r="F683" s="3">
        <f t="shared" si="1"/>
        <v>2</v>
      </c>
      <c r="G683" s="78" t="s">
        <v>2617</v>
      </c>
      <c r="H683" s="3" t="str">
        <f t="array" ref="H683">INDEX(driver_dataset!F:F,MATCH(G683,driver_dataset!A:A,0))</f>
        <v>Bike</v>
      </c>
    </row>
    <row r="684">
      <c r="A684" s="3" t="s">
        <v>3394</v>
      </c>
      <c r="B684" s="73">
        <v>45098.0</v>
      </c>
      <c r="C684" s="74">
        <v>45099.0</v>
      </c>
      <c r="D684" s="3">
        <v>19.0</v>
      </c>
      <c r="E684" s="3">
        <v>8.0</v>
      </c>
      <c r="F684" s="3">
        <f t="shared" si="1"/>
        <v>1</v>
      </c>
      <c r="G684" s="78" t="s">
        <v>2501</v>
      </c>
      <c r="H684" s="3" t="str">
        <f t="array" ref="H684">INDEX(driver_dataset!F:F,MATCH(G684,driver_dataset!A:A,0))</f>
        <v>Van</v>
      </c>
    </row>
    <row r="685">
      <c r="A685" s="3" t="s">
        <v>3395</v>
      </c>
      <c r="B685" s="73">
        <v>45098.0</v>
      </c>
      <c r="C685" s="74">
        <v>45101.0</v>
      </c>
      <c r="D685" s="3">
        <v>3.0</v>
      </c>
      <c r="E685" s="3">
        <v>3.0</v>
      </c>
      <c r="F685" s="3">
        <f t="shared" si="1"/>
        <v>3</v>
      </c>
      <c r="G685" s="78" t="s">
        <v>2527</v>
      </c>
      <c r="H685" s="3" t="str">
        <f t="array" ref="H685">INDEX(driver_dataset!F:F,MATCH(G685,driver_dataset!A:A,0))</f>
        <v>Bike</v>
      </c>
    </row>
    <row r="686">
      <c r="A686" s="3" t="s">
        <v>3396</v>
      </c>
      <c r="B686" s="73">
        <v>45098.0</v>
      </c>
      <c r="C686" s="74">
        <v>45100.0</v>
      </c>
      <c r="D686" s="3">
        <v>6.0</v>
      </c>
      <c r="E686" s="3">
        <v>3.0</v>
      </c>
      <c r="F686" s="3">
        <f t="shared" si="1"/>
        <v>2</v>
      </c>
      <c r="G686" s="78" t="s">
        <v>2567</v>
      </c>
      <c r="H686" s="3" t="str">
        <f t="array" ref="H686">INDEX(driver_dataset!F:F,MATCH(G686,driver_dataset!A:A,0))</f>
        <v>Bike</v>
      </c>
    </row>
    <row r="687">
      <c r="A687" s="3" t="s">
        <v>3397</v>
      </c>
      <c r="B687" s="73">
        <v>45098.0</v>
      </c>
      <c r="C687" s="74">
        <v>45099.0</v>
      </c>
      <c r="D687" s="3">
        <v>4.0</v>
      </c>
      <c r="E687" s="3">
        <v>1.0</v>
      </c>
      <c r="F687" s="3">
        <f t="shared" si="1"/>
        <v>1</v>
      </c>
      <c r="G687" s="78" t="s">
        <v>2677</v>
      </c>
      <c r="H687" s="3" t="str">
        <f t="array" ref="H687">INDEX(driver_dataset!F:F,MATCH(G687,driver_dataset!A:A,0))</f>
        <v>Bike</v>
      </c>
    </row>
    <row r="688">
      <c r="A688" s="3" t="s">
        <v>3398</v>
      </c>
      <c r="B688" s="73">
        <v>45098.0</v>
      </c>
      <c r="C688" s="74">
        <v>45101.0</v>
      </c>
      <c r="D688" s="3">
        <v>4.0</v>
      </c>
      <c r="E688" s="3">
        <v>1.0</v>
      </c>
      <c r="F688" s="3">
        <f t="shared" si="1"/>
        <v>3</v>
      </c>
      <c r="G688" s="78" t="s">
        <v>2652</v>
      </c>
      <c r="H688" s="3" t="str">
        <f t="array" ref="H688">INDEX(driver_dataset!F:F,MATCH(G688,driver_dataset!A:A,0))</f>
        <v>Bike</v>
      </c>
    </row>
    <row r="689">
      <c r="A689" s="3" t="s">
        <v>3399</v>
      </c>
      <c r="B689" s="73">
        <v>45098.0</v>
      </c>
      <c r="C689" s="74">
        <v>45101.0</v>
      </c>
      <c r="D689" s="3">
        <v>15.0</v>
      </c>
      <c r="E689" s="3">
        <v>7.0</v>
      </c>
      <c r="F689" s="3">
        <f t="shared" si="1"/>
        <v>3</v>
      </c>
      <c r="G689" s="78" t="s">
        <v>2627</v>
      </c>
      <c r="H689" s="3" t="str">
        <f t="array" ref="H689">INDEX(driver_dataset!F:F,MATCH(G689,driver_dataset!A:A,0))</f>
        <v>Van</v>
      </c>
    </row>
    <row r="690">
      <c r="A690" s="3" t="s">
        <v>3400</v>
      </c>
      <c r="B690" s="73">
        <v>45098.0</v>
      </c>
      <c r="C690" s="74">
        <v>45103.0</v>
      </c>
      <c r="D690" s="3">
        <v>4.0</v>
      </c>
      <c r="E690" s="3">
        <v>2.0</v>
      </c>
      <c r="F690" s="3">
        <f t="shared" si="1"/>
        <v>5</v>
      </c>
      <c r="G690" s="78" t="s">
        <v>2597</v>
      </c>
      <c r="H690" s="3" t="str">
        <f t="array" ref="H690">INDEX(driver_dataset!F:F,MATCH(G690,driver_dataset!A:A,0))</f>
        <v>Bike</v>
      </c>
    </row>
    <row r="691">
      <c r="A691" s="3" t="s">
        <v>3401</v>
      </c>
      <c r="B691" s="73">
        <v>45098.0</v>
      </c>
      <c r="C691" s="74">
        <v>45102.0</v>
      </c>
      <c r="D691" s="3">
        <v>2.0</v>
      </c>
      <c r="E691" s="3">
        <v>1.0</v>
      </c>
      <c r="F691" s="3">
        <f t="shared" si="1"/>
        <v>4</v>
      </c>
      <c r="G691" s="78" t="s">
        <v>2582</v>
      </c>
      <c r="H691" s="3" t="str">
        <f t="array" ref="H691">INDEX(driver_dataset!F:F,MATCH(G691,driver_dataset!A:A,0))</f>
        <v>Bike</v>
      </c>
    </row>
    <row r="692">
      <c r="A692" s="3" t="s">
        <v>3402</v>
      </c>
      <c r="B692" s="73">
        <v>45098.0</v>
      </c>
      <c r="C692" s="74">
        <v>45100.0</v>
      </c>
      <c r="D692" s="3">
        <v>16.0</v>
      </c>
      <c r="E692" s="3">
        <v>10.0</v>
      </c>
      <c r="F692" s="3">
        <f t="shared" si="1"/>
        <v>2</v>
      </c>
      <c r="G692" s="78" t="s">
        <v>2587</v>
      </c>
      <c r="H692" s="3" t="str">
        <f t="array" ref="H692">INDEX(driver_dataset!F:F,MATCH(G692,driver_dataset!A:A,0))</f>
        <v>Van</v>
      </c>
    </row>
    <row r="693">
      <c r="A693" s="3" t="s">
        <v>3403</v>
      </c>
      <c r="B693" s="73">
        <v>45098.0</v>
      </c>
      <c r="C693" s="74">
        <v>45103.0</v>
      </c>
      <c r="D693" s="3">
        <v>4.0</v>
      </c>
      <c r="E693" s="3">
        <v>2.0</v>
      </c>
      <c r="F693" s="3">
        <f t="shared" si="1"/>
        <v>5</v>
      </c>
      <c r="G693" s="78" t="s">
        <v>2597</v>
      </c>
      <c r="H693" s="3" t="str">
        <f t="array" ref="H693">INDEX(driver_dataset!F:F,MATCH(G693,driver_dataset!A:A,0))</f>
        <v>Bike</v>
      </c>
    </row>
    <row r="694">
      <c r="A694" s="3" t="s">
        <v>3404</v>
      </c>
      <c r="B694" s="73">
        <v>45098.0</v>
      </c>
      <c r="C694" s="74">
        <v>45102.0</v>
      </c>
      <c r="D694" s="3">
        <v>5.0</v>
      </c>
      <c r="E694" s="3">
        <v>3.0</v>
      </c>
      <c r="F694" s="3">
        <f t="shared" si="1"/>
        <v>4</v>
      </c>
      <c r="G694" s="78" t="s">
        <v>2577</v>
      </c>
      <c r="H694" s="3" t="str">
        <f t="array" ref="H694">INDEX(driver_dataset!F:F,MATCH(G694,driver_dataset!A:A,0))</f>
        <v>Bike</v>
      </c>
    </row>
    <row r="695">
      <c r="A695" s="3" t="s">
        <v>3405</v>
      </c>
      <c r="B695" s="73">
        <v>45098.0</v>
      </c>
      <c r="C695" s="74">
        <v>45102.0</v>
      </c>
      <c r="D695" s="3">
        <v>6.0</v>
      </c>
      <c r="E695" s="3">
        <v>2.0</v>
      </c>
      <c r="F695" s="3">
        <f t="shared" si="1"/>
        <v>4</v>
      </c>
      <c r="G695" s="78" t="s">
        <v>2562</v>
      </c>
      <c r="H695" s="3" t="str">
        <f t="array" ref="H695">INDEX(driver_dataset!F:F,MATCH(G695,driver_dataset!A:A,0))</f>
        <v>Bike</v>
      </c>
    </row>
    <row r="696">
      <c r="A696" s="3" t="s">
        <v>3406</v>
      </c>
      <c r="B696" s="73">
        <v>45098.0</v>
      </c>
      <c r="C696" s="74">
        <v>45103.0</v>
      </c>
      <c r="D696" s="3">
        <v>2.0</v>
      </c>
      <c r="E696" s="3">
        <v>2.0</v>
      </c>
      <c r="F696" s="3">
        <f t="shared" si="1"/>
        <v>5</v>
      </c>
      <c r="G696" s="78" t="s">
        <v>2612</v>
      </c>
      <c r="H696" s="3" t="str">
        <f t="array" ref="H696">INDEX(driver_dataset!F:F,MATCH(G696,driver_dataset!A:A,0))</f>
        <v>Bike</v>
      </c>
    </row>
    <row r="697">
      <c r="A697" s="3" t="s">
        <v>3407</v>
      </c>
      <c r="B697" s="73">
        <v>45098.0</v>
      </c>
      <c r="C697" s="74">
        <v>45101.0</v>
      </c>
      <c r="D697" s="3">
        <v>3.0</v>
      </c>
      <c r="E697" s="3">
        <v>1.0</v>
      </c>
      <c r="F697" s="3">
        <f t="shared" si="1"/>
        <v>3</v>
      </c>
      <c r="G697" s="78" t="s">
        <v>2582</v>
      </c>
      <c r="H697" s="3" t="str">
        <f t="array" ref="H697">INDEX(driver_dataset!F:F,MATCH(G697,driver_dataset!A:A,0))</f>
        <v>Bike</v>
      </c>
    </row>
    <row r="698">
      <c r="A698" s="3" t="s">
        <v>3408</v>
      </c>
      <c r="B698" s="73">
        <v>45098.0</v>
      </c>
      <c r="C698" s="74">
        <v>45101.0</v>
      </c>
      <c r="D698" s="3">
        <v>2.0</v>
      </c>
      <c r="E698" s="3">
        <v>2.0</v>
      </c>
      <c r="F698" s="3">
        <f t="shared" si="1"/>
        <v>3</v>
      </c>
      <c r="G698" s="78" t="s">
        <v>2557</v>
      </c>
      <c r="H698" s="3" t="str">
        <f t="array" ref="H698">INDEX(driver_dataset!F:F,MATCH(G698,driver_dataset!A:A,0))</f>
        <v>Bike</v>
      </c>
    </row>
    <row r="699">
      <c r="A699" s="3" t="s">
        <v>3409</v>
      </c>
      <c r="B699" s="73">
        <v>45098.0</v>
      </c>
      <c r="C699" s="74">
        <v>45102.0</v>
      </c>
      <c r="D699" s="3">
        <v>5.0</v>
      </c>
      <c r="E699" s="3">
        <v>2.0</v>
      </c>
      <c r="F699" s="3">
        <f t="shared" si="1"/>
        <v>4</v>
      </c>
      <c r="G699" s="78" t="s">
        <v>2612</v>
      </c>
      <c r="H699" s="3" t="str">
        <f t="array" ref="H699">INDEX(driver_dataset!F:F,MATCH(G699,driver_dataset!A:A,0))</f>
        <v>Bike</v>
      </c>
    </row>
    <row r="700">
      <c r="A700" s="3" t="s">
        <v>3410</v>
      </c>
      <c r="B700" s="74">
        <v>45099.0</v>
      </c>
      <c r="C700" s="74">
        <v>45102.0</v>
      </c>
      <c r="D700" s="3">
        <v>6.0</v>
      </c>
      <c r="E700" s="3">
        <v>1.0</v>
      </c>
      <c r="F700" s="3">
        <f t="shared" si="1"/>
        <v>3</v>
      </c>
      <c r="G700" s="78" t="s">
        <v>2617</v>
      </c>
      <c r="H700" s="3" t="str">
        <f t="array" ref="H700">INDEX(driver_dataset!F:F,MATCH(G700,driver_dataset!A:A,0))</f>
        <v>Bike</v>
      </c>
    </row>
    <row r="701">
      <c r="A701" s="3" t="s">
        <v>3411</v>
      </c>
      <c r="B701" s="74">
        <v>45099.0</v>
      </c>
      <c r="C701" s="74">
        <v>45101.0</v>
      </c>
      <c r="D701" s="3">
        <v>4.0</v>
      </c>
      <c r="E701" s="3">
        <v>2.0</v>
      </c>
      <c r="F701" s="3">
        <f t="shared" si="1"/>
        <v>2</v>
      </c>
      <c r="G701" s="78" t="s">
        <v>2542</v>
      </c>
      <c r="H701" s="3" t="str">
        <f t="array" ref="H701">INDEX(driver_dataset!F:F,MATCH(G701,driver_dataset!A:A,0))</f>
        <v>Bike</v>
      </c>
    </row>
    <row r="702">
      <c r="A702" s="3" t="s">
        <v>3412</v>
      </c>
      <c r="B702" s="74">
        <v>45099.0</v>
      </c>
      <c r="C702" s="74">
        <v>45104.0</v>
      </c>
      <c r="D702" s="3">
        <v>2.0</v>
      </c>
      <c r="E702" s="3">
        <v>2.0</v>
      </c>
      <c r="F702" s="3">
        <f t="shared" si="1"/>
        <v>5</v>
      </c>
      <c r="G702" s="78" t="s">
        <v>2532</v>
      </c>
      <c r="H702" s="3" t="str">
        <f t="array" ref="H702">INDEX(driver_dataset!F:F,MATCH(G702,driver_dataset!A:A,0))</f>
        <v>Bike</v>
      </c>
    </row>
    <row r="703">
      <c r="A703" s="3" t="s">
        <v>3413</v>
      </c>
      <c r="B703" s="73">
        <v>45099.0</v>
      </c>
      <c r="C703" s="74">
        <v>45104.0</v>
      </c>
      <c r="D703" s="3">
        <v>6.0</v>
      </c>
      <c r="E703" s="3">
        <v>3.0</v>
      </c>
      <c r="F703" s="3">
        <f t="shared" si="1"/>
        <v>5</v>
      </c>
      <c r="G703" s="78" t="s">
        <v>2506</v>
      </c>
      <c r="H703" s="3" t="str">
        <f t="array" ref="H703">INDEX(driver_dataset!F:F,MATCH(G703,driver_dataset!A:A,0))</f>
        <v>Bike</v>
      </c>
    </row>
    <row r="704">
      <c r="A704" s="3" t="s">
        <v>3414</v>
      </c>
      <c r="B704" s="73">
        <v>45099.0</v>
      </c>
      <c r="C704" s="74">
        <v>45100.0</v>
      </c>
      <c r="D704" s="3">
        <v>3.0</v>
      </c>
      <c r="E704" s="3">
        <v>2.0</v>
      </c>
      <c r="F704" s="3">
        <f t="shared" si="1"/>
        <v>1</v>
      </c>
      <c r="G704" s="78" t="s">
        <v>2567</v>
      </c>
      <c r="H704" s="3" t="str">
        <f t="array" ref="H704">INDEX(driver_dataset!F:F,MATCH(G704,driver_dataset!A:A,0))</f>
        <v>Bike</v>
      </c>
    </row>
    <row r="705">
      <c r="A705" s="3" t="s">
        <v>3415</v>
      </c>
      <c r="B705" s="73">
        <v>45099.0</v>
      </c>
      <c r="C705" s="74">
        <v>45102.0</v>
      </c>
      <c r="D705" s="3">
        <v>6.0</v>
      </c>
      <c r="E705" s="3">
        <v>3.0</v>
      </c>
      <c r="F705" s="3">
        <f t="shared" si="1"/>
        <v>3</v>
      </c>
      <c r="G705" s="78" t="s">
        <v>2652</v>
      </c>
      <c r="H705" s="3" t="str">
        <f t="array" ref="H705">INDEX(driver_dataset!F:F,MATCH(G705,driver_dataset!A:A,0))</f>
        <v>Bike</v>
      </c>
    </row>
    <row r="706">
      <c r="A706" s="3" t="s">
        <v>3416</v>
      </c>
      <c r="B706" s="73">
        <v>45099.0</v>
      </c>
      <c r="C706" s="74">
        <v>45101.0</v>
      </c>
      <c r="D706" s="3">
        <v>4.0</v>
      </c>
      <c r="E706" s="3">
        <v>1.0</v>
      </c>
      <c r="F706" s="3">
        <f t="shared" si="1"/>
        <v>2</v>
      </c>
      <c r="G706" s="78" t="s">
        <v>2632</v>
      </c>
      <c r="H706" s="3" t="str">
        <f t="array" ref="H706">INDEX(driver_dataset!F:F,MATCH(G706,driver_dataset!A:A,0))</f>
        <v>Bike</v>
      </c>
    </row>
    <row r="707">
      <c r="A707" s="3" t="s">
        <v>3417</v>
      </c>
      <c r="B707" s="73">
        <v>45099.0</v>
      </c>
      <c r="C707" s="74">
        <v>45103.0</v>
      </c>
      <c r="D707" s="3">
        <v>4.0</v>
      </c>
      <c r="E707" s="3">
        <v>2.0</v>
      </c>
      <c r="F707" s="3">
        <f t="shared" si="1"/>
        <v>4</v>
      </c>
      <c r="G707" s="78" t="s">
        <v>2562</v>
      </c>
      <c r="H707" s="3" t="str">
        <f t="array" ref="H707">INDEX(driver_dataset!F:F,MATCH(G707,driver_dataset!A:A,0))</f>
        <v>Bike</v>
      </c>
    </row>
    <row r="708">
      <c r="A708" s="3" t="s">
        <v>3418</v>
      </c>
      <c r="B708" s="73">
        <v>45099.0</v>
      </c>
      <c r="C708" s="74">
        <v>45102.0</v>
      </c>
      <c r="D708" s="3">
        <v>17.0</v>
      </c>
      <c r="E708" s="3">
        <v>5.0</v>
      </c>
      <c r="F708" s="3">
        <f t="shared" si="1"/>
        <v>3</v>
      </c>
      <c r="G708" s="78" t="s">
        <v>2672</v>
      </c>
      <c r="H708" s="3" t="str">
        <f t="array" ref="H708">INDEX(driver_dataset!F:F,MATCH(G708,driver_dataset!A:A,0))</f>
        <v>Van</v>
      </c>
    </row>
    <row r="709">
      <c r="A709" s="3" t="s">
        <v>3419</v>
      </c>
      <c r="B709" s="73">
        <v>45099.0</v>
      </c>
      <c r="C709" s="74">
        <v>45103.0</v>
      </c>
      <c r="D709" s="3">
        <v>15.0</v>
      </c>
      <c r="E709" s="3">
        <v>7.0</v>
      </c>
      <c r="F709" s="3">
        <f t="shared" si="1"/>
        <v>4</v>
      </c>
      <c r="G709" s="78" t="s">
        <v>2662</v>
      </c>
      <c r="H709" s="3" t="str">
        <f t="array" ref="H709">INDEX(driver_dataset!F:F,MATCH(G709,driver_dataset!A:A,0))</f>
        <v>Van</v>
      </c>
    </row>
    <row r="710">
      <c r="A710" s="3" t="s">
        <v>3420</v>
      </c>
      <c r="B710" s="73">
        <v>45099.0</v>
      </c>
      <c r="C710" s="74">
        <v>45102.0</v>
      </c>
      <c r="D710" s="3">
        <v>4.0</v>
      </c>
      <c r="E710" s="3">
        <v>3.0</v>
      </c>
      <c r="F710" s="3">
        <f t="shared" si="1"/>
        <v>3</v>
      </c>
      <c r="G710" s="78" t="s">
        <v>2597</v>
      </c>
      <c r="H710" s="3" t="str">
        <f t="array" ref="H710">INDEX(driver_dataset!F:F,MATCH(G710,driver_dataset!A:A,0))</f>
        <v>Bike</v>
      </c>
    </row>
    <row r="711">
      <c r="A711" s="3" t="s">
        <v>3421</v>
      </c>
      <c r="B711" s="73">
        <v>45099.0</v>
      </c>
      <c r="C711" s="74">
        <v>45101.0</v>
      </c>
      <c r="D711" s="3">
        <v>17.0</v>
      </c>
      <c r="E711" s="3">
        <v>4.0</v>
      </c>
      <c r="F711" s="3">
        <f t="shared" si="1"/>
        <v>2</v>
      </c>
      <c r="G711" s="78" t="s">
        <v>2607</v>
      </c>
      <c r="H711" s="3" t="str">
        <f t="array" ref="H711">INDEX(driver_dataset!F:F,MATCH(G711,driver_dataset!A:A,0))</f>
        <v>Van</v>
      </c>
    </row>
    <row r="712">
      <c r="A712" s="3" t="s">
        <v>3422</v>
      </c>
      <c r="B712" s="73">
        <v>45099.0</v>
      </c>
      <c r="C712" s="74">
        <v>45101.0</v>
      </c>
      <c r="D712" s="3">
        <v>3.0</v>
      </c>
      <c r="E712" s="3">
        <v>3.0</v>
      </c>
      <c r="F712" s="3">
        <f t="shared" si="1"/>
        <v>2</v>
      </c>
      <c r="G712" s="78" t="s">
        <v>2682</v>
      </c>
      <c r="H712" s="3" t="str">
        <f t="array" ref="H712">INDEX(driver_dataset!F:F,MATCH(G712,driver_dataset!A:A,0))</f>
        <v>Bike</v>
      </c>
    </row>
    <row r="713">
      <c r="A713" s="3" t="s">
        <v>3423</v>
      </c>
      <c r="B713" s="73">
        <v>45099.0</v>
      </c>
      <c r="C713" s="74">
        <v>45103.0</v>
      </c>
      <c r="D713" s="3">
        <v>7.0</v>
      </c>
      <c r="E713" s="3">
        <v>6.0</v>
      </c>
      <c r="F713" s="3">
        <f t="shared" si="1"/>
        <v>4</v>
      </c>
      <c r="G713" s="78" t="s">
        <v>2587</v>
      </c>
      <c r="H713" s="3" t="str">
        <f t="array" ref="H713">INDEX(driver_dataset!F:F,MATCH(G713,driver_dataset!A:A,0))</f>
        <v>Van</v>
      </c>
    </row>
    <row r="714">
      <c r="A714" s="3" t="s">
        <v>3424</v>
      </c>
      <c r="B714" s="73">
        <v>45099.0</v>
      </c>
      <c r="C714" s="74">
        <v>45104.0</v>
      </c>
      <c r="D714" s="3">
        <v>6.0</v>
      </c>
      <c r="E714" s="3">
        <v>1.0</v>
      </c>
      <c r="F714" s="3">
        <f t="shared" si="1"/>
        <v>5</v>
      </c>
      <c r="G714" s="78" t="s">
        <v>2542</v>
      </c>
      <c r="H714" s="3" t="str">
        <f t="array" ref="H714">INDEX(driver_dataset!F:F,MATCH(G714,driver_dataset!A:A,0))</f>
        <v>Bike</v>
      </c>
    </row>
    <row r="715">
      <c r="A715" s="3" t="s">
        <v>3425</v>
      </c>
      <c r="B715" s="73">
        <v>45099.0</v>
      </c>
      <c r="C715" s="74">
        <v>45100.0</v>
      </c>
      <c r="D715" s="3">
        <v>6.0</v>
      </c>
      <c r="E715" s="3">
        <v>1.0</v>
      </c>
      <c r="F715" s="3">
        <f t="shared" si="1"/>
        <v>1</v>
      </c>
      <c r="G715" s="78" t="s">
        <v>2511</v>
      </c>
      <c r="H715" s="3" t="str">
        <f t="array" ref="H715">INDEX(driver_dataset!F:F,MATCH(G715,driver_dataset!A:A,0))</f>
        <v>Bike</v>
      </c>
    </row>
    <row r="716">
      <c r="A716" s="3" t="s">
        <v>3426</v>
      </c>
      <c r="B716" s="73">
        <v>45099.0</v>
      </c>
      <c r="C716" s="74">
        <v>45101.0</v>
      </c>
      <c r="D716" s="3">
        <v>1.0</v>
      </c>
      <c r="E716" s="3">
        <v>3.0</v>
      </c>
      <c r="F716" s="3">
        <f t="shared" si="1"/>
        <v>2</v>
      </c>
      <c r="G716" s="78" t="s">
        <v>2572</v>
      </c>
      <c r="H716" s="3" t="str">
        <f t="array" ref="H716">INDEX(driver_dataset!F:F,MATCH(G716,driver_dataset!A:A,0))</f>
        <v>Bike</v>
      </c>
    </row>
    <row r="717">
      <c r="A717" s="3" t="s">
        <v>3427</v>
      </c>
      <c r="B717" s="73">
        <v>45099.0</v>
      </c>
      <c r="C717" s="74">
        <v>45102.0</v>
      </c>
      <c r="D717" s="3">
        <v>3.0</v>
      </c>
      <c r="E717" s="3">
        <v>1.0</v>
      </c>
      <c r="F717" s="3">
        <f t="shared" si="1"/>
        <v>3</v>
      </c>
      <c r="G717" s="78" t="s">
        <v>2496</v>
      </c>
      <c r="H717" s="3" t="str">
        <f t="array" ref="H717">INDEX(driver_dataset!F:F,MATCH(G717,driver_dataset!A:A,0))</f>
        <v>Bike</v>
      </c>
    </row>
    <row r="718">
      <c r="A718" s="3" t="s">
        <v>3428</v>
      </c>
      <c r="B718" s="73">
        <v>45099.0</v>
      </c>
      <c r="C718" s="74">
        <v>45100.0</v>
      </c>
      <c r="D718" s="3">
        <v>15.0</v>
      </c>
      <c r="E718" s="3">
        <v>7.0</v>
      </c>
      <c r="F718" s="3">
        <f t="shared" si="1"/>
        <v>1</v>
      </c>
      <c r="G718" s="78" t="s">
        <v>2627</v>
      </c>
      <c r="H718" s="3" t="str">
        <f t="array" ref="H718">INDEX(driver_dataset!F:F,MATCH(G718,driver_dataset!A:A,0))</f>
        <v>Van</v>
      </c>
    </row>
    <row r="719">
      <c r="A719" s="3" t="s">
        <v>3429</v>
      </c>
      <c r="B719" s="73">
        <v>45099.0</v>
      </c>
      <c r="C719" s="74">
        <v>45103.0</v>
      </c>
      <c r="D719" s="3">
        <v>14.0</v>
      </c>
      <c r="E719" s="3">
        <v>5.0</v>
      </c>
      <c r="F719" s="3">
        <f t="shared" si="1"/>
        <v>4</v>
      </c>
      <c r="G719" s="78" t="s">
        <v>2627</v>
      </c>
      <c r="H719" s="3" t="str">
        <f t="array" ref="H719">INDEX(driver_dataset!F:F,MATCH(G719,driver_dataset!A:A,0))</f>
        <v>Van</v>
      </c>
    </row>
    <row r="720">
      <c r="A720" s="3" t="s">
        <v>3430</v>
      </c>
      <c r="B720" s="73">
        <v>45099.0</v>
      </c>
      <c r="C720" s="74">
        <v>45102.0</v>
      </c>
      <c r="D720" s="3">
        <v>6.0</v>
      </c>
      <c r="E720" s="3">
        <v>1.0</v>
      </c>
      <c r="F720" s="3">
        <f t="shared" si="1"/>
        <v>3</v>
      </c>
      <c r="G720" s="78" t="s">
        <v>2562</v>
      </c>
      <c r="H720" s="3" t="str">
        <f t="array" ref="H720">INDEX(driver_dataset!F:F,MATCH(G720,driver_dataset!A:A,0))</f>
        <v>Bike</v>
      </c>
    </row>
    <row r="721">
      <c r="A721" s="3" t="s">
        <v>3431</v>
      </c>
      <c r="B721" s="73">
        <v>45099.0</v>
      </c>
      <c r="C721" s="74">
        <v>45101.0</v>
      </c>
      <c r="D721" s="3">
        <v>2.0</v>
      </c>
      <c r="E721" s="3">
        <v>2.0</v>
      </c>
      <c r="F721" s="3">
        <f t="shared" si="1"/>
        <v>2</v>
      </c>
      <c r="G721" s="78" t="s">
        <v>2542</v>
      </c>
      <c r="H721" s="3" t="str">
        <f t="array" ref="H721">INDEX(driver_dataset!F:F,MATCH(G721,driver_dataset!A:A,0))</f>
        <v>Bike</v>
      </c>
    </row>
    <row r="722">
      <c r="A722" s="3" t="s">
        <v>3432</v>
      </c>
      <c r="B722" s="73">
        <v>45099.0</v>
      </c>
      <c r="C722" s="74">
        <v>45104.0</v>
      </c>
      <c r="D722" s="3">
        <v>1.0</v>
      </c>
      <c r="E722" s="3">
        <v>2.0</v>
      </c>
      <c r="F722" s="3">
        <f t="shared" si="1"/>
        <v>5</v>
      </c>
      <c r="G722" s="78" t="s">
        <v>2562</v>
      </c>
      <c r="H722" s="3" t="str">
        <f t="array" ref="H722">INDEX(driver_dataset!F:F,MATCH(G722,driver_dataset!A:A,0))</f>
        <v>Bike</v>
      </c>
    </row>
    <row r="723">
      <c r="A723" s="3" t="s">
        <v>3433</v>
      </c>
      <c r="B723" s="73">
        <v>45099.0</v>
      </c>
      <c r="C723" s="74">
        <v>45103.0</v>
      </c>
      <c r="D723" s="3">
        <v>4.0</v>
      </c>
      <c r="E723" s="3">
        <v>3.0</v>
      </c>
      <c r="F723" s="3">
        <f t="shared" si="1"/>
        <v>4</v>
      </c>
      <c r="G723" s="78" t="s">
        <v>2682</v>
      </c>
      <c r="H723" s="3" t="str">
        <f t="array" ref="H723">INDEX(driver_dataset!F:F,MATCH(G723,driver_dataset!A:A,0))</f>
        <v>Bike</v>
      </c>
    </row>
    <row r="724">
      <c r="A724" s="3" t="s">
        <v>3434</v>
      </c>
      <c r="B724" s="73">
        <v>45099.0</v>
      </c>
      <c r="C724" s="74">
        <v>45100.0</v>
      </c>
      <c r="D724" s="3">
        <v>5.0</v>
      </c>
      <c r="E724" s="3">
        <v>2.0</v>
      </c>
      <c r="F724" s="3">
        <f t="shared" si="1"/>
        <v>1</v>
      </c>
      <c r="G724" s="78" t="s">
        <v>2496</v>
      </c>
      <c r="H724" s="3" t="str">
        <f t="array" ref="H724">INDEX(driver_dataset!F:F,MATCH(G724,driver_dataset!A:A,0))</f>
        <v>Bike</v>
      </c>
    </row>
    <row r="725">
      <c r="A725" s="3" t="s">
        <v>3435</v>
      </c>
      <c r="B725" s="73">
        <v>45099.0</v>
      </c>
      <c r="C725" s="74">
        <v>45101.0</v>
      </c>
      <c r="D725" s="3">
        <v>9.0</v>
      </c>
      <c r="E725" s="3">
        <v>10.0</v>
      </c>
      <c r="F725" s="3">
        <f t="shared" si="1"/>
        <v>2</v>
      </c>
      <c r="G725" s="78" t="s">
        <v>2662</v>
      </c>
      <c r="H725" s="3" t="str">
        <f t="array" ref="H725">INDEX(driver_dataset!F:F,MATCH(G725,driver_dataset!A:A,0))</f>
        <v>Van</v>
      </c>
    </row>
    <row r="726">
      <c r="A726" s="3" t="s">
        <v>3436</v>
      </c>
      <c r="B726" s="73">
        <v>45099.0</v>
      </c>
      <c r="C726" s="74">
        <v>45104.0</v>
      </c>
      <c r="D726" s="3">
        <v>6.0</v>
      </c>
      <c r="E726" s="3">
        <v>1.0</v>
      </c>
      <c r="F726" s="3">
        <f t="shared" si="1"/>
        <v>5</v>
      </c>
      <c r="G726" s="78" t="s">
        <v>2682</v>
      </c>
      <c r="H726" s="3" t="str">
        <f t="array" ref="H726">INDEX(driver_dataset!F:F,MATCH(G726,driver_dataset!A:A,0))</f>
        <v>Bike</v>
      </c>
    </row>
    <row r="727">
      <c r="A727" s="3" t="s">
        <v>3437</v>
      </c>
      <c r="B727" s="73">
        <v>45099.0</v>
      </c>
      <c r="C727" s="74">
        <v>45101.0</v>
      </c>
      <c r="D727" s="3">
        <v>19.0</v>
      </c>
      <c r="E727" s="3">
        <v>6.0</v>
      </c>
      <c r="F727" s="3">
        <f t="shared" si="1"/>
        <v>2</v>
      </c>
      <c r="G727" s="78" t="s">
        <v>2662</v>
      </c>
      <c r="H727" s="3" t="str">
        <f t="array" ref="H727">INDEX(driver_dataset!F:F,MATCH(G727,driver_dataset!A:A,0))</f>
        <v>Van</v>
      </c>
    </row>
    <row r="728">
      <c r="A728" s="3" t="s">
        <v>3438</v>
      </c>
      <c r="B728" s="73">
        <v>45099.0</v>
      </c>
      <c r="C728" s="74">
        <v>45104.0</v>
      </c>
      <c r="D728" s="3">
        <v>4.0</v>
      </c>
      <c r="E728" s="3">
        <v>1.0</v>
      </c>
      <c r="F728" s="3">
        <f t="shared" si="1"/>
        <v>5</v>
      </c>
      <c r="G728" s="78" t="s">
        <v>2642</v>
      </c>
      <c r="H728" s="3" t="str">
        <f t="array" ref="H728">INDEX(driver_dataset!F:F,MATCH(G728,driver_dataset!A:A,0))</f>
        <v>Bike</v>
      </c>
    </row>
    <row r="729">
      <c r="A729" s="3" t="s">
        <v>3439</v>
      </c>
      <c r="B729" s="73">
        <v>45099.0</v>
      </c>
      <c r="C729" s="74">
        <v>45100.0</v>
      </c>
      <c r="D729" s="3">
        <v>1.0</v>
      </c>
      <c r="E729" s="3">
        <v>3.0</v>
      </c>
      <c r="F729" s="3">
        <f t="shared" si="1"/>
        <v>1</v>
      </c>
      <c r="G729" s="78" t="s">
        <v>2592</v>
      </c>
      <c r="H729" s="3" t="str">
        <f t="array" ref="H729">INDEX(driver_dataset!F:F,MATCH(G729,driver_dataset!A:A,0))</f>
        <v>Bike</v>
      </c>
    </row>
    <row r="730">
      <c r="A730" s="3" t="s">
        <v>3440</v>
      </c>
      <c r="B730" s="74">
        <v>45100.0</v>
      </c>
      <c r="C730" s="74">
        <v>45102.0</v>
      </c>
      <c r="D730" s="3">
        <v>5.0</v>
      </c>
      <c r="E730" s="3">
        <v>3.0</v>
      </c>
      <c r="F730" s="3">
        <f t="shared" si="1"/>
        <v>2</v>
      </c>
      <c r="G730" s="78" t="s">
        <v>2692</v>
      </c>
      <c r="H730" s="3" t="str">
        <f t="array" ref="H730">INDEX(driver_dataset!F:F,MATCH(G730,driver_dataset!A:A,0))</f>
        <v>Bike</v>
      </c>
    </row>
    <row r="731">
      <c r="A731" s="3" t="s">
        <v>3441</v>
      </c>
      <c r="B731" s="73">
        <v>45100.0</v>
      </c>
      <c r="C731" s="74">
        <v>45102.0</v>
      </c>
      <c r="D731" s="3">
        <v>6.0</v>
      </c>
      <c r="E731" s="3">
        <v>3.0</v>
      </c>
      <c r="F731" s="3">
        <f t="shared" si="1"/>
        <v>2</v>
      </c>
      <c r="G731" s="78" t="s">
        <v>2687</v>
      </c>
      <c r="H731" s="3" t="str">
        <f t="array" ref="H731">INDEX(driver_dataset!F:F,MATCH(G731,driver_dataset!A:A,0))</f>
        <v>Bike</v>
      </c>
    </row>
    <row r="732">
      <c r="A732" s="3" t="s">
        <v>3442</v>
      </c>
      <c r="B732" s="73">
        <v>45100.0</v>
      </c>
      <c r="C732" s="74">
        <v>45103.0</v>
      </c>
      <c r="D732" s="3">
        <v>3.0</v>
      </c>
      <c r="E732" s="3">
        <v>1.0</v>
      </c>
      <c r="F732" s="3">
        <f t="shared" si="1"/>
        <v>3</v>
      </c>
      <c r="G732" s="78" t="s">
        <v>2547</v>
      </c>
      <c r="H732" s="3" t="str">
        <f t="array" ref="H732">INDEX(driver_dataset!F:F,MATCH(G732,driver_dataset!A:A,0))</f>
        <v>Bike</v>
      </c>
    </row>
    <row r="733">
      <c r="A733" s="3" t="s">
        <v>3443</v>
      </c>
      <c r="B733" s="73">
        <v>45100.0</v>
      </c>
      <c r="C733" s="74">
        <v>45103.0</v>
      </c>
      <c r="D733" s="3">
        <v>6.0</v>
      </c>
      <c r="E733" s="3">
        <v>2.0</v>
      </c>
      <c r="F733" s="3">
        <f t="shared" si="1"/>
        <v>3</v>
      </c>
      <c r="G733" s="78" t="s">
        <v>2516</v>
      </c>
      <c r="H733" s="3" t="str">
        <f t="array" ref="H733">INDEX(driver_dataset!F:F,MATCH(G733,driver_dataset!A:A,0))</f>
        <v>Bike</v>
      </c>
    </row>
    <row r="734">
      <c r="A734" s="3" t="s">
        <v>3444</v>
      </c>
      <c r="B734" s="73">
        <v>45100.0</v>
      </c>
      <c r="C734" s="74">
        <v>45102.0</v>
      </c>
      <c r="D734" s="3">
        <v>1.0</v>
      </c>
      <c r="E734" s="3">
        <v>3.0</v>
      </c>
      <c r="F734" s="3">
        <f t="shared" si="1"/>
        <v>2</v>
      </c>
      <c r="G734" s="78" t="s">
        <v>2592</v>
      </c>
      <c r="H734" s="3" t="str">
        <f t="array" ref="H734">INDEX(driver_dataset!F:F,MATCH(G734,driver_dataset!A:A,0))</f>
        <v>Bike</v>
      </c>
    </row>
    <row r="735">
      <c r="A735" s="3" t="s">
        <v>3445</v>
      </c>
      <c r="B735" s="73">
        <v>45100.0</v>
      </c>
      <c r="C735" s="74">
        <v>45102.0</v>
      </c>
      <c r="D735" s="3">
        <v>10.0</v>
      </c>
      <c r="E735" s="3">
        <v>10.0</v>
      </c>
      <c r="F735" s="3">
        <f t="shared" si="1"/>
        <v>2</v>
      </c>
      <c r="G735" s="78" t="s">
        <v>2667</v>
      </c>
      <c r="H735" s="3" t="str">
        <f t="array" ref="H735">INDEX(driver_dataset!F:F,MATCH(G735,driver_dataset!A:A,0))</f>
        <v>Van</v>
      </c>
    </row>
    <row r="736">
      <c r="A736" s="3" t="s">
        <v>3446</v>
      </c>
      <c r="B736" s="73">
        <v>45100.0</v>
      </c>
      <c r="C736" s="74">
        <v>45105.0</v>
      </c>
      <c r="D736" s="3">
        <v>15.0</v>
      </c>
      <c r="E736" s="3">
        <v>5.0</v>
      </c>
      <c r="F736" s="3">
        <f t="shared" si="1"/>
        <v>5</v>
      </c>
      <c r="G736" s="78" t="s">
        <v>2627</v>
      </c>
      <c r="H736" s="3" t="str">
        <f t="array" ref="H736">INDEX(driver_dataset!F:F,MATCH(G736,driver_dataset!A:A,0))</f>
        <v>Van</v>
      </c>
    </row>
    <row r="737">
      <c r="A737" s="3" t="s">
        <v>3447</v>
      </c>
      <c r="B737" s="73">
        <v>45100.0</v>
      </c>
      <c r="C737" s="74">
        <v>45105.0</v>
      </c>
      <c r="D737" s="3">
        <v>3.0</v>
      </c>
      <c r="E737" s="3">
        <v>2.0</v>
      </c>
      <c r="F737" s="3">
        <f t="shared" si="1"/>
        <v>5</v>
      </c>
      <c r="G737" s="78" t="s">
        <v>2612</v>
      </c>
      <c r="H737" s="3" t="str">
        <f t="array" ref="H737">INDEX(driver_dataset!F:F,MATCH(G737,driver_dataset!A:A,0))</f>
        <v>Bike</v>
      </c>
    </row>
    <row r="738">
      <c r="A738" s="3" t="s">
        <v>3448</v>
      </c>
      <c r="B738" s="73">
        <v>45100.0</v>
      </c>
      <c r="C738" s="74">
        <v>45102.0</v>
      </c>
      <c r="D738" s="3">
        <v>2.0</v>
      </c>
      <c r="E738" s="3">
        <v>2.0</v>
      </c>
      <c r="F738" s="3">
        <f t="shared" si="1"/>
        <v>2</v>
      </c>
      <c r="G738" s="78" t="s">
        <v>2687</v>
      </c>
      <c r="H738" s="3" t="str">
        <f t="array" ref="H738">INDEX(driver_dataset!F:F,MATCH(G738,driver_dataset!A:A,0))</f>
        <v>Bike</v>
      </c>
    </row>
    <row r="739">
      <c r="A739" s="3" t="s">
        <v>3449</v>
      </c>
      <c r="B739" s="73">
        <v>45100.0</v>
      </c>
      <c r="C739" s="74">
        <v>45103.0</v>
      </c>
      <c r="D739" s="3">
        <v>20.0</v>
      </c>
      <c r="E739" s="3">
        <v>6.0</v>
      </c>
      <c r="F739" s="3">
        <f t="shared" si="1"/>
        <v>3</v>
      </c>
      <c r="G739" s="78" t="s">
        <v>2672</v>
      </c>
      <c r="H739" s="3" t="str">
        <f t="array" ref="H739">INDEX(driver_dataset!F:F,MATCH(G739,driver_dataset!A:A,0))</f>
        <v>Van</v>
      </c>
    </row>
    <row r="740">
      <c r="A740" s="3" t="s">
        <v>3450</v>
      </c>
      <c r="B740" s="73">
        <v>45100.0</v>
      </c>
      <c r="C740" s="74">
        <v>45102.0</v>
      </c>
      <c r="D740" s="3">
        <v>4.0</v>
      </c>
      <c r="E740" s="3">
        <v>2.0</v>
      </c>
      <c r="F740" s="3">
        <f t="shared" si="1"/>
        <v>2</v>
      </c>
      <c r="G740" s="78" t="s">
        <v>2602</v>
      </c>
      <c r="H740" s="3" t="str">
        <f t="array" ref="H740">INDEX(driver_dataset!F:F,MATCH(G740,driver_dataset!A:A,0))</f>
        <v>Bike</v>
      </c>
    </row>
    <row r="741">
      <c r="A741" s="3" t="s">
        <v>3451</v>
      </c>
      <c r="B741" s="73">
        <v>45100.0</v>
      </c>
      <c r="C741" s="74">
        <v>45104.0</v>
      </c>
      <c r="D741" s="3">
        <v>2.0</v>
      </c>
      <c r="E741" s="3">
        <v>1.0</v>
      </c>
      <c r="F741" s="3">
        <f t="shared" si="1"/>
        <v>4</v>
      </c>
      <c r="G741" s="78" t="s">
        <v>2506</v>
      </c>
      <c r="H741" s="3" t="str">
        <f t="array" ref="H741">INDEX(driver_dataset!F:F,MATCH(G741,driver_dataset!A:A,0))</f>
        <v>Bike</v>
      </c>
    </row>
    <row r="742">
      <c r="A742" s="3" t="s">
        <v>3452</v>
      </c>
      <c r="B742" s="73">
        <v>45100.0</v>
      </c>
      <c r="C742" s="74">
        <v>45102.0</v>
      </c>
      <c r="D742" s="3">
        <v>6.0</v>
      </c>
      <c r="E742" s="3">
        <v>1.0</v>
      </c>
      <c r="F742" s="3">
        <f t="shared" si="1"/>
        <v>2</v>
      </c>
      <c r="G742" s="78" t="s">
        <v>2682</v>
      </c>
      <c r="H742" s="3" t="str">
        <f t="array" ref="H742">INDEX(driver_dataset!F:F,MATCH(G742,driver_dataset!A:A,0))</f>
        <v>Bike</v>
      </c>
    </row>
    <row r="743">
      <c r="A743" s="3" t="s">
        <v>3453</v>
      </c>
      <c r="B743" s="73">
        <v>45100.0</v>
      </c>
      <c r="C743" s="74">
        <v>45101.0</v>
      </c>
      <c r="D743" s="3">
        <v>10.0</v>
      </c>
      <c r="E743" s="3">
        <v>6.0</v>
      </c>
      <c r="F743" s="3">
        <f t="shared" si="1"/>
        <v>1</v>
      </c>
      <c r="G743" s="78" t="s">
        <v>2662</v>
      </c>
      <c r="H743" s="3" t="str">
        <f t="array" ref="H743">INDEX(driver_dataset!F:F,MATCH(G743,driver_dataset!A:A,0))</f>
        <v>Van</v>
      </c>
    </row>
    <row r="744">
      <c r="A744" s="3" t="s">
        <v>3454</v>
      </c>
      <c r="B744" s="73">
        <v>45100.0</v>
      </c>
      <c r="C744" s="74">
        <v>45105.0</v>
      </c>
      <c r="D744" s="3">
        <v>19.0</v>
      </c>
      <c r="E744" s="3">
        <v>8.0</v>
      </c>
      <c r="F744" s="3">
        <f t="shared" si="1"/>
        <v>5</v>
      </c>
      <c r="G744" s="78" t="s">
        <v>2697</v>
      </c>
      <c r="H744" s="3" t="str">
        <f t="array" ref="H744">INDEX(driver_dataset!F:F,MATCH(G744,driver_dataset!A:A,0))</f>
        <v>Van</v>
      </c>
    </row>
    <row r="745">
      <c r="A745" s="3" t="s">
        <v>3455</v>
      </c>
      <c r="B745" s="73">
        <v>45100.0</v>
      </c>
      <c r="C745" s="74">
        <v>45103.0</v>
      </c>
      <c r="D745" s="3">
        <v>6.0</v>
      </c>
      <c r="E745" s="3">
        <v>2.0</v>
      </c>
      <c r="F745" s="3">
        <f t="shared" si="1"/>
        <v>3</v>
      </c>
      <c r="G745" s="78" t="s">
        <v>2567</v>
      </c>
      <c r="H745" s="3" t="str">
        <f t="array" ref="H745">INDEX(driver_dataset!F:F,MATCH(G745,driver_dataset!A:A,0))</f>
        <v>Bike</v>
      </c>
    </row>
    <row r="746">
      <c r="A746" s="3" t="s">
        <v>3456</v>
      </c>
      <c r="B746" s="73">
        <v>45100.0</v>
      </c>
      <c r="C746" s="74">
        <v>45101.0</v>
      </c>
      <c r="D746" s="3">
        <v>20.0</v>
      </c>
      <c r="E746" s="3">
        <v>4.0</v>
      </c>
      <c r="F746" s="3">
        <f t="shared" si="1"/>
        <v>1</v>
      </c>
      <c r="G746" s="78" t="s">
        <v>2484</v>
      </c>
      <c r="H746" s="3" t="str">
        <f t="array" ref="H746">INDEX(driver_dataset!F:F,MATCH(G746,driver_dataset!A:A,0))</f>
        <v>Van</v>
      </c>
    </row>
    <row r="747">
      <c r="A747" s="3" t="s">
        <v>3457</v>
      </c>
      <c r="B747" s="73">
        <v>45100.0</v>
      </c>
      <c r="C747" s="74">
        <v>45102.0</v>
      </c>
      <c r="D747" s="3">
        <v>2.0</v>
      </c>
      <c r="E747" s="3">
        <v>3.0</v>
      </c>
      <c r="F747" s="3">
        <f t="shared" si="1"/>
        <v>2</v>
      </c>
      <c r="G747" s="78" t="s">
        <v>2582</v>
      </c>
      <c r="H747" s="3" t="str">
        <f t="array" ref="H747">INDEX(driver_dataset!F:F,MATCH(G747,driver_dataset!A:A,0))</f>
        <v>Bike</v>
      </c>
    </row>
    <row r="748">
      <c r="A748" s="3" t="s">
        <v>3458</v>
      </c>
      <c r="B748" s="73">
        <v>45100.0</v>
      </c>
      <c r="C748" s="74">
        <v>45101.0</v>
      </c>
      <c r="D748" s="3">
        <v>16.0</v>
      </c>
      <c r="E748" s="3">
        <v>10.0</v>
      </c>
      <c r="F748" s="3">
        <f t="shared" si="1"/>
        <v>1</v>
      </c>
      <c r="G748" s="78" t="s">
        <v>2697</v>
      </c>
      <c r="H748" s="3" t="str">
        <f t="array" ref="H748">INDEX(driver_dataset!F:F,MATCH(G748,driver_dataset!A:A,0))</f>
        <v>Van</v>
      </c>
    </row>
    <row r="749">
      <c r="A749" s="3" t="s">
        <v>3459</v>
      </c>
      <c r="B749" s="73">
        <v>45100.0</v>
      </c>
      <c r="C749" s="74">
        <v>45102.0</v>
      </c>
      <c r="D749" s="3">
        <v>3.0</v>
      </c>
      <c r="E749" s="3">
        <v>3.0</v>
      </c>
      <c r="F749" s="3">
        <f t="shared" si="1"/>
        <v>2</v>
      </c>
      <c r="G749" s="78" t="s">
        <v>2682</v>
      </c>
      <c r="H749" s="3" t="str">
        <f t="array" ref="H749">INDEX(driver_dataset!F:F,MATCH(G749,driver_dataset!A:A,0))</f>
        <v>Bike</v>
      </c>
    </row>
    <row r="750">
      <c r="A750" s="3" t="s">
        <v>3460</v>
      </c>
      <c r="B750" s="73">
        <v>45100.0</v>
      </c>
      <c r="C750" s="74">
        <v>45101.0</v>
      </c>
      <c r="D750" s="3">
        <v>1.0</v>
      </c>
      <c r="E750" s="3">
        <v>3.0</v>
      </c>
      <c r="F750" s="3">
        <f t="shared" si="1"/>
        <v>1</v>
      </c>
      <c r="G750" s="78" t="s">
        <v>2511</v>
      </c>
      <c r="H750" s="3" t="str">
        <f t="array" ref="H750">INDEX(driver_dataset!F:F,MATCH(G750,driver_dataset!A:A,0))</f>
        <v>Bike</v>
      </c>
    </row>
    <row r="751">
      <c r="A751" s="3" t="s">
        <v>3461</v>
      </c>
      <c r="B751" s="73">
        <v>45100.0</v>
      </c>
      <c r="C751" s="74">
        <v>45103.0</v>
      </c>
      <c r="D751" s="3">
        <v>4.0</v>
      </c>
      <c r="E751" s="3">
        <v>2.0</v>
      </c>
      <c r="F751" s="3">
        <f t="shared" si="1"/>
        <v>3</v>
      </c>
      <c r="G751" s="78" t="s">
        <v>2612</v>
      </c>
      <c r="H751" s="3" t="str">
        <f t="array" ref="H751">INDEX(driver_dataset!F:F,MATCH(G751,driver_dataset!A:A,0))</f>
        <v>Bike</v>
      </c>
    </row>
    <row r="752">
      <c r="A752" s="3" t="s">
        <v>3462</v>
      </c>
      <c r="B752" s="73">
        <v>45100.0</v>
      </c>
      <c r="C752" s="74">
        <v>45101.0</v>
      </c>
      <c r="D752" s="3">
        <v>3.0</v>
      </c>
      <c r="E752" s="3">
        <v>2.0</v>
      </c>
      <c r="F752" s="3">
        <f t="shared" si="1"/>
        <v>1</v>
      </c>
      <c r="G752" s="78" t="s">
        <v>2622</v>
      </c>
      <c r="H752" s="3" t="str">
        <f t="array" ref="H752">INDEX(driver_dataset!F:F,MATCH(G752,driver_dataset!A:A,0))</f>
        <v>Bike</v>
      </c>
    </row>
    <row r="753">
      <c r="A753" s="3" t="s">
        <v>3463</v>
      </c>
      <c r="B753" s="73">
        <v>45100.0</v>
      </c>
      <c r="C753" s="74">
        <v>45101.0</v>
      </c>
      <c r="D753" s="3">
        <v>2.0</v>
      </c>
      <c r="E753" s="3">
        <v>1.0</v>
      </c>
      <c r="F753" s="3">
        <f t="shared" si="1"/>
        <v>1</v>
      </c>
      <c r="G753" s="78" t="s">
        <v>2557</v>
      </c>
      <c r="H753" s="3" t="str">
        <f t="array" ref="H753">INDEX(driver_dataset!F:F,MATCH(G753,driver_dataset!A:A,0))</f>
        <v>Bike</v>
      </c>
    </row>
    <row r="754">
      <c r="A754" s="3" t="s">
        <v>3464</v>
      </c>
      <c r="B754" s="73">
        <v>45100.0</v>
      </c>
      <c r="C754" s="74">
        <v>45105.0</v>
      </c>
      <c r="D754" s="3">
        <v>5.0</v>
      </c>
      <c r="E754" s="3">
        <v>2.0</v>
      </c>
      <c r="F754" s="3">
        <f t="shared" si="1"/>
        <v>5</v>
      </c>
      <c r="G754" s="78" t="s">
        <v>2602</v>
      </c>
      <c r="H754" s="3" t="str">
        <f t="array" ref="H754">INDEX(driver_dataset!F:F,MATCH(G754,driver_dataset!A:A,0))</f>
        <v>Bike</v>
      </c>
    </row>
    <row r="755">
      <c r="A755" s="3" t="s">
        <v>3465</v>
      </c>
      <c r="B755" s="73">
        <v>45100.0</v>
      </c>
      <c r="C755" s="74">
        <v>45101.0</v>
      </c>
      <c r="D755" s="3">
        <v>1.0</v>
      </c>
      <c r="E755" s="3">
        <v>1.0</v>
      </c>
      <c r="F755" s="3">
        <f t="shared" si="1"/>
        <v>1</v>
      </c>
      <c r="G755" s="78" t="s">
        <v>2652</v>
      </c>
      <c r="H755" s="3" t="str">
        <f t="array" ref="H755">INDEX(driver_dataset!F:F,MATCH(G755,driver_dataset!A:A,0))</f>
        <v>Bike</v>
      </c>
    </row>
    <row r="756">
      <c r="A756" s="3" t="s">
        <v>3466</v>
      </c>
      <c r="B756" s="73">
        <v>45100.0</v>
      </c>
      <c r="C756" s="74">
        <v>45103.0</v>
      </c>
      <c r="D756" s="3">
        <v>1.0</v>
      </c>
      <c r="E756" s="3">
        <v>1.0</v>
      </c>
      <c r="F756" s="3">
        <f t="shared" si="1"/>
        <v>3</v>
      </c>
      <c r="G756" s="78" t="s">
        <v>2506</v>
      </c>
      <c r="H756" s="3" t="str">
        <f t="array" ref="H756">INDEX(driver_dataset!F:F,MATCH(G756,driver_dataset!A:A,0))</f>
        <v>Bike</v>
      </c>
    </row>
    <row r="757">
      <c r="A757" s="3" t="s">
        <v>3467</v>
      </c>
      <c r="B757" s="73">
        <v>45100.0</v>
      </c>
      <c r="C757" s="74">
        <v>45101.0</v>
      </c>
      <c r="D757" s="3">
        <v>6.0</v>
      </c>
      <c r="E757" s="3">
        <v>1.0</v>
      </c>
      <c r="F757" s="3">
        <f t="shared" si="1"/>
        <v>1</v>
      </c>
      <c r="G757" s="78" t="s">
        <v>2682</v>
      </c>
      <c r="H757" s="3" t="str">
        <f t="array" ref="H757">INDEX(driver_dataset!F:F,MATCH(G757,driver_dataset!A:A,0))</f>
        <v>Bike</v>
      </c>
    </row>
    <row r="758">
      <c r="A758" s="3" t="s">
        <v>3468</v>
      </c>
      <c r="B758" s="73">
        <v>45100.0</v>
      </c>
      <c r="C758" s="74">
        <v>45105.0</v>
      </c>
      <c r="D758" s="3">
        <v>4.0</v>
      </c>
      <c r="E758" s="3">
        <v>1.0</v>
      </c>
      <c r="F758" s="3">
        <f t="shared" si="1"/>
        <v>5</v>
      </c>
      <c r="G758" s="78" t="s">
        <v>2506</v>
      </c>
      <c r="H758" s="3" t="str">
        <f t="array" ref="H758">INDEX(driver_dataset!F:F,MATCH(G758,driver_dataset!A:A,0))</f>
        <v>Bike</v>
      </c>
    </row>
    <row r="759">
      <c r="A759" s="3" t="s">
        <v>3469</v>
      </c>
      <c r="B759" s="73">
        <v>45100.0</v>
      </c>
      <c r="C759" s="74">
        <v>45105.0</v>
      </c>
      <c r="D759" s="3">
        <v>2.0</v>
      </c>
      <c r="E759" s="3">
        <v>3.0</v>
      </c>
      <c r="F759" s="3">
        <f t="shared" si="1"/>
        <v>5</v>
      </c>
      <c r="G759" s="78" t="s">
        <v>2577</v>
      </c>
      <c r="H759" s="3" t="str">
        <f t="array" ref="H759">INDEX(driver_dataset!F:F,MATCH(G759,driver_dataset!A:A,0))</f>
        <v>Bike</v>
      </c>
    </row>
    <row r="760">
      <c r="A760" s="3" t="s">
        <v>3470</v>
      </c>
      <c r="B760" s="73">
        <v>45100.0</v>
      </c>
      <c r="C760" s="74">
        <v>45105.0</v>
      </c>
      <c r="D760" s="3">
        <v>5.0</v>
      </c>
      <c r="E760" s="3">
        <v>2.0</v>
      </c>
      <c r="F760" s="3">
        <f t="shared" si="1"/>
        <v>5</v>
      </c>
      <c r="G760" s="78" t="s">
        <v>2562</v>
      </c>
      <c r="H760" s="3" t="str">
        <f t="array" ref="H760">INDEX(driver_dataset!F:F,MATCH(G760,driver_dataset!A:A,0))</f>
        <v>Bike</v>
      </c>
    </row>
    <row r="761">
      <c r="A761" s="3" t="s">
        <v>3471</v>
      </c>
      <c r="B761" s="73">
        <v>45100.0</v>
      </c>
      <c r="C761" s="74">
        <v>45103.0</v>
      </c>
      <c r="D761" s="3">
        <v>15.0</v>
      </c>
      <c r="E761" s="3">
        <v>10.0</v>
      </c>
      <c r="F761" s="3">
        <f t="shared" si="1"/>
        <v>3</v>
      </c>
      <c r="G761" s="78" t="s">
        <v>2537</v>
      </c>
      <c r="H761" s="3" t="str">
        <f t="array" ref="H761">INDEX(driver_dataset!F:F,MATCH(G761,driver_dataset!A:A,0))</f>
        <v>Van</v>
      </c>
    </row>
    <row r="762">
      <c r="A762" s="3" t="s">
        <v>3472</v>
      </c>
      <c r="B762" s="73">
        <v>45100.0</v>
      </c>
      <c r="C762" s="74">
        <v>45103.0</v>
      </c>
      <c r="D762" s="3">
        <v>12.0</v>
      </c>
      <c r="E762" s="3">
        <v>8.0</v>
      </c>
      <c r="F762" s="3">
        <f t="shared" si="1"/>
        <v>3</v>
      </c>
      <c r="G762" s="78" t="s">
        <v>2627</v>
      </c>
      <c r="H762" s="3" t="str">
        <f t="array" ref="H762">INDEX(driver_dataset!F:F,MATCH(G762,driver_dataset!A:A,0))</f>
        <v>Van</v>
      </c>
    </row>
    <row r="763">
      <c r="A763" s="3" t="s">
        <v>3473</v>
      </c>
      <c r="B763" s="74">
        <v>45101.0</v>
      </c>
      <c r="C763" s="74">
        <v>45104.0</v>
      </c>
      <c r="D763" s="3">
        <v>2.0</v>
      </c>
      <c r="E763" s="3">
        <v>3.0</v>
      </c>
      <c r="F763" s="3">
        <f t="shared" si="1"/>
        <v>3</v>
      </c>
      <c r="G763" s="78" t="s">
        <v>2592</v>
      </c>
      <c r="H763" s="3" t="str">
        <f t="array" ref="H763">INDEX(driver_dataset!F:F,MATCH(G763,driver_dataset!A:A,0))</f>
        <v>Bike</v>
      </c>
    </row>
    <row r="764">
      <c r="A764" s="3" t="s">
        <v>3474</v>
      </c>
      <c r="B764" s="73">
        <v>45101.0</v>
      </c>
      <c r="C764" s="74">
        <v>45102.0</v>
      </c>
      <c r="D764" s="3">
        <v>15.0</v>
      </c>
      <c r="E764" s="3">
        <v>6.0</v>
      </c>
      <c r="F764" s="3">
        <f t="shared" si="1"/>
        <v>1</v>
      </c>
      <c r="G764" s="78" t="s">
        <v>2667</v>
      </c>
      <c r="H764" s="3" t="str">
        <f t="array" ref="H764">INDEX(driver_dataset!F:F,MATCH(G764,driver_dataset!A:A,0))</f>
        <v>Van</v>
      </c>
    </row>
    <row r="765">
      <c r="A765" s="3" t="s">
        <v>3475</v>
      </c>
      <c r="B765" s="73">
        <v>45101.0</v>
      </c>
      <c r="C765" s="74">
        <v>45106.0</v>
      </c>
      <c r="D765" s="3">
        <v>5.0</v>
      </c>
      <c r="E765" s="3">
        <v>3.0</v>
      </c>
      <c r="F765" s="3">
        <f t="shared" si="1"/>
        <v>5</v>
      </c>
      <c r="G765" s="78" t="s">
        <v>2557</v>
      </c>
      <c r="H765" s="3" t="str">
        <f t="array" ref="H765">INDEX(driver_dataset!F:F,MATCH(G765,driver_dataset!A:A,0))</f>
        <v>Bike</v>
      </c>
    </row>
    <row r="766">
      <c r="A766" s="3" t="s">
        <v>3476</v>
      </c>
      <c r="B766" s="73">
        <v>45101.0</v>
      </c>
      <c r="C766" s="74">
        <v>45106.0</v>
      </c>
      <c r="D766" s="3">
        <v>5.0</v>
      </c>
      <c r="E766" s="3">
        <v>1.0</v>
      </c>
      <c r="F766" s="3">
        <f t="shared" si="1"/>
        <v>5</v>
      </c>
      <c r="G766" s="78" t="s">
        <v>2557</v>
      </c>
      <c r="H766" s="3" t="str">
        <f t="array" ref="H766">INDEX(driver_dataset!F:F,MATCH(G766,driver_dataset!A:A,0))</f>
        <v>Bike</v>
      </c>
    </row>
    <row r="767">
      <c r="A767" s="3" t="s">
        <v>3477</v>
      </c>
      <c r="B767" s="73">
        <v>45101.0</v>
      </c>
      <c r="C767" s="74">
        <v>45105.0</v>
      </c>
      <c r="D767" s="3">
        <v>12.0</v>
      </c>
      <c r="E767" s="3">
        <v>7.0</v>
      </c>
      <c r="F767" s="3">
        <f t="shared" si="1"/>
        <v>4</v>
      </c>
      <c r="G767" s="78" t="s">
        <v>2662</v>
      </c>
      <c r="H767" s="3" t="str">
        <f t="array" ref="H767">INDEX(driver_dataset!F:F,MATCH(G767,driver_dataset!A:A,0))</f>
        <v>Van</v>
      </c>
    </row>
    <row r="768">
      <c r="A768" s="3" t="s">
        <v>3478</v>
      </c>
      <c r="B768" s="73">
        <v>45101.0</v>
      </c>
      <c r="C768" s="74">
        <v>45103.0</v>
      </c>
      <c r="D768" s="3">
        <v>14.0</v>
      </c>
      <c r="E768" s="3">
        <v>10.0</v>
      </c>
      <c r="F768" s="3">
        <f t="shared" si="1"/>
        <v>2</v>
      </c>
      <c r="G768" s="78" t="s">
        <v>2667</v>
      </c>
      <c r="H768" s="3" t="str">
        <f t="array" ref="H768">INDEX(driver_dataset!F:F,MATCH(G768,driver_dataset!A:A,0))</f>
        <v>Van</v>
      </c>
    </row>
    <row r="769">
      <c r="A769" s="3" t="s">
        <v>3479</v>
      </c>
      <c r="B769" s="73">
        <v>45101.0</v>
      </c>
      <c r="C769" s="74">
        <v>45103.0</v>
      </c>
      <c r="D769" s="3">
        <v>1.0</v>
      </c>
      <c r="E769" s="3">
        <v>1.0</v>
      </c>
      <c r="F769" s="3">
        <f t="shared" si="1"/>
        <v>2</v>
      </c>
      <c r="G769" s="78" t="s">
        <v>2511</v>
      </c>
      <c r="H769" s="3" t="str">
        <f t="array" ref="H769">INDEX(driver_dataset!F:F,MATCH(G769,driver_dataset!A:A,0))</f>
        <v>Bike</v>
      </c>
    </row>
    <row r="770">
      <c r="A770" s="3" t="s">
        <v>3480</v>
      </c>
      <c r="B770" s="73">
        <v>45101.0</v>
      </c>
      <c r="C770" s="74">
        <v>45104.0</v>
      </c>
      <c r="D770" s="3">
        <v>4.0</v>
      </c>
      <c r="E770" s="3">
        <v>1.0</v>
      </c>
      <c r="F770" s="3">
        <f t="shared" si="1"/>
        <v>3</v>
      </c>
      <c r="G770" s="78" t="s">
        <v>2592</v>
      </c>
      <c r="H770" s="3" t="str">
        <f t="array" ref="H770">INDEX(driver_dataset!F:F,MATCH(G770,driver_dataset!A:A,0))</f>
        <v>Bike</v>
      </c>
    </row>
    <row r="771">
      <c r="A771" s="3" t="s">
        <v>3481</v>
      </c>
      <c r="B771" s="73">
        <v>45101.0</v>
      </c>
      <c r="C771" s="74">
        <v>45106.0</v>
      </c>
      <c r="D771" s="3">
        <v>3.0</v>
      </c>
      <c r="E771" s="3">
        <v>1.0</v>
      </c>
      <c r="F771" s="3">
        <f t="shared" si="1"/>
        <v>5</v>
      </c>
      <c r="G771" s="78" t="s">
        <v>2572</v>
      </c>
      <c r="H771" s="3" t="str">
        <f t="array" ref="H771">INDEX(driver_dataset!F:F,MATCH(G771,driver_dataset!A:A,0))</f>
        <v>Bike</v>
      </c>
    </row>
    <row r="772">
      <c r="A772" s="3" t="s">
        <v>3482</v>
      </c>
      <c r="B772" s="73">
        <v>45101.0</v>
      </c>
      <c r="C772" s="74">
        <v>45103.0</v>
      </c>
      <c r="D772" s="3">
        <v>3.0</v>
      </c>
      <c r="E772" s="3">
        <v>2.0</v>
      </c>
      <c r="F772" s="3">
        <f t="shared" si="1"/>
        <v>2</v>
      </c>
      <c r="G772" s="78" t="s">
        <v>2572</v>
      </c>
      <c r="H772" s="3" t="str">
        <f t="array" ref="H772">INDEX(driver_dataset!F:F,MATCH(G772,driver_dataset!A:A,0))</f>
        <v>Bike</v>
      </c>
    </row>
    <row r="773">
      <c r="A773" s="3" t="s">
        <v>3483</v>
      </c>
      <c r="B773" s="73">
        <v>45101.0</v>
      </c>
      <c r="C773" s="74">
        <v>45102.0</v>
      </c>
      <c r="D773" s="3">
        <v>16.0</v>
      </c>
      <c r="E773" s="3">
        <v>10.0</v>
      </c>
      <c r="F773" s="3">
        <f t="shared" si="1"/>
        <v>1</v>
      </c>
      <c r="G773" s="78" t="s">
        <v>2667</v>
      </c>
      <c r="H773" s="3" t="str">
        <f t="array" ref="H773">INDEX(driver_dataset!F:F,MATCH(G773,driver_dataset!A:A,0))</f>
        <v>Van</v>
      </c>
    </row>
    <row r="774">
      <c r="A774" s="3" t="s">
        <v>3484</v>
      </c>
      <c r="B774" s="73">
        <v>45101.0</v>
      </c>
      <c r="C774" s="74">
        <v>45106.0</v>
      </c>
      <c r="D774" s="3">
        <v>4.0</v>
      </c>
      <c r="E774" s="3">
        <v>1.0</v>
      </c>
      <c r="F774" s="3">
        <f t="shared" si="1"/>
        <v>5</v>
      </c>
      <c r="G774" s="78" t="s">
        <v>2577</v>
      </c>
      <c r="H774" s="3" t="str">
        <f t="array" ref="H774">INDEX(driver_dataset!F:F,MATCH(G774,driver_dataset!A:A,0))</f>
        <v>Bike</v>
      </c>
    </row>
    <row r="775">
      <c r="A775" s="3" t="s">
        <v>3485</v>
      </c>
      <c r="B775" s="73">
        <v>45101.0</v>
      </c>
      <c r="C775" s="74">
        <v>45102.0</v>
      </c>
      <c r="D775" s="3">
        <v>3.0</v>
      </c>
      <c r="E775" s="3">
        <v>2.0</v>
      </c>
      <c r="F775" s="3">
        <f t="shared" si="1"/>
        <v>1</v>
      </c>
      <c r="G775" s="78" t="s">
        <v>2652</v>
      </c>
      <c r="H775" s="3" t="str">
        <f t="array" ref="H775">INDEX(driver_dataset!F:F,MATCH(G775,driver_dataset!A:A,0))</f>
        <v>Bike</v>
      </c>
    </row>
    <row r="776">
      <c r="A776" s="3" t="s">
        <v>3486</v>
      </c>
      <c r="B776" s="73">
        <v>45101.0</v>
      </c>
      <c r="C776" s="74">
        <v>45103.0</v>
      </c>
      <c r="D776" s="3">
        <v>1.0</v>
      </c>
      <c r="E776" s="3">
        <v>2.0</v>
      </c>
      <c r="F776" s="3">
        <f t="shared" si="1"/>
        <v>2</v>
      </c>
      <c r="G776" s="78" t="s">
        <v>2567</v>
      </c>
      <c r="H776" s="3" t="str">
        <f t="array" ref="H776">INDEX(driver_dataset!F:F,MATCH(G776,driver_dataset!A:A,0))</f>
        <v>Bike</v>
      </c>
    </row>
    <row r="777">
      <c r="A777" s="3" t="s">
        <v>3487</v>
      </c>
      <c r="B777" s="73">
        <v>45101.0</v>
      </c>
      <c r="C777" s="74">
        <v>45103.0</v>
      </c>
      <c r="D777" s="3">
        <v>3.0</v>
      </c>
      <c r="E777" s="3">
        <v>1.0</v>
      </c>
      <c r="F777" s="3">
        <f t="shared" si="1"/>
        <v>2</v>
      </c>
      <c r="G777" s="78" t="s">
        <v>2577</v>
      </c>
      <c r="H777" s="3" t="str">
        <f t="array" ref="H777">INDEX(driver_dataset!F:F,MATCH(G777,driver_dataset!A:A,0))</f>
        <v>Bike</v>
      </c>
    </row>
    <row r="778">
      <c r="A778" s="3" t="s">
        <v>3488</v>
      </c>
      <c r="B778" s="73">
        <v>45101.0</v>
      </c>
      <c r="C778" s="74">
        <v>45102.0</v>
      </c>
      <c r="D778" s="3">
        <v>6.0</v>
      </c>
      <c r="E778" s="3">
        <v>1.0</v>
      </c>
      <c r="F778" s="3">
        <f t="shared" si="1"/>
        <v>1</v>
      </c>
      <c r="G778" s="78" t="s">
        <v>2692</v>
      </c>
      <c r="H778" s="3" t="str">
        <f t="array" ref="H778">INDEX(driver_dataset!F:F,MATCH(G778,driver_dataset!A:A,0))</f>
        <v>Bike</v>
      </c>
    </row>
    <row r="779">
      <c r="A779" s="3" t="s">
        <v>3489</v>
      </c>
      <c r="B779" s="73">
        <v>45101.0</v>
      </c>
      <c r="C779" s="74">
        <v>45102.0</v>
      </c>
      <c r="D779" s="3">
        <v>18.0</v>
      </c>
      <c r="E779" s="3">
        <v>9.0</v>
      </c>
      <c r="F779" s="3">
        <f t="shared" si="1"/>
        <v>1</v>
      </c>
      <c r="G779" s="78" t="s">
        <v>2672</v>
      </c>
      <c r="H779" s="3" t="str">
        <f t="array" ref="H779">INDEX(driver_dataset!F:F,MATCH(G779,driver_dataset!A:A,0))</f>
        <v>Van</v>
      </c>
    </row>
    <row r="780">
      <c r="A780" s="3" t="s">
        <v>3490</v>
      </c>
      <c r="B780" s="73">
        <v>45101.0</v>
      </c>
      <c r="C780" s="74">
        <v>45105.0</v>
      </c>
      <c r="D780" s="3">
        <v>3.0</v>
      </c>
      <c r="E780" s="3">
        <v>2.0</v>
      </c>
      <c r="F780" s="3">
        <f t="shared" si="1"/>
        <v>4</v>
      </c>
      <c r="G780" s="78" t="s">
        <v>2567</v>
      </c>
      <c r="H780" s="3" t="str">
        <f t="array" ref="H780">INDEX(driver_dataset!F:F,MATCH(G780,driver_dataset!A:A,0))</f>
        <v>Bike</v>
      </c>
    </row>
    <row r="781">
      <c r="A781" s="3" t="s">
        <v>3491</v>
      </c>
      <c r="B781" s="73">
        <v>45101.0</v>
      </c>
      <c r="C781" s="74">
        <v>45106.0</v>
      </c>
      <c r="D781" s="3">
        <v>13.0</v>
      </c>
      <c r="E781" s="3">
        <v>10.0</v>
      </c>
      <c r="F781" s="3">
        <f t="shared" si="1"/>
        <v>5</v>
      </c>
      <c r="G781" s="78" t="s">
        <v>2667</v>
      </c>
      <c r="H781" s="3" t="str">
        <f t="array" ref="H781">INDEX(driver_dataset!F:F,MATCH(G781,driver_dataset!A:A,0))</f>
        <v>Van</v>
      </c>
    </row>
    <row r="782">
      <c r="A782" s="3" t="s">
        <v>3492</v>
      </c>
      <c r="B782" s="73">
        <v>45101.0</v>
      </c>
      <c r="C782" s="74">
        <v>45102.0</v>
      </c>
      <c r="D782" s="3">
        <v>3.0</v>
      </c>
      <c r="E782" s="3">
        <v>1.0</v>
      </c>
      <c r="F782" s="3">
        <f t="shared" si="1"/>
        <v>1</v>
      </c>
      <c r="G782" s="78" t="s">
        <v>2516</v>
      </c>
      <c r="H782" s="3" t="str">
        <f t="array" ref="H782">INDEX(driver_dataset!F:F,MATCH(G782,driver_dataset!A:A,0))</f>
        <v>Bike</v>
      </c>
    </row>
    <row r="783">
      <c r="A783" s="3" t="s">
        <v>3493</v>
      </c>
      <c r="B783" s="73">
        <v>45101.0</v>
      </c>
      <c r="C783" s="74">
        <v>45102.0</v>
      </c>
      <c r="D783" s="3">
        <v>3.0</v>
      </c>
      <c r="E783" s="3">
        <v>1.0</v>
      </c>
      <c r="F783" s="3">
        <f t="shared" si="1"/>
        <v>1</v>
      </c>
      <c r="G783" s="78" t="s">
        <v>2617</v>
      </c>
      <c r="H783" s="3" t="str">
        <f t="array" ref="H783">INDEX(driver_dataset!F:F,MATCH(G783,driver_dataset!A:A,0))</f>
        <v>Bike</v>
      </c>
    </row>
    <row r="784">
      <c r="A784" s="3" t="s">
        <v>3494</v>
      </c>
      <c r="B784" s="73">
        <v>45101.0</v>
      </c>
      <c r="C784" s="74">
        <v>45104.0</v>
      </c>
      <c r="D784" s="3">
        <v>2.0</v>
      </c>
      <c r="E784" s="3">
        <v>3.0</v>
      </c>
      <c r="F784" s="3">
        <f t="shared" si="1"/>
        <v>3</v>
      </c>
      <c r="G784" s="3" t="s">
        <v>2527</v>
      </c>
      <c r="H784" s="3" t="str">
        <f t="array" ref="H784">INDEX(driver_dataset!F:F,MATCH(G784,driver_dataset!A:A,0))</f>
        <v>Bike</v>
      </c>
    </row>
    <row r="785">
      <c r="A785" s="3" t="s">
        <v>3495</v>
      </c>
      <c r="B785" s="73">
        <v>45101.0</v>
      </c>
      <c r="C785" s="74">
        <v>45103.0</v>
      </c>
      <c r="D785" s="3">
        <v>6.0</v>
      </c>
      <c r="E785" s="3">
        <v>3.0</v>
      </c>
      <c r="F785" s="3">
        <f t="shared" si="1"/>
        <v>2</v>
      </c>
      <c r="G785" s="78" t="s">
        <v>2602</v>
      </c>
      <c r="H785" s="3" t="str">
        <f t="array" ref="H785">INDEX(driver_dataset!F:F,MATCH(G785,driver_dataset!A:A,0))</f>
        <v>Bike</v>
      </c>
    </row>
    <row r="786">
      <c r="A786" s="3" t="s">
        <v>3496</v>
      </c>
      <c r="B786" s="73">
        <v>45101.0</v>
      </c>
      <c r="C786" s="74">
        <v>45105.0</v>
      </c>
      <c r="D786" s="3">
        <v>18.0</v>
      </c>
      <c r="E786" s="3">
        <v>4.0</v>
      </c>
      <c r="F786" s="3">
        <f t="shared" si="1"/>
        <v>4</v>
      </c>
      <c r="G786" s="78" t="s">
        <v>2667</v>
      </c>
      <c r="H786" s="3" t="str">
        <f t="array" ref="H786">INDEX(driver_dataset!F:F,MATCH(G786,driver_dataset!A:A,0))</f>
        <v>Van</v>
      </c>
    </row>
    <row r="787">
      <c r="A787" s="3" t="s">
        <v>3497</v>
      </c>
      <c r="B787" s="73">
        <v>45101.0</v>
      </c>
      <c r="C787" s="74">
        <v>45103.0</v>
      </c>
      <c r="D787" s="3">
        <v>5.0</v>
      </c>
      <c r="E787" s="3">
        <v>1.0</v>
      </c>
      <c r="F787" s="3">
        <f t="shared" si="1"/>
        <v>2</v>
      </c>
      <c r="G787" s="78" t="s">
        <v>2490</v>
      </c>
      <c r="H787" s="3" t="str">
        <f t="array" ref="H787">INDEX(driver_dataset!F:F,MATCH(G787,driver_dataset!A:A,0))</f>
        <v>Bike</v>
      </c>
    </row>
    <row r="788">
      <c r="A788" s="3" t="s">
        <v>3498</v>
      </c>
      <c r="B788" s="73">
        <v>45101.0</v>
      </c>
      <c r="C788" s="74">
        <v>45104.0</v>
      </c>
      <c r="D788" s="3">
        <v>20.0</v>
      </c>
      <c r="E788" s="3">
        <v>4.0</v>
      </c>
      <c r="F788" s="3">
        <f t="shared" si="1"/>
        <v>3</v>
      </c>
      <c r="G788" s="78" t="s">
        <v>2627</v>
      </c>
      <c r="H788" s="3" t="str">
        <f t="array" ref="H788">INDEX(driver_dataset!F:F,MATCH(G788,driver_dataset!A:A,0))</f>
        <v>Van</v>
      </c>
    </row>
    <row r="789">
      <c r="A789" s="3" t="s">
        <v>3499</v>
      </c>
      <c r="B789" s="73">
        <v>45101.0</v>
      </c>
      <c r="C789" s="74">
        <v>45102.0</v>
      </c>
      <c r="D789" s="3">
        <v>1.0</v>
      </c>
      <c r="E789" s="3">
        <v>2.0</v>
      </c>
      <c r="F789" s="3">
        <f t="shared" si="1"/>
        <v>1</v>
      </c>
      <c r="G789" s="78" t="s">
        <v>2652</v>
      </c>
      <c r="H789" s="3" t="str">
        <f t="array" ref="H789">INDEX(driver_dataset!F:F,MATCH(G789,driver_dataset!A:A,0))</f>
        <v>Bike</v>
      </c>
    </row>
    <row r="790">
      <c r="A790" s="3" t="s">
        <v>3500</v>
      </c>
      <c r="B790" s="73">
        <v>45101.0</v>
      </c>
      <c r="C790" s="74">
        <v>45102.0</v>
      </c>
      <c r="D790" s="3">
        <v>10.0</v>
      </c>
      <c r="E790" s="3">
        <v>9.0</v>
      </c>
      <c r="F790" s="3">
        <f t="shared" si="1"/>
        <v>1</v>
      </c>
      <c r="G790" s="78" t="s">
        <v>2637</v>
      </c>
      <c r="H790" s="3" t="str">
        <f t="array" ref="H790">INDEX(driver_dataset!F:F,MATCH(G790,driver_dataset!A:A,0))</f>
        <v>Van</v>
      </c>
    </row>
    <row r="791">
      <c r="A791" s="3" t="s">
        <v>3501</v>
      </c>
      <c r="B791" s="73">
        <v>45101.0</v>
      </c>
      <c r="C791" s="74">
        <v>45106.0</v>
      </c>
      <c r="D791" s="3">
        <v>3.0</v>
      </c>
      <c r="E791" s="3">
        <v>3.0</v>
      </c>
      <c r="F791" s="3">
        <f t="shared" si="1"/>
        <v>5</v>
      </c>
      <c r="G791" s="78" t="s">
        <v>2532</v>
      </c>
      <c r="H791" s="3" t="str">
        <f t="array" ref="H791">INDEX(driver_dataset!F:F,MATCH(G791,driver_dataset!A:A,0))</f>
        <v>Bike</v>
      </c>
    </row>
    <row r="792">
      <c r="A792" s="3" t="s">
        <v>3502</v>
      </c>
      <c r="B792" s="73">
        <v>45101.0</v>
      </c>
      <c r="C792" s="74">
        <v>45105.0</v>
      </c>
      <c r="D792" s="3">
        <v>2.0</v>
      </c>
      <c r="E792" s="3">
        <v>2.0</v>
      </c>
      <c r="F792" s="3">
        <f t="shared" si="1"/>
        <v>4</v>
      </c>
      <c r="G792" s="78" t="s">
        <v>2542</v>
      </c>
      <c r="H792" s="3" t="str">
        <f t="array" ref="H792">INDEX(driver_dataset!F:F,MATCH(G792,driver_dataset!A:A,0))</f>
        <v>Bike</v>
      </c>
    </row>
    <row r="793">
      <c r="A793" s="3" t="s">
        <v>3503</v>
      </c>
      <c r="B793" s="73">
        <v>45101.0</v>
      </c>
      <c r="C793" s="74">
        <v>45105.0</v>
      </c>
      <c r="D793" s="3">
        <v>1.0</v>
      </c>
      <c r="E793" s="3">
        <v>2.0</v>
      </c>
      <c r="F793" s="3">
        <f t="shared" si="1"/>
        <v>4</v>
      </c>
      <c r="G793" s="78" t="s">
        <v>2617</v>
      </c>
      <c r="H793" s="3" t="str">
        <f t="array" ref="H793">INDEX(driver_dataset!F:F,MATCH(G793,driver_dataset!A:A,0))</f>
        <v>Bike</v>
      </c>
    </row>
    <row r="794">
      <c r="A794" s="3" t="s">
        <v>3504</v>
      </c>
      <c r="B794" s="73">
        <v>45101.0</v>
      </c>
      <c r="C794" s="74">
        <v>45102.0</v>
      </c>
      <c r="D794" s="3">
        <v>4.0</v>
      </c>
      <c r="E794" s="3">
        <v>3.0</v>
      </c>
      <c r="F794" s="3">
        <f t="shared" si="1"/>
        <v>1</v>
      </c>
      <c r="G794" s="78" t="s">
        <v>2557</v>
      </c>
      <c r="H794" s="3" t="str">
        <f t="array" ref="H794">INDEX(driver_dataset!F:F,MATCH(G794,driver_dataset!A:A,0))</f>
        <v>Bike</v>
      </c>
    </row>
    <row r="795">
      <c r="A795" s="3" t="s">
        <v>3505</v>
      </c>
      <c r="B795" s="73">
        <v>45101.0</v>
      </c>
      <c r="C795" s="74">
        <v>45104.0</v>
      </c>
      <c r="D795" s="3">
        <v>10.0</v>
      </c>
      <c r="E795" s="3">
        <v>10.0</v>
      </c>
      <c r="F795" s="3">
        <f t="shared" si="1"/>
        <v>3</v>
      </c>
      <c r="G795" s="78" t="s">
        <v>2607</v>
      </c>
      <c r="H795" s="3" t="str">
        <f t="array" ref="H795">INDEX(driver_dataset!F:F,MATCH(G795,driver_dataset!A:A,0))</f>
        <v>Van</v>
      </c>
    </row>
    <row r="796">
      <c r="A796" s="3" t="s">
        <v>3506</v>
      </c>
      <c r="B796" s="73">
        <v>45101.0</v>
      </c>
      <c r="C796" s="74">
        <v>45103.0</v>
      </c>
      <c r="D796" s="3">
        <v>1.0</v>
      </c>
      <c r="E796" s="3">
        <v>3.0</v>
      </c>
      <c r="F796" s="3">
        <f t="shared" si="1"/>
        <v>2</v>
      </c>
      <c r="G796" s="78" t="s">
        <v>2652</v>
      </c>
      <c r="H796" s="3" t="str">
        <f t="array" ref="H796">INDEX(driver_dataset!F:F,MATCH(G796,driver_dataset!A:A,0))</f>
        <v>Bike</v>
      </c>
    </row>
    <row r="797">
      <c r="A797" s="3" t="s">
        <v>3507</v>
      </c>
      <c r="B797" s="73">
        <v>45101.0</v>
      </c>
      <c r="C797" s="74">
        <v>45106.0</v>
      </c>
      <c r="D797" s="3">
        <v>8.0</v>
      </c>
      <c r="E797" s="3">
        <v>10.0</v>
      </c>
      <c r="F797" s="3">
        <f t="shared" si="1"/>
        <v>5</v>
      </c>
      <c r="G797" s="78" t="s">
        <v>2484</v>
      </c>
      <c r="H797" s="3" t="str">
        <f t="array" ref="H797">INDEX(driver_dataset!F:F,MATCH(G797,driver_dataset!A:A,0))</f>
        <v>Van</v>
      </c>
    </row>
    <row r="798">
      <c r="A798" s="3" t="s">
        <v>3508</v>
      </c>
      <c r="B798" s="74">
        <v>45102.0</v>
      </c>
      <c r="C798" s="74">
        <v>45104.0</v>
      </c>
      <c r="D798" s="3">
        <v>5.0</v>
      </c>
      <c r="E798" s="3">
        <v>2.0</v>
      </c>
      <c r="F798" s="3">
        <f t="shared" si="1"/>
        <v>2</v>
      </c>
      <c r="G798" s="78" t="s">
        <v>2612</v>
      </c>
      <c r="H798" s="3" t="str">
        <f t="array" ref="H798">INDEX(driver_dataset!F:F,MATCH(G798,driver_dataset!A:A,0))</f>
        <v>Bike</v>
      </c>
    </row>
    <row r="799">
      <c r="A799" s="3" t="s">
        <v>3509</v>
      </c>
      <c r="B799" s="74">
        <v>45102.0</v>
      </c>
      <c r="C799" s="74">
        <v>45105.0</v>
      </c>
      <c r="D799" s="3">
        <v>9.0</v>
      </c>
      <c r="E799" s="3">
        <v>6.0</v>
      </c>
      <c r="F799" s="3">
        <f t="shared" si="1"/>
        <v>3</v>
      </c>
      <c r="G799" s="78" t="s">
        <v>2637</v>
      </c>
      <c r="H799" s="3" t="str">
        <f t="array" ref="H799">INDEX(driver_dataset!F:F,MATCH(G799,driver_dataset!A:A,0))</f>
        <v>Van</v>
      </c>
    </row>
    <row r="800">
      <c r="A800" s="3" t="s">
        <v>3510</v>
      </c>
      <c r="B800" s="73">
        <v>45102.0</v>
      </c>
      <c r="C800" s="74">
        <v>45103.0</v>
      </c>
      <c r="D800" s="3">
        <v>2.0</v>
      </c>
      <c r="E800" s="3">
        <v>2.0</v>
      </c>
      <c r="F800" s="3">
        <f t="shared" si="1"/>
        <v>1</v>
      </c>
      <c r="G800" s="78" t="s">
        <v>2612</v>
      </c>
      <c r="H800" s="3" t="str">
        <f t="array" ref="H800">INDEX(driver_dataset!F:F,MATCH(G800,driver_dataset!A:A,0))</f>
        <v>Bike</v>
      </c>
    </row>
    <row r="801">
      <c r="A801" s="3" t="s">
        <v>3511</v>
      </c>
      <c r="B801" s="73">
        <v>45102.0</v>
      </c>
      <c r="C801" s="74">
        <v>45105.0</v>
      </c>
      <c r="D801" s="3">
        <v>4.0</v>
      </c>
      <c r="E801" s="3">
        <v>1.0</v>
      </c>
      <c r="F801" s="3">
        <f t="shared" si="1"/>
        <v>3</v>
      </c>
      <c r="G801" s="78" t="s">
        <v>2562</v>
      </c>
      <c r="H801" s="3" t="str">
        <f t="array" ref="H801">INDEX(driver_dataset!F:F,MATCH(G801,driver_dataset!A:A,0))</f>
        <v>Bike</v>
      </c>
    </row>
    <row r="802">
      <c r="A802" s="3" t="s">
        <v>3512</v>
      </c>
      <c r="B802" s="73">
        <v>45102.0</v>
      </c>
      <c r="C802" s="74">
        <v>45105.0</v>
      </c>
      <c r="D802" s="3">
        <v>13.0</v>
      </c>
      <c r="E802" s="3">
        <v>4.0</v>
      </c>
      <c r="F802" s="3">
        <f t="shared" si="1"/>
        <v>3</v>
      </c>
      <c r="G802" s="78" t="s">
        <v>2484</v>
      </c>
      <c r="H802" s="3" t="str">
        <f t="array" ref="H802">INDEX(driver_dataset!F:F,MATCH(G802,driver_dataset!A:A,0))</f>
        <v>Van</v>
      </c>
    </row>
    <row r="803">
      <c r="A803" s="3" t="s">
        <v>3513</v>
      </c>
      <c r="B803" s="73">
        <v>45102.0</v>
      </c>
      <c r="C803" s="74">
        <v>45106.0</v>
      </c>
      <c r="D803" s="3">
        <v>3.0</v>
      </c>
      <c r="E803" s="3">
        <v>2.0</v>
      </c>
      <c r="F803" s="3">
        <f t="shared" si="1"/>
        <v>4</v>
      </c>
      <c r="G803" s="78" t="s">
        <v>2632</v>
      </c>
      <c r="H803" s="3" t="str">
        <f t="array" ref="H803">INDEX(driver_dataset!F:F,MATCH(G803,driver_dataset!A:A,0))</f>
        <v>Bike</v>
      </c>
    </row>
    <row r="804">
      <c r="A804" s="3" t="s">
        <v>3514</v>
      </c>
      <c r="B804" s="73">
        <v>45102.0</v>
      </c>
      <c r="C804" s="74">
        <v>45105.0</v>
      </c>
      <c r="D804" s="3">
        <v>6.0</v>
      </c>
      <c r="E804" s="3">
        <v>2.0</v>
      </c>
      <c r="F804" s="3">
        <f t="shared" si="1"/>
        <v>3</v>
      </c>
      <c r="G804" s="78" t="s">
        <v>2567</v>
      </c>
      <c r="H804" s="3" t="str">
        <f t="array" ref="H804">INDEX(driver_dataset!F:F,MATCH(G804,driver_dataset!A:A,0))</f>
        <v>Bike</v>
      </c>
    </row>
    <row r="805">
      <c r="A805" s="3" t="s">
        <v>3515</v>
      </c>
      <c r="B805" s="73">
        <v>45102.0</v>
      </c>
      <c r="C805" s="74">
        <v>45104.0</v>
      </c>
      <c r="D805" s="3">
        <v>20.0</v>
      </c>
      <c r="E805" s="3">
        <v>10.0</v>
      </c>
      <c r="F805" s="3">
        <f t="shared" si="1"/>
        <v>2</v>
      </c>
      <c r="G805" s="78" t="s">
        <v>2537</v>
      </c>
      <c r="H805" s="3" t="str">
        <f t="array" ref="H805">INDEX(driver_dataset!F:F,MATCH(G805,driver_dataset!A:A,0))</f>
        <v>Van</v>
      </c>
    </row>
    <row r="806">
      <c r="A806" s="3" t="s">
        <v>3516</v>
      </c>
      <c r="B806" s="73">
        <v>45102.0</v>
      </c>
      <c r="C806" s="74">
        <v>45104.0</v>
      </c>
      <c r="D806" s="3">
        <v>6.0</v>
      </c>
      <c r="E806" s="3">
        <v>2.0</v>
      </c>
      <c r="F806" s="3">
        <f t="shared" si="1"/>
        <v>2</v>
      </c>
      <c r="G806" s="78" t="s">
        <v>2516</v>
      </c>
      <c r="H806" s="3" t="str">
        <f t="array" ref="H806">INDEX(driver_dataset!F:F,MATCH(G806,driver_dataset!A:A,0))</f>
        <v>Bike</v>
      </c>
    </row>
    <row r="807">
      <c r="A807" s="3" t="s">
        <v>3517</v>
      </c>
      <c r="B807" s="73">
        <v>45102.0</v>
      </c>
      <c r="C807" s="74">
        <v>45104.0</v>
      </c>
      <c r="D807" s="3">
        <v>1.0</v>
      </c>
      <c r="E807" s="3">
        <v>2.0</v>
      </c>
      <c r="F807" s="3">
        <f t="shared" si="1"/>
        <v>2</v>
      </c>
      <c r="G807" s="78" t="s">
        <v>2622</v>
      </c>
      <c r="H807" s="3" t="str">
        <f t="array" ref="H807">INDEX(driver_dataset!F:F,MATCH(G807,driver_dataset!A:A,0))</f>
        <v>Bike</v>
      </c>
    </row>
    <row r="808">
      <c r="A808" s="3" t="s">
        <v>3518</v>
      </c>
      <c r="B808" s="73">
        <v>45102.0</v>
      </c>
      <c r="C808" s="74">
        <v>45105.0</v>
      </c>
      <c r="D808" s="3">
        <v>5.0</v>
      </c>
      <c r="E808" s="3">
        <v>3.0</v>
      </c>
      <c r="F808" s="3">
        <f t="shared" si="1"/>
        <v>3</v>
      </c>
      <c r="G808" s="78" t="s">
        <v>2612</v>
      </c>
      <c r="H808" s="3" t="str">
        <f t="array" ref="H808">INDEX(driver_dataset!F:F,MATCH(G808,driver_dataset!A:A,0))</f>
        <v>Bike</v>
      </c>
    </row>
    <row r="809">
      <c r="A809" s="3" t="s">
        <v>3519</v>
      </c>
      <c r="B809" s="73">
        <v>45102.0</v>
      </c>
      <c r="C809" s="74">
        <v>45104.0</v>
      </c>
      <c r="D809" s="3">
        <v>5.0</v>
      </c>
      <c r="E809" s="3">
        <v>3.0</v>
      </c>
      <c r="F809" s="3">
        <f t="shared" si="1"/>
        <v>2</v>
      </c>
      <c r="G809" s="78" t="s">
        <v>2647</v>
      </c>
      <c r="H809" s="3" t="str">
        <f t="array" ref="H809">INDEX(driver_dataset!F:F,MATCH(G809,driver_dataset!A:A,0))</f>
        <v>Bike</v>
      </c>
    </row>
    <row r="810">
      <c r="A810" s="3" t="s">
        <v>3520</v>
      </c>
      <c r="B810" s="73">
        <v>45102.0</v>
      </c>
      <c r="C810" s="74">
        <v>45105.0</v>
      </c>
      <c r="D810" s="3">
        <v>12.0</v>
      </c>
      <c r="E810" s="3">
        <v>6.0</v>
      </c>
      <c r="F810" s="3">
        <f t="shared" si="1"/>
        <v>3</v>
      </c>
      <c r="G810" s="78" t="s">
        <v>2484</v>
      </c>
      <c r="H810" s="3" t="str">
        <f t="array" ref="H810">INDEX(driver_dataset!F:F,MATCH(G810,driver_dataset!A:A,0))</f>
        <v>Van</v>
      </c>
    </row>
    <row r="811">
      <c r="A811" s="3" t="s">
        <v>3521</v>
      </c>
      <c r="B811" s="73">
        <v>45102.0</v>
      </c>
      <c r="C811" s="74">
        <v>45103.0</v>
      </c>
      <c r="D811" s="3">
        <v>6.0</v>
      </c>
      <c r="E811" s="3">
        <v>2.0</v>
      </c>
      <c r="F811" s="3">
        <f t="shared" si="1"/>
        <v>1</v>
      </c>
      <c r="G811" s="78" t="s">
        <v>2532</v>
      </c>
      <c r="H811" s="3" t="str">
        <f t="array" ref="H811">INDEX(driver_dataset!F:F,MATCH(G811,driver_dataset!A:A,0))</f>
        <v>Bike</v>
      </c>
    </row>
    <row r="812">
      <c r="A812" s="3" t="s">
        <v>3522</v>
      </c>
      <c r="B812" s="73">
        <v>45102.0</v>
      </c>
      <c r="C812" s="74">
        <v>45106.0</v>
      </c>
      <c r="D812" s="3">
        <v>19.0</v>
      </c>
      <c r="E812" s="3">
        <v>5.0</v>
      </c>
      <c r="F812" s="3">
        <f t="shared" si="1"/>
        <v>4</v>
      </c>
      <c r="G812" s="78" t="s">
        <v>2667</v>
      </c>
      <c r="H812" s="3" t="str">
        <f t="array" ref="H812">INDEX(driver_dataset!F:F,MATCH(G812,driver_dataset!A:A,0))</f>
        <v>Van</v>
      </c>
    </row>
    <row r="813">
      <c r="A813" s="3" t="s">
        <v>3523</v>
      </c>
      <c r="B813" s="73">
        <v>45102.0</v>
      </c>
      <c r="C813" s="74">
        <v>45104.0</v>
      </c>
      <c r="D813" s="3">
        <v>11.0</v>
      </c>
      <c r="E813" s="3">
        <v>7.0</v>
      </c>
      <c r="F813" s="3">
        <f t="shared" si="1"/>
        <v>2</v>
      </c>
      <c r="G813" s="78" t="s">
        <v>2484</v>
      </c>
      <c r="H813" s="3" t="str">
        <f t="array" ref="H813">INDEX(driver_dataset!F:F,MATCH(G813,driver_dataset!A:A,0))</f>
        <v>Van</v>
      </c>
    </row>
    <row r="814">
      <c r="A814" s="3" t="s">
        <v>3524</v>
      </c>
      <c r="B814" s="73">
        <v>45102.0</v>
      </c>
      <c r="C814" s="74">
        <v>45104.0</v>
      </c>
      <c r="D814" s="3">
        <v>4.0</v>
      </c>
      <c r="E814" s="3">
        <v>3.0</v>
      </c>
      <c r="F814" s="3">
        <f t="shared" si="1"/>
        <v>2</v>
      </c>
      <c r="G814" s="78" t="s">
        <v>2506</v>
      </c>
      <c r="H814" s="3" t="str">
        <f t="array" ref="H814">INDEX(driver_dataset!F:F,MATCH(G814,driver_dataset!A:A,0))</f>
        <v>Bike</v>
      </c>
    </row>
    <row r="815">
      <c r="A815" s="3" t="s">
        <v>3525</v>
      </c>
      <c r="B815" s="73">
        <v>45102.0</v>
      </c>
      <c r="C815" s="74">
        <v>45104.0</v>
      </c>
      <c r="D815" s="3">
        <v>2.0</v>
      </c>
      <c r="E815" s="3">
        <v>3.0</v>
      </c>
      <c r="F815" s="3">
        <f t="shared" si="1"/>
        <v>2</v>
      </c>
      <c r="G815" s="78" t="s">
        <v>2602</v>
      </c>
      <c r="H815" s="3" t="str">
        <f t="array" ref="H815">INDEX(driver_dataset!F:F,MATCH(G815,driver_dataset!A:A,0))</f>
        <v>Bike</v>
      </c>
    </row>
    <row r="816">
      <c r="A816" s="3" t="s">
        <v>3526</v>
      </c>
      <c r="B816" s="73">
        <v>45102.0</v>
      </c>
      <c r="C816" s="74">
        <v>45103.0</v>
      </c>
      <c r="D816" s="3">
        <v>2.0</v>
      </c>
      <c r="E816" s="3">
        <v>1.0</v>
      </c>
      <c r="F816" s="3">
        <f t="shared" si="1"/>
        <v>1</v>
      </c>
      <c r="G816" s="78" t="s">
        <v>2496</v>
      </c>
      <c r="H816" s="3" t="str">
        <f t="array" ref="H816">INDEX(driver_dataset!F:F,MATCH(G816,driver_dataset!A:A,0))</f>
        <v>Bike</v>
      </c>
    </row>
    <row r="817">
      <c r="A817" s="3" t="s">
        <v>3527</v>
      </c>
      <c r="B817" s="73">
        <v>45102.0</v>
      </c>
      <c r="C817" s="74">
        <v>45106.0</v>
      </c>
      <c r="D817" s="3">
        <v>6.0</v>
      </c>
      <c r="E817" s="3">
        <v>3.0</v>
      </c>
      <c r="F817" s="3">
        <f t="shared" si="1"/>
        <v>4</v>
      </c>
      <c r="G817" s="78" t="s">
        <v>2490</v>
      </c>
      <c r="H817" s="3" t="str">
        <f t="array" ref="H817">INDEX(driver_dataset!F:F,MATCH(G817,driver_dataset!A:A,0))</f>
        <v>Bike</v>
      </c>
    </row>
    <row r="818">
      <c r="A818" s="3" t="s">
        <v>3528</v>
      </c>
      <c r="B818" s="73">
        <v>45102.0</v>
      </c>
      <c r="C818" s="74">
        <v>45104.0</v>
      </c>
      <c r="D818" s="3">
        <v>3.0</v>
      </c>
      <c r="E818" s="3">
        <v>2.0</v>
      </c>
      <c r="F818" s="3">
        <f t="shared" si="1"/>
        <v>2</v>
      </c>
      <c r="G818" s="78" t="s">
        <v>2612</v>
      </c>
      <c r="H818" s="3" t="str">
        <f t="array" ref="H818">INDEX(driver_dataset!F:F,MATCH(G818,driver_dataset!A:A,0))</f>
        <v>Bike</v>
      </c>
    </row>
    <row r="819">
      <c r="A819" s="3" t="s">
        <v>3529</v>
      </c>
      <c r="B819" s="73">
        <v>45102.0</v>
      </c>
      <c r="C819" s="74">
        <v>45106.0</v>
      </c>
      <c r="D819" s="3">
        <v>18.0</v>
      </c>
      <c r="E819" s="3">
        <v>4.0</v>
      </c>
      <c r="F819" s="3">
        <f t="shared" si="1"/>
        <v>4</v>
      </c>
      <c r="G819" s="78" t="s">
        <v>2637</v>
      </c>
      <c r="H819" s="3" t="str">
        <f t="array" ref="H819">INDEX(driver_dataset!F:F,MATCH(G819,driver_dataset!A:A,0))</f>
        <v>Van</v>
      </c>
    </row>
    <row r="820">
      <c r="A820" s="3" t="s">
        <v>3530</v>
      </c>
      <c r="B820" s="73">
        <v>45102.0</v>
      </c>
      <c r="C820" s="74">
        <v>45104.0</v>
      </c>
      <c r="D820" s="3">
        <v>6.0</v>
      </c>
      <c r="E820" s="3">
        <v>3.0</v>
      </c>
      <c r="F820" s="3">
        <f t="shared" si="1"/>
        <v>2</v>
      </c>
      <c r="G820" s="78" t="s">
        <v>2516</v>
      </c>
      <c r="H820" s="3" t="str">
        <f t="array" ref="H820">INDEX(driver_dataset!F:F,MATCH(G820,driver_dataset!A:A,0))</f>
        <v>Bike</v>
      </c>
    </row>
    <row r="821">
      <c r="A821" s="3" t="s">
        <v>3531</v>
      </c>
      <c r="B821" s="73">
        <v>45102.0</v>
      </c>
      <c r="C821" s="74">
        <v>45106.0</v>
      </c>
      <c r="D821" s="3">
        <v>3.0</v>
      </c>
      <c r="E821" s="3">
        <v>2.0</v>
      </c>
      <c r="F821" s="3">
        <f t="shared" si="1"/>
        <v>4</v>
      </c>
      <c r="G821" s="78" t="s">
        <v>2532</v>
      </c>
      <c r="H821" s="3" t="str">
        <f t="array" ref="H821">INDEX(driver_dataset!F:F,MATCH(G821,driver_dataset!A:A,0))</f>
        <v>Bike</v>
      </c>
    </row>
    <row r="822">
      <c r="A822" s="3" t="s">
        <v>3532</v>
      </c>
      <c r="B822" s="73">
        <v>45102.0</v>
      </c>
      <c r="C822" s="74">
        <v>45106.0</v>
      </c>
      <c r="D822" s="3">
        <v>18.0</v>
      </c>
      <c r="E822" s="3">
        <v>7.0</v>
      </c>
      <c r="F822" s="3">
        <f t="shared" si="1"/>
        <v>4</v>
      </c>
      <c r="G822" s="78" t="s">
        <v>2501</v>
      </c>
      <c r="H822" s="3" t="str">
        <f t="array" ref="H822">INDEX(driver_dataset!F:F,MATCH(G822,driver_dataset!A:A,0))</f>
        <v>Van</v>
      </c>
    </row>
    <row r="823">
      <c r="A823" s="3" t="s">
        <v>3533</v>
      </c>
      <c r="B823" s="73">
        <v>45102.0</v>
      </c>
      <c r="C823" s="74">
        <v>45103.0</v>
      </c>
      <c r="D823" s="3">
        <v>15.0</v>
      </c>
      <c r="E823" s="3">
        <v>8.0</v>
      </c>
      <c r="F823" s="3">
        <f t="shared" si="1"/>
        <v>1</v>
      </c>
      <c r="G823" s="78" t="s">
        <v>2662</v>
      </c>
      <c r="H823" s="3" t="str">
        <f t="array" ref="H823">INDEX(driver_dataset!F:F,MATCH(G823,driver_dataset!A:A,0))</f>
        <v>Van</v>
      </c>
    </row>
    <row r="824">
      <c r="A824" s="3" t="s">
        <v>3534</v>
      </c>
      <c r="B824" s="73">
        <v>45102.0</v>
      </c>
      <c r="C824" s="74">
        <v>45104.0</v>
      </c>
      <c r="D824" s="3">
        <v>2.0</v>
      </c>
      <c r="E824" s="3">
        <v>1.0</v>
      </c>
      <c r="F824" s="3">
        <f t="shared" si="1"/>
        <v>2</v>
      </c>
      <c r="G824" s="78" t="s">
        <v>2490</v>
      </c>
      <c r="H824" s="3" t="str">
        <f t="array" ref="H824">INDEX(driver_dataset!F:F,MATCH(G824,driver_dataset!A:A,0))</f>
        <v>Bike</v>
      </c>
    </row>
    <row r="825">
      <c r="A825" s="3" t="s">
        <v>3535</v>
      </c>
      <c r="B825" s="73">
        <v>45102.0</v>
      </c>
      <c r="C825" s="74">
        <v>45103.0</v>
      </c>
      <c r="D825" s="3">
        <v>19.0</v>
      </c>
      <c r="E825" s="3">
        <v>7.0</v>
      </c>
      <c r="F825" s="3">
        <f t="shared" si="1"/>
        <v>1</v>
      </c>
      <c r="G825" s="78" t="s">
        <v>2627</v>
      </c>
      <c r="H825" s="3" t="str">
        <f t="array" ref="H825">INDEX(driver_dataset!F:F,MATCH(G825,driver_dataset!A:A,0))</f>
        <v>Van</v>
      </c>
    </row>
    <row r="826">
      <c r="A826" s="3" t="s">
        <v>3536</v>
      </c>
      <c r="B826" s="73">
        <v>45102.0</v>
      </c>
      <c r="C826" s="74">
        <v>45103.0</v>
      </c>
      <c r="D826" s="3">
        <v>12.0</v>
      </c>
      <c r="E826" s="3">
        <v>5.0</v>
      </c>
      <c r="F826" s="3">
        <f t="shared" si="1"/>
        <v>1</v>
      </c>
      <c r="G826" s="78" t="s">
        <v>2672</v>
      </c>
      <c r="H826" s="3" t="str">
        <f t="array" ref="H826">INDEX(driver_dataset!F:F,MATCH(G826,driver_dataset!A:A,0))</f>
        <v>Van</v>
      </c>
    </row>
    <row r="827">
      <c r="A827" s="3" t="s">
        <v>3537</v>
      </c>
      <c r="B827" s="74">
        <v>45103.0</v>
      </c>
      <c r="C827" s="74">
        <v>45105.0</v>
      </c>
      <c r="D827" s="3">
        <v>11.0</v>
      </c>
      <c r="E827" s="3">
        <v>4.0</v>
      </c>
      <c r="F827" s="3">
        <f t="shared" si="1"/>
        <v>2</v>
      </c>
      <c r="G827" s="78" t="s">
        <v>2667</v>
      </c>
      <c r="H827" s="3" t="str">
        <f t="array" ref="H827">INDEX(driver_dataset!F:F,MATCH(G827,driver_dataset!A:A,0))</f>
        <v>Van</v>
      </c>
    </row>
    <row r="828">
      <c r="A828" s="3" t="s">
        <v>3538</v>
      </c>
      <c r="B828" s="73">
        <v>45103.0</v>
      </c>
      <c r="C828" s="74">
        <v>45104.0</v>
      </c>
      <c r="D828" s="3">
        <v>6.0</v>
      </c>
      <c r="E828" s="3">
        <v>1.0</v>
      </c>
      <c r="F828" s="3">
        <f t="shared" si="1"/>
        <v>1</v>
      </c>
      <c r="G828" s="78" t="s">
        <v>2592</v>
      </c>
      <c r="H828" s="3" t="str">
        <f t="array" ref="H828">INDEX(driver_dataset!F:F,MATCH(G828,driver_dataset!A:A,0))</f>
        <v>Bike</v>
      </c>
    </row>
    <row r="829">
      <c r="A829" s="3" t="s">
        <v>3539</v>
      </c>
      <c r="B829" s="73">
        <v>45103.0</v>
      </c>
      <c r="C829" s="74">
        <v>45106.0</v>
      </c>
      <c r="D829" s="3">
        <v>13.0</v>
      </c>
      <c r="E829" s="3">
        <v>5.0</v>
      </c>
      <c r="F829" s="3">
        <f t="shared" si="1"/>
        <v>3</v>
      </c>
      <c r="G829" s="3" t="s">
        <v>2587</v>
      </c>
      <c r="H829" s="3" t="str">
        <f t="array" ref="H829">INDEX(driver_dataset!F:F,MATCH(G829,driver_dataset!A:A,0))</f>
        <v>Van</v>
      </c>
    </row>
    <row r="830">
      <c r="A830" s="3" t="s">
        <v>3540</v>
      </c>
      <c r="B830" s="73">
        <v>45103.0</v>
      </c>
      <c r="C830" s="74">
        <v>45106.0</v>
      </c>
      <c r="D830" s="3">
        <v>13.0</v>
      </c>
      <c r="E830" s="3">
        <v>7.0</v>
      </c>
      <c r="F830" s="3">
        <f t="shared" si="1"/>
        <v>3</v>
      </c>
      <c r="G830" s="78" t="s">
        <v>2627</v>
      </c>
      <c r="H830" s="3" t="str">
        <f t="array" ref="H830">INDEX(driver_dataset!F:F,MATCH(G830,driver_dataset!A:A,0))</f>
        <v>Van</v>
      </c>
    </row>
    <row r="831">
      <c r="A831" s="3" t="s">
        <v>3541</v>
      </c>
      <c r="B831" s="73">
        <v>45103.0</v>
      </c>
      <c r="C831" s="74">
        <v>45108.0</v>
      </c>
      <c r="D831" s="3">
        <v>10.0</v>
      </c>
      <c r="E831" s="3">
        <v>10.0</v>
      </c>
      <c r="F831" s="3">
        <f t="shared" si="1"/>
        <v>5</v>
      </c>
      <c r="G831" s="78" t="s">
        <v>2672</v>
      </c>
      <c r="H831" s="3" t="str">
        <f t="array" ref="H831">INDEX(driver_dataset!F:F,MATCH(G831,driver_dataset!A:A,0))</f>
        <v>Van</v>
      </c>
    </row>
    <row r="832">
      <c r="A832" s="3" t="s">
        <v>3542</v>
      </c>
      <c r="B832" s="73">
        <v>45103.0</v>
      </c>
      <c r="C832" s="74">
        <v>45108.0</v>
      </c>
      <c r="D832" s="3">
        <v>1.0</v>
      </c>
      <c r="E832" s="3">
        <v>3.0</v>
      </c>
      <c r="F832" s="3">
        <f t="shared" si="1"/>
        <v>5</v>
      </c>
      <c r="G832" s="78" t="s">
        <v>2532</v>
      </c>
      <c r="H832" s="3" t="str">
        <f t="array" ref="H832">INDEX(driver_dataset!F:F,MATCH(G832,driver_dataset!A:A,0))</f>
        <v>Bike</v>
      </c>
    </row>
    <row r="833">
      <c r="A833" s="3" t="s">
        <v>3543</v>
      </c>
      <c r="B833" s="73">
        <v>45103.0</v>
      </c>
      <c r="C833" s="74">
        <v>45106.0</v>
      </c>
      <c r="D833" s="3">
        <v>3.0</v>
      </c>
      <c r="E833" s="3">
        <v>1.0</v>
      </c>
      <c r="F833" s="3">
        <f t="shared" si="1"/>
        <v>3</v>
      </c>
      <c r="G833" s="78" t="s">
        <v>2652</v>
      </c>
      <c r="H833" s="3" t="str">
        <f t="array" ref="H833">INDEX(driver_dataset!F:F,MATCH(G833,driver_dataset!A:A,0))</f>
        <v>Bike</v>
      </c>
    </row>
    <row r="834">
      <c r="A834" s="3" t="s">
        <v>3544</v>
      </c>
      <c r="B834" s="73">
        <v>45103.0</v>
      </c>
      <c r="C834" s="74">
        <v>45105.0</v>
      </c>
      <c r="D834" s="3">
        <v>20.0</v>
      </c>
      <c r="E834" s="3">
        <v>9.0</v>
      </c>
      <c r="F834" s="3">
        <f t="shared" si="1"/>
        <v>2</v>
      </c>
      <c r="G834" s="78" t="s">
        <v>2484</v>
      </c>
      <c r="H834" s="3" t="str">
        <f t="array" ref="H834">INDEX(driver_dataset!F:F,MATCH(G834,driver_dataset!A:A,0))</f>
        <v>Van</v>
      </c>
    </row>
    <row r="835">
      <c r="A835" s="3" t="s">
        <v>3545</v>
      </c>
      <c r="B835" s="73">
        <v>45103.0</v>
      </c>
      <c r="C835" s="74">
        <v>45106.0</v>
      </c>
      <c r="D835" s="3">
        <v>2.0</v>
      </c>
      <c r="E835" s="3">
        <v>2.0</v>
      </c>
      <c r="F835" s="3">
        <f t="shared" si="1"/>
        <v>3</v>
      </c>
      <c r="G835" s="78" t="s">
        <v>2602</v>
      </c>
      <c r="H835" s="3" t="str">
        <f t="array" ref="H835">INDEX(driver_dataset!F:F,MATCH(G835,driver_dataset!A:A,0))</f>
        <v>Bike</v>
      </c>
    </row>
    <row r="836">
      <c r="A836" s="3" t="s">
        <v>3546</v>
      </c>
      <c r="B836" s="73">
        <v>45103.0</v>
      </c>
      <c r="C836" s="74">
        <v>45105.0</v>
      </c>
      <c r="D836" s="3">
        <v>9.0</v>
      </c>
      <c r="E836" s="3">
        <v>5.0</v>
      </c>
      <c r="F836" s="3">
        <f t="shared" si="1"/>
        <v>2</v>
      </c>
      <c r="G836" s="78" t="s">
        <v>2537</v>
      </c>
      <c r="H836" s="3" t="str">
        <f t="array" ref="H836">INDEX(driver_dataset!F:F,MATCH(G836,driver_dataset!A:A,0))</f>
        <v>Van</v>
      </c>
    </row>
    <row r="837">
      <c r="A837" s="3" t="s">
        <v>3547</v>
      </c>
      <c r="B837" s="73">
        <v>45103.0</v>
      </c>
      <c r="C837" s="74">
        <v>45108.0</v>
      </c>
      <c r="D837" s="3">
        <v>6.0</v>
      </c>
      <c r="E837" s="3">
        <v>2.0</v>
      </c>
      <c r="F837" s="3">
        <f t="shared" si="1"/>
        <v>5</v>
      </c>
      <c r="G837" s="78" t="s">
        <v>2577</v>
      </c>
      <c r="H837" s="3" t="str">
        <f t="array" ref="H837">INDEX(driver_dataset!F:F,MATCH(G837,driver_dataset!A:A,0))</f>
        <v>Bike</v>
      </c>
    </row>
    <row r="838">
      <c r="A838" s="3" t="s">
        <v>3548</v>
      </c>
      <c r="B838" s="73">
        <v>45103.0</v>
      </c>
      <c r="C838" s="74">
        <v>45105.0</v>
      </c>
      <c r="D838" s="3">
        <v>6.0</v>
      </c>
      <c r="E838" s="3">
        <v>2.0</v>
      </c>
      <c r="F838" s="3">
        <f t="shared" si="1"/>
        <v>2</v>
      </c>
      <c r="G838" s="78" t="s">
        <v>2652</v>
      </c>
      <c r="H838" s="3" t="str">
        <f t="array" ref="H838">INDEX(driver_dataset!F:F,MATCH(G838,driver_dataset!A:A,0))</f>
        <v>Bike</v>
      </c>
    </row>
    <row r="839">
      <c r="A839" s="3" t="s">
        <v>3549</v>
      </c>
      <c r="B839" s="73">
        <v>45103.0</v>
      </c>
      <c r="C839" s="74">
        <v>45105.0</v>
      </c>
      <c r="D839" s="3">
        <v>5.0</v>
      </c>
      <c r="E839" s="3">
        <v>1.0</v>
      </c>
      <c r="F839" s="3">
        <f t="shared" si="1"/>
        <v>2</v>
      </c>
      <c r="G839" s="78" t="s">
        <v>2557</v>
      </c>
      <c r="H839" s="3" t="str">
        <f t="array" ref="H839">INDEX(driver_dataset!F:F,MATCH(G839,driver_dataset!A:A,0))</f>
        <v>Bike</v>
      </c>
    </row>
    <row r="840">
      <c r="A840" s="3" t="s">
        <v>3550</v>
      </c>
      <c r="B840" s="73">
        <v>45103.0</v>
      </c>
      <c r="C840" s="74">
        <v>45105.0</v>
      </c>
      <c r="D840" s="3">
        <v>14.0</v>
      </c>
      <c r="E840" s="3">
        <v>6.0</v>
      </c>
      <c r="F840" s="3">
        <f t="shared" si="1"/>
        <v>2</v>
      </c>
      <c r="G840" s="78" t="s">
        <v>2672</v>
      </c>
      <c r="H840" s="3" t="str">
        <f t="array" ref="H840">INDEX(driver_dataset!F:F,MATCH(G840,driver_dataset!A:A,0))</f>
        <v>Van</v>
      </c>
    </row>
    <row r="841">
      <c r="A841" s="3" t="s">
        <v>3551</v>
      </c>
      <c r="B841" s="73">
        <v>45103.0</v>
      </c>
      <c r="C841" s="74">
        <v>45104.0</v>
      </c>
      <c r="D841" s="3">
        <v>7.0</v>
      </c>
      <c r="E841" s="3">
        <v>8.0</v>
      </c>
      <c r="F841" s="3">
        <f t="shared" si="1"/>
        <v>1</v>
      </c>
      <c r="G841" s="78" t="s">
        <v>2484</v>
      </c>
      <c r="H841" s="3" t="str">
        <f t="array" ref="H841">INDEX(driver_dataset!F:F,MATCH(G841,driver_dataset!A:A,0))</f>
        <v>Van</v>
      </c>
    </row>
    <row r="842">
      <c r="A842" s="3" t="s">
        <v>3552</v>
      </c>
      <c r="B842" s="73">
        <v>45103.0</v>
      </c>
      <c r="C842" s="74">
        <v>45104.0</v>
      </c>
      <c r="D842" s="3">
        <v>6.0</v>
      </c>
      <c r="E842" s="3">
        <v>3.0</v>
      </c>
      <c r="F842" s="3">
        <f t="shared" si="1"/>
        <v>1</v>
      </c>
      <c r="G842" s="78" t="s">
        <v>2647</v>
      </c>
      <c r="H842" s="3" t="str">
        <f t="array" ref="H842">INDEX(driver_dataset!F:F,MATCH(G842,driver_dataset!A:A,0))</f>
        <v>Bike</v>
      </c>
    </row>
    <row r="843">
      <c r="A843" s="3" t="s">
        <v>3553</v>
      </c>
      <c r="B843" s="73">
        <v>45103.0</v>
      </c>
      <c r="C843" s="74">
        <v>45105.0</v>
      </c>
      <c r="D843" s="3">
        <v>3.0</v>
      </c>
      <c r="E843" s="3">
        <v>1.0</v>
      </c>
      <c r="F843" s="3">
        <f t="shared" si="1"/>
        <v>2</v>
      </c>
      <c r="G843" s="78" t="s">
        <v>2506</v>
      </c>
      <c r="H843" s="3" t="str">
        <f t="array" ref="H843">INDEX(driver_dataset!F:F,MATCH(G843,driver_dataset!A:A,0))</f>
        <v>Bike</v>
      </c>
    </row>
    <row r="844">
      <c r="A844" s="3" t="s">
        <v>3554</v>
      </c>
      <c r="B844" s="73">
        <v>45103.0</v>
      </c>
      <c r="C844" s="74">
        <v>45105.0</v>
      </c>
      <c r="D844" s="3">
        <v>13.0</v>
      </c>
      <c r="E844" s="3">
        <v>4.0</v>
      </c>
      <c r="F844" s="3">
        <f t="shared" si="1"/>
        <v>2</v>
      </c>
      <c r="G844" s="78" t="s">
        <v>2637</v>
      </c>
      <c r="H844" s="3" t="str">
        <f t="array" ref="H844">INDEX(driver_dataset!F:F,MATCH(G844,driver_dataset!A:A,0))</f>
        <v>Van</v>
      </c>
    </row>
    <row r="845">
      <c r="A845" s="3" t="s">
        <v>3555</v>
      </c>
      <c r="B845" s="73">
        <v>45103.0</v>
      </c>
      <c r="C845" s="74">
        <v>45104.0</v>
      </c>
      <c r="D845" s="3">
        <v>6.0</v>
      </c>
      <c r="E845" s="3">
        <v>1.0</v>
      </c>
      <c r="F845" s="3">
        <f t="shared" si="1"/>
        <v>1</v>
      </c>
      <c r="G845" s="78" t="s">
        <v>2647</v>
      </c>
      <c r="H845" s="3" t="str">
        <f t="array" ref="H845">INDEX(driver_dataset!F:F,MATCH(G845,driver_dataset!A:A,0))</f>
        <v>Bike</v>
      </c>
    </row>
    <row r="846">
      <c r="A846" s="3" t="s">
        <v>3556</v>
      </c>
      <c r="B846" s="73">
        <v>45103.0</v>
      </c>
      <c r="C846" s="74">
        <v>45105.0</v>
      </c>
      <c r="D846" s="3">
        <v>2.0</v>
      </c>
      <c r="E846" s="3">
        <v>2.0</v>
      </c>
      <c r="F846" s="3">
        <f t="shared" si="1"/>
        <v>2</v>
      </c>
      <c r="G846" s="78" t="s">
        <v>2602</v>
      </c>
      <c r="H846" s="3" t="str">
        <f t="array" ref="H846">INDEX(driver_dataset!F:F,MATCH(G846,driver_dataset!A:A,0))</f>
        <v>Bike</v>
      </c>
    </row>
    <row r="847">
      <c r="A847" s="3" t="s">
        <v>3557</v>
      </c>
      <c r="B847" s="73">
        <v>45103.0</v>
      </c>
      <c r="C847" s="74">
        <v>45107.0</v>
      </c>
      <c r="D847" s="3">
        <v>1.0</v>
      </c>
      <c r="E847" s="3">
        <v>3.0</v>
      </c>
      <c r="F847" s="3">
        <f t="shared" si="1"/>
        <v>4</v>
      </c>
      <c r="G847" s="78" t="s">
        <v>2642</v>
      </c>
      <c r="H847" s="3" t="str">
        <f t="array" ref="H847">INDEX(driver_dataset!F:F,MATCH(G847,driver_dataset!A:A,0))</f>
        <v>Bike</v>
      </c>
    </row>
    <row r="848">
      <c r="A848" s="3" t="s">
        <v>3558</v>
      </c>
      <c r="B848" s="73">
        <v>45103.0</v>
      </c>
      <c r="C848" s="74">
        <v>45104.0</v>
      </c>
      <c r="D848" s="3">
        <v>1.0</v>
      </c>
      <c r="E848" s="3">
        <v>2.0</v>
      </c>
      <c r="F848" s="3">
        <f t="shared" si="1"/>
        <v>1</v>
      </c>
      <c r="G848" s="78" t="s">
        <v>2567</v>
      </c>
      <c r="H848" s="3" t="str">
        <f t="array" ref="H848">INDEX(driver_dataset!F:F,MATCH(G848,driver_dataset!A:A,0))</f>
        <v>Bike</v>
      </c>
    </row>
    <row r="849">
      <c r="A849" s="3" t="s">
        <v>3559</v>
      </c>
      <c r="B849" s="73">
        <v>45103.0</v>
      </c>
      <c r="C849" s="74">
        <v>45107.0</v>
      </c>
      <c r="D849" s="3">
        <v>19.0</v>
      </c>
      <c r="E849" s="3">
        <v>5.0</v>
      </c>
      <c r="F849" s="3">
        <f t="shared" si="1"/>
        <v>4</v>
      </c>
      <c r="G849" s="78" t="s">
        <v>2637</v>
      </c>
      <c r="H849" s="3" t="str">
        <f t="array" ref="H849">INDEX(driver_dataset!F:F,MATCH(G849,driver_dataset!A:A,0))</f>
        <v>Van</v>
      </c>
    </row>
    <row r="850">
      <c r="A850" s="3" t="s">
        <v>3560</v>
      </c>
      <c r="B850" s="73">
        <v>45103.0</v>
      </c>
      <c r="C850" s="74">
        <v>45107.0</v>
      </c>
      <c r="D850" s="3">
        <v>1.0</v>
      </c>
      <c r="E850" s="3">
        <v>1.0</v>
      </c>
      <c r="F850" s="3">
        <f t="shared" si="1"/>
        <v>4</v>
      </c>
      <c r="G850" s="78" t="s">
        <v>2652</v>
      </c>
      <c r="H850" s="3" t="str">
        <f t="array" ref="H850">INDEX(driver_dataset!F:F,MATCH(G850,driver_dataset!A:A,0))</f>
        <v>Bike</v>
      </c>
    </row>
    <row r="851">
      <c r="A851" s="3" t="s">
        <v>3561</v>
      </c>
      <c r="B851" s="73">
        <v>45103.0</v>
      </c>
      <c r="C851" s="74">
        <v>45104.0</v>
      </c>
      <c r="D851" s="3">
        <v>4.0</v>
      </c>
      <c r="E851" s="3">
        <v>2.0</v>
      </c>
      <c r="F851" s="3">
        <f t="shared" si="1"/>
        <v>1</v>
      </c>
      <c r="G851" s="78" t="s">
        <v>2647</v>
      </c>
      <c r="H851" s="3" t="str">
        <f t="array" ref="H851">INDEX(driver_dataset!F:F,MATCH(G851,driver_dataset!A:A,0))</f>
        <v>Bike</v>
      </c>
    </row>
    <row r="852">
      <c r="A852" s="3" t="s">
        <v>3562</v>
      </c>
      <c r="B852" s="73">
        <v>45103.0</v>
      </c>
      <c r="C852" s="74">
        <v>45105.0</v>
      </c>
      <c r="D852" s="3">
        <v>4.0</v>
      </c>
      <c r="E852" s="3">
        <v>3.0</v>
      </c>
      <c r="F852" s="3">
        <f t="shared" si="1"/>
        <v>2</v>
      </c>
      <c r="G852" s="78" t="s">
        <v>2687</v>
      </c>
      <c r="H852" s="3" t="str">
        <f t="array" ref="H852">INDEX(driver_dataset!F:F,MATCH(G852,driver_dataset!A:A,0))</f>
        <v>Bike</v>
      </c>
    </row>
    <row r="853">
      <c r="A853" s="3" t="s">
        <v>3563</v>
      </c>
      <c r="B853" s="73">
        <v>45103.0</v>
      </c>
      <c r="C853" s="74">
        <v>45104.0</v>
      </c>
      <c r="D853" s="3">
        <v>5.0</v>
      </c>
      <c r="E853" s="3">
        <v>1.0</v>
      </c>
      <c r="F853" s="3">
        <f t="shared" si="1"/>
        <v>1</v>
      </c>
      <c r="G853" s="78" t="s">
        <v>2677</v>
      </c>
      <c r="H853" s="3" t="str">
        <f t="array" ref="H853">INDEX(driver_dataset!F:F,MATCH(G853,driver_dataset!A:A,0))</f>
        <v>Bike</v>
      </c>
    </row>
    <row r="854">
      <c r="A854" s="3" t="s">
        <v>3564</v>
      </c>
      <c r="B854" s="73">
        <v>45103.0</v>
      </c>
      <c r="C854" s="74">
        <v>45108.0</v>
      </c>
      <c r="D854" s="3">
        <v>2.0</v>
      </c>
      <c r="E854" s="3">
        <v>1.0</v>
      </c>
      <c r="F854" s="3">
        <f t="shared" si="1"/>
        <v>5</v>
      </c>
      <c r="G854" s="78" t="s">
        <v>2490</v>
      </c>
      <c r="H854" s="3" t="str">
        <f t="array" ref="H854">INDEX(driver_dataset!F:F,MATCH(G854,driver_dataset!A:A,0))</f>
        <v>Bike</v>
      </c>
    </row>
    <row r="855">
      <c r="A855" s="3" t="s">
        <v>3565</v>
      </c>
      <c r="B855" s="73">
        <v>45103.0</v>
      </c>
      <c r="C855" s="74">
        <v>45104.0</v>
      </c>
      <c r="D855" s="3">
        <v>12.0</v>
      </c>
      <c r="E855" s="3">
        <v>7.0</v>
      </c>
      <c r="F855" s="3">
        <f t="shared" si="1"/>
        <v>1</v>
      </c>
      <c r="G855" s="78" t="s">
        <v>2501</v>
      </c>
      <c r="H855" s="3" t="str">
        <f t="array" ref="H855">INDEX(driver_dataset!F:F,MATCH(G855,driver_dataset!A:A,0))</f>
        <v>Van</v>
      </c>
    </row>
    <row r="856">
      <c r="A856" s="3" t="s">
        <v>3566</v>
      </c>
      <c r="B856" s="73">
        <v>45103.0</v>
      </c>
      <c r="C856" s="74">
        <v>45105.0</v>
      </c>
      <c r="D856" s="3">
        <v>5.0</v>
      </c>
      <c r="E856" s="3">
        <v>3.0</v>
      </c>
      <c r="F856" s="3">
        <f t="shared" si="1"/>
        <v>2</v>
      </c>
      <c r="G856" s="78" t="s">
        <v>2532</v>
      </c>
      <c r="H856" s="3" t="str">
        <f t="array" ref="H856">INDEX(driver_dataset!F:F,MATCH(G856,driver_dataset!A:A,0))</f>
        <v>Bike</v>
      </c>
    </row>
    <row r="857">
      <c r="A857" s="3" t="s">
        <v>3567</v>
      </c>
      <c r="B857" s="73">
        <v>45103.0</v>
      </c>
      <c r="C857" s="74">
        <v>45104.0</v>
      </c>
      <c r="D857" s="3">
        <v>1.0</v>
      </c>
      <c r="E857" s="3">
        <v>2.0</v>
      </c>
      <c r="F857" s="3">
        <f t="shared" si="1"/>
        <v>1</v>
      </c>
      <c r="G857" s="78" t="s">
        <v>2582</v>
      </c>
      <c r="H857" s="3" t="str">
        <f t="array" ref="H857">INDEX(driver_dataset!F:F,MATCH(G857,driver_dataset!A:A,0))</f>
        <v>Bike</v>
      </c>
    </row>
    <row r="858">
      <c r="A858" s="3" t="s">
        <v>3568</v>
      </c>
      <c r="B858" s="73">
        <v>45103.0</v>
      </c>
      <c r="C858" s="74">
        <v>45104.0</v>
      </c>
      <c r="D858" s="3">
        <v>3.0</v>
      </c>
      <c r="E858" s="3">
        <v>1.0</v>
      </c>
      <c r="F858" s="3">
        <f t="shared" si="1"/>
        <v>1</v>
      </c>
      <c r="G858" s="78" t="s">
        <v>2511</v>
      </c>
      <c r="H858" s="3" t="str">
        <f t="array" ref="H858">INDEX(driver_dataset!F:F,MATCH(G858,driver_dataset!A:A,0))</f>
        <v>Bike</v>
      </c>
    </row>
    <row r="859">
      <c r="A859" s="3" t="s">
        <v>3569</v>
      </c>
      <c r="B859" s="73">
        <v>45103.0</v>
      </c>
      <c r="C859" s="74">
        <v>45106.0</v>
      </c>
      <c r="D859" s="3">
        <v>1.0</v>
      </c>
      <c r="E859" s="3">
        <v>3.0</v>
      </c>
      <c r="F859" s="3">
        <f t="shared" si="1"/>
        <v>3</v>
      </c>
      <c r="G859" s="78" t="s">
        <v>2490</v>
      </c>
      <c r="H859" s="3" t="str">
        <f t="array" ref="H859">INDEX(driver_dataset!F:F,MATCH(G859,driver_dataset!A:A,0))</f>
        <v>Bike</v>
      </c>
    </row>
    <row r="860">
      <c r="A860" s="3" t="s">
        <v>3570</v>
      </c>
      <c r="B860" s="73">
        <v>45103.0</v>
      </c>
      <c r="C860" s="74">
        <v>45105.0</v>
      </c>
      <c r="D860" s="3">
        <v>3.0</v>
      </c>
      <c r="E860" s="3">
        <v>1.0</v>
      </c>
      <c r="F860" s="3">
        <f t="shared" si="1"/>
        <v>2</v>
      </c>
      <c r="G860" s="78" t="s">
        <v>2511</v>
      </c>
      <c r="H860" s="3" t="str">
        <f t="array" ref="H860">INDEX(driver_dataset!F:F,MATCH(G860,driver_dataset!A:A,0))</f>
        <v>Bike</v>
      </c>
    </row>
    <row r="861">
      <c r="A861" s="3" t="s">
        <v>3571</v>
      </c>
      <c r="B861" s="73">
        <v>45103.0</v>
      </c>
      <c r="C861" s="74">
        <v>45104.0</v>
      </c>
      <c r="D861" s="3">
        <v>2.0</v>
      </c>
      <c r="E861" s="3">
        <v>3.0</v>
      </c>
      <c r="F861" s="3">
        <f t="shared" si="1"/>
        <v>1</v>
      </c>
      <c r="G861" s="78" t="s">
        <v>2597</v>
      </c>
      <c r="H861" s="3" t="str">
        <f t="array" ref="H861">INDEX(driver_dataset!F:F,MATCH(G861,driver_dataset!A:A,0))</f>
        <v>Bike</v>
      </c>
    </row>
    <row r="862">
      <c r="A862" s="3" t="s">
        <v>3572</v>
      </c>
      <c r="B862" s="73">
        <v>45103.0</v>
      </c>
      <c r="C862" s="74">
        <v>45104.0</v>
      </c>
      <c r="D862" s="3">
        <v>3.0</v>
      </c>
      <c r="E862" s="3">
        <v>3.0</v>
      </c>
      <c r="F862" s="3">
        <f t="shared" si="1"/>
        <v>1</v>
      </c>
      <c r="G862" s="78" t="s">
        <v>2682</v>
      </c>
      <c r="H862" s="3" t="str">
        <f t="array" ref="H862">INDEX(driver_dataset!F:F,MATCH(G862,driver_dataset!A:A,0))</f>
        <v>Bike</v>
      </c>
    </row>
    <row r="863">
      <c r="A863" s="3" t="s">
        <v>3573</v>
      </c>
      <c r="B863" s="73">
        <v>45103.0</v>
      </c>
      <c r="C863" s="74">
        <v>45104.0</v>
      </c>
      <c r="D863" s="3">
        <v>4.0</v>
      </c>
      <c r="E863" s="3">
        <v>2.0</v>
      </c>
      <c r="F863" s="3">
        <f t="shared" si="1"/>
        <v>1</v>
      </c>
      <c r="G863" s="78" t="s">
        <v>2692</v>
      </c>
      <c r="H863" s="3" t="str">
        <f t="array" ref="H863">INDEX(driver_dataset!F:F,MATCH(G863,driver_dataset!A:A,0))</f>
        <v>Bike</v>
      </c>
    </row>
    <row r="864">
      <c r="A864" s="3" t="s">
        <v>3574</v>
      </c>
      <c r="B864" s="73">
        <v>45103.0</v>
      </c>
      <c r="C864" s="74">
        <v>45105.0</v>
      </c>
      <c r="D864" s="3">
        <v>15.0</v>
      </c>
      <c r="E864" s="3">
        <v>9.0</v>
      </c>
      <c r="F864" s="3">
        <f t="shared" si="1"/>
        <v>2</v>
      </c>
      <c r="G864" s="78" t="s">
        <v>2627</v>
      </c>
      <c r="H864" s="3" t="str">
        <f t="array" ref="H864">INDEX(driver_dataset!F:F,MATCH(G864,driver_dataset!A:A,0))</f>
        <v>Van</v>
      </c>
    </row>
    <row r="865">
      <c r="A865" s="3" t="s">
        <v>3575</v>
      </c>
      <c r="B865" s="73">
        <v>45103.0</v>
      </c>
      <c r="C865" s="74">
        <v>45105.0</v>
      </c>
      <c r="D865" s="3">
        <v>18.0</v>
      </c>
      <c r="E865" s="3">
        <v>9.0</v>
      </c>
      <c r="F865" s="3">
        <f t="shared" si="1"/>
        <v>2</v>
      </c>
      <c r="G865" s="78" t="s">
        <v>2587</v>
      </c>
      <c r="H865" s="3" t="str">
        <f t="array" ref="H865">INDEX(driver_dataset!F:F,MATCH(G865,driver_dataset!A:A,0))</f>
        <v>Van</v>
      </c>
    </row>
    <row r="866">
      <c r="A866" s="3" t="s">
        <v>3576</v>
      </c>
      <c r="B866" s="73">
        <v>45104.0</v>
      </c>
      <c r="C866" s="74">
        <v>45109.0</v>
      </c>
      <c r="D866" s="3">
        <v>14.0</v>
      </c>
      <c r="E866" s="3">
        <v>10.0</v>
      </c>
      <c r="F866" s="3">
        <f t="shared" si="1"/>
        <v>5</v>
      </c>
      <c r="G866" s="78" t="s">
        <v>2501</v>
      </c>
      <c r="H866" s="3" t="str">
        <f t="array" ref="H866">INDEX(driver_dataset!F:F,MATCH(G866,driver_dataset!A:A,0))</f>
        <v>Van</v>
      </c>
    </row>
    <row r="867">
      <c r="A867" s="3" t="s">
        <v>3577</v>
      </c>
      <c r="B867" s="73">
        <v>45104.0</v>
      </c>
      <c r="C867" s="74">
        <v>45109.0</v>
      </c>
      <c r="D867" s="3">
        <v>1.0</v>
      </c>
      <c r="E867" s="3">
        <v>3.0</v>
      </c>
      <c r="F867" s="3">
        <f t="shared" si="1"/>
        <v>5</v>
      </c>
      <c r="G867" s="78" t="s">
        <v>2527</v>
      </c>
      <c r="H867" s="3" t="str">
        <f t="array" ref="H867">INDEX(driver_dataset!F:F,MATCH(G867,driver_dataset!A:A,0))</f>
        <v>Bike</v>
      </c>
    </row>
    <row r="868">
      <c r="A868" s="3" t="s">
        <v>3578</v>
      </c>
      <c r="B868" s="73">
        <v>45104.0</v>
      </c>
      <c r="C868" s="74">
        <v>45109.0</v>
      </c>
      <c r="D868" s="3">
        <v>4.0</v>
      </c>
      <c r="E868" s="3">
        <v>3.0</v>
      </c>
      <c r="F868" s="3">
        <f t="shared" si="1"/>
        <v>5</v>
      </c>
      <c r="G868" s="78" t="s">
        <v>2632</v>
      </c>
      <c r="H868" s="3" t="str">
        <f t="array" ref="H868">INDEX(driver_dataset!F:F,MATCH(G868,driver_dataset!A:A,0))</f>
        <v>Bike</v>
      </c>
    </row>
    <row r="869">
      <c r="A869" s="3" t="s">
        <v>3579</v>
      </c>
      <c r="B869" s="73">
        <v>45104.0</v>
      </c>
      <c r="C869" s="74">
        <v>45105.0</v>
      </c>
      <c r="D869" s="3">
        <v>15.0</v>
      </c>
      <c r="E869" s="3">
        <v>5.0</v>
      </c>
      <c r="F869" s="3">
        <f t="shared" si="1"/>
        <v>1</v>
      </c>
      <c r="G869" s="78" t="s">
        <v>2662</v>
      </c>
      <c r="H869" s="3" t="str">
        <f t="array" ref="H869">INDEX(driver_dataset!F:F,MATCH(G869,driver_dataset!A:A,0))</f>
        <v>Van</v>
      </c>
    </row>
    <row r="870">
      <c r="A870" s="3" t="s">
        <v>3580</v>
      </c>
      <c r="B870" s="73">
        <v>45104.0</v>
      </c>
      <c r="C870" s="74">
        <v>45105.0</v>
      </c>
      <c r="D870" s="3">
        <v>10.0</v>
      </c>
      <c r="E870" s="3">
        <v>10.0</v>
      </c>
      <c r="F870" s="3">
        <f t="shared" si="1"/>
        <v>1</v>
      </c>
      <c r="G870" s="78" t="s">
        <v>2697</v>
      </c>
      <c r="H870" s="3" t="str">
        <f t="array" ref="H870">INDEX(driver_dataset!F:F,MATCH(G870,driver_dataset!A:A,0))</f>
        <v>Van</v>
      </c>
    </row>
    <row r="871">
      <c r="A871" s="3" t="s">
        <v>3581</v>
      </c>
      <c r="B871" s="73">
        <v>45104.0</v>
      </c>
      <c r="C871" s="74">
        <v>45109.0</v>
      </c>
      <c r="D871" s="3">
        <v>6.0</v>
      </c>
      <c r="E871" s="3">
        <v>1.0</v>
      </c>
      <c r="F871" s="3">
        <f t="shared" si="1"/>
        <v>5</v>
      </c>
      <c r="G871" s="78" t="s">
        <v>2490</v>
      </c>
      <c r="H871" s="3" t="str">
        <f t="array" ref="H871">INDEX(driver_dataset!F:F,MATCH(G871,driver_dataset!A:A,0))</f>
        <v>Bike</v>
      </c>
    </row>
    <row r="872">
      <c r="A872" s="3" t="s">
        <v>3582</v>
      </c>
      <c r="B872" s="73">
        <v>45104.0</v>
      </c>
      <c r="C872" s="74">
        <v>45107.0</v>
      </c>
      <c r="D872" s="3">
        <v>5.0</v>
      </c>
      <c r="E872" s="3">
        <v>3.0</v>
      </c>
      <c r="F872" s="3">
        <f t="shared" si="1"/>
        <v>3</v>
      </c>
      <c r="G872" s="78" t="s">
        <v>2687</v>
      </c>
      <c r="H872" s="3" t="str">
        <f t="array" ref="H872">INDEX(driver_dataset!F:F,MATCH(G872,driver_dataset!A:A,0))</f>
        <v>Bike</v>
      </c>
    </row>
    <row r="873">
      <c r="A873" s="3" t="s">
        <v>3583</v>
      </c>
      <c r="B873" s="73">
        <v>45104.0</v>
      </c>
      <c r="C873" s="74">
        <v>45107.0</v>
      </c>
      <c r="D873" s="3">
        <v>5.0</v>
      </c>
      <c r="E873" s="3">
        <v>1.0</v>
      </c>
      <c r="F873" s="3">
        <f t="shared" si="1"/>
        <v>3</v>
      </c>
      <c r="G873" s="78" t="s">
        <v>2527</v>
      </c>
      <c r="H873" s="3" t="str">
        <f t="array" ref="H873">INDEX(driver_dataset!F:F,MATCH(G873,driver_dataset!A:A,0))</f>
        <v>Bike</v>
      </c>
    </row>
    <row r="874">
      <c r="A874" s="3" t="s">
        <v>3584</v>
      </c>
      <c r="B874" s="73">
        <v>45104.0</v>
      </c>
      <c r="C874" s="74">
        <v>45105.0</v>
      </c>
      <c r="D874" s="3">
        <v>41.0</v>
      </c>
      <c r="E874" s="3">
        <v>12.0</v>
      </c>
      <c r="F874" s="3">
        <f t="shared" si="1"/>
        <v>1</v>
      </c>
      <c r="G874" s="78" t="s">
        <v>2521</v>
      </c>
      <c r="H874" s="3" t="str">
        <f t="array" ref="H874">INDEX(driver_dataset!F:F,MATCH(G874,driver_dataset!A:A,0))</f>
        <v>Truck</v>
      </c>
    </row>
    <row r="875">
      <c r="A875" s="3" t="s">
        <v>3585</v>
      </c>
      <c r="B875" s="73">
        <v>45104.0</v>
      </c>
      <c r="C875" s="74">
        <v>45106.0</v>
      </c>
      <c r="D875" s="3">
        <v>10.0</v>
      </c>
      <c r="E875" s="3">
        <v>7.0</v>
      </c>
      <c r="F875" s="3">
        <f t="shared" si="1"/>
        <v>2</v>
      </c>
      <c r="G875" s="78" t="s">
        <v>2667</v>
      </c>
      <c r="H875" s="3" t="str">
        <f t="array" ref="H875">INDEX(driver_dataset!F:F,MATCH(G875,driver_dataset!A:A,0))</f>
        <v>Van</v>
      </c>
    </row>
    <row r="876">
      <c r="A876" s="3" t="s">
        <v>3586</v>
      </c>
      <c r="B876" s="73">
        <v>45104.0</v>
      </c>
      <c r="C876" s="74">
        <v>45107.0</v>
      </c>
      <c r="D876" s="3">
        <v>8.0</v>
      </c>
      <c r="E876" s="3">
        <v>5.0</v>
      </c>
      <c r="F876" s="3">
        <f t="shared" si="1"/>
        <v>3</v>
      </c>
      <c r="G876" s="78" t="s">
        <v>2662</v>
      </c>
      <c r="H876" s="3" t="str">
        <f t="array" ref="H876">INDEX(driver_dataset!F:F,MATCH(G876,driver_dataset!A:A,0))</f>
        <v>Van</v>
      </c>
    </row>
    <row r="877">
      <c r="A877" s="3" t="s">
        <v>3587</v>
      </c>
      <c r="B877" s="73">
        <v>45104.0</v>
      </c>
      <c r="C877" s="74">
        <v>45108.0</v>
      </c>
      <c r="D877" s="3">
        <v>78.0</v>
      </c>
      <c r="E877" s="3">
        <v>16.0</v>
      </c>
      <c r="F877" s="3">
        <f t="shared" si="1"/>
        <v>4</v>
      </c>
      <c r="G877" s="78" t="s">
        <v>2521</v>
      </c>
      <c r="H877" s="3" t="str">
        <f t="array" ref="H877">INDEX(driver_dataset!F:F,MATCH(G877,driver_dataset!A:A,0))</f>
        <v>Truck</v>
      </c>
    </row>
    <row r="878">
      <c r="A878" s="3" t="s">
        <v>3588</v>
      </c>
      <c r="B878" s="73">
        <v>45104.0</v>
      </c>
      <c r="C878" s="74">
        <v>45106.0</v>
      </c>
      <c r="D878" s="3">
        <v>3.0</v>
      </c>
      <c r="E878" s="3">
        <v>3.0</v>
      </c>
      <c r="F878" s="3">
        <f t="shared" si="1"/>
        <v>2</v>
      </c>
      <c r="G878" s="78" t="s">
        <v>2562</v>
      </c>
      <c r="H878" s="3" t="str">
        <f t="array" ref="H878">INDEX(driver_dataset!F:F,MATCH(G878,driver_dataset!A:A,0))</f>
        <v>Bike</v>
      </c>
    </row>
    <row r="879">
      <c r="A879" s="3" t="s">
        <v>3589</v>
      </c>
      <c r="B879" s="73">
        <v>45104.0</v>
      </c>
      <c r="C879" s="74">
        <v>45105.0</v>
      </c>
      <c r="D879" s="3">
        <v>60.0</v>
      </c>
      <c r="E879" s="3">
        <v>11.0</v>
      </c>
      <c r="F879" s="3">
        <f t="shared" si="1"/>
        <v>1</v>
      </c>
      <c r="G879" s="78" t="s">
        <v>2521</v>
      </c>
      <c r="H879" s="3" t="str">
        <f t="array" ref="H879">INDEX(driver_dataset!F:F,MATCH(G879,driver_dataset!A:A,0))</f>
        <v>Truck</v>
      </c>
    </row>
    <row r="880">
      <c r="A880" s="3" t="s">
        <v>3590</v>
      </c>
      <c r="B880" s="73">
        <v>45104.0</v>
      </c>
      <c r="C880" s="74">
        <v>45107.0</v>
      </c>
      <c r="D880" s="3">
        <v>54.0</v>
      </c>
      <c r="E880" s="3">
        <v>20.0</v>
      </c>
      <c r="F880" s="3">
        <f t="shared" si="1"/>
        <v>3</v>
      </c>
      <c r="G880" s="78" t="s">
        <v>2521</v>
      </c>
      <c r="H880" s="3" t="str">
        <f t="array" ref="H880">INDEX(driver_dataset!F:F,MATCH(G880,driver_dataset!A:A,0))</f>
        <v>Truck</v>
      </c>
    </row>
    <row r="881">
      <c r="A881" s="3" t="s">
        <v>3591</v>
      </c>
      <c r="B881" s="73">
        <v>45104.0</v>
      </c>
      <c r="C881" s="74">
        <v>45108.0</v>
      </c>
      <c r="D881" s="3">
        <v>1.0</v>
      </c>
      <c r="E881" s="3">
        <v>3.0</v>
      </c>
      <c r="F881" s="3">
        <f t="shared" si="1"/>
        <v>4</v>
      </c>
      <c r="G881" s="78" t="s">
        <v>2687</v>
      </c>
      <c r="H881" s="3" t="str">
        <f t="array" ref="H881">INDEX(driver_dataset!F:F,MATCH(G881,driver_dataset!A:A,0))</f>
        <v>Bike</v>
      </c>
    </row>
    <row r="882">
      <c r="A882" s="3" t="s">
        <v>3592</v>
      </c>
      <c r="B882" s="73">
        <v>45104.0</v>
      </c>
      <c r="C882" s="74">
        <v>45106.0</v>
      </c>
      <c r="D882" s="3">
        <v>14.0</v>
      </c>
      <c r="E882" s="3">
        <v>7.0</v>
      </c>
      <c r="F882" s="3">
        <f t="shared" si="1"/>
        <v>2</v>
      </c>
      <c r="G882" s="78" t="s">
        <v>2627</v>
      </c>
      <c r="H882" s="3" t="str">
        <f t="array" ref="H882">INDEX(driver_dataset!F:F,MATCH(G882,driver_dataset!A:A,0))</f>
        <v>Van</v>
      </c>
    </row>
    <row r="883">
      <c r="A883" s="3" t="s">
        <v>3593</v>
      </c>
      <c r="B883" s="73">
        <v>45104.0</v>
      </c>
      <c r="C883" s="74">
        <v>45109.0</v>
      </c>
      <c r="D883" s="3">
        <v>5.0</v>
      </c>
      <c r="E883" s="3">
        <v>3.0</v>
      </c>
      <c r="F883" s="3">
        <f t="shared" si="1"/>
        <v>5</v>
      </c>
      <c r="G883" s="78" t="s">
        <v>2642</v>
      </c>
      <c r="H883" s="3" t="str">
        <f t="array" ref="H883">INDEX(driver_dataset!F:F,MATCH(G883,driver_dataset!A:A,0))</f>
        <v>Bike</v>
      </c>
    </row>
    <row r="884">
      <c r="A884" s="3" t="s">
        <v>3594</v>
      </c>
      <c r="B884" s="73">
        <v>45104.0</v>
      </c>
      <c r="C884" s="74">
        <v>45108.0</v>
      </c>
      <c r="D884" s="3">
        <v>5.0</v>
      </c>
      <c r="E884" s="3">
        <v>3.0</v>
      </c>
      <c r="F884" s="3">
        <f t="shared" si="1"/>
        <v>4</v>
      </c>
      <c r="G884" s="78" t="s">
        <v>2602</v>
      </c>
      <c r="H884" s="3" t="str">
        <f t="array" ref="H884">INDEX(driver_dataset!F:F,MATCH(G884,driver_dataset!A:A,0))</f>
        <v>Bike</v>
      </c>
    </row>
    <row r="885">
      <c r="A885" s="3" t="s">
        <v>3595</v>
      </c>
      <c r="B885" s="73">
        <v>45104.0</v>
      </c>
      <c r="C885" s="74">
        <v>45107.0</v>
      </c>
      <c r="D885" s="3">
        <v>16.0</v>
      </c>
      <c r="E885" s="3">
        <v>4.0</v>
      </c>
      <c r="F885" s="3">
        <f t="shared" si="1"/>
        <v>3</v>
      </c>
      <c r="G885" s="78" t="s">
        <v>2484</v>
      </c>
      <c r="H885" s="3" t="str">
        <f t="array" ref="H885">INDEX(driver_dataset!F:F,MATCH(G885,driver_dataset!A:A,0))</f>
        <v>Van</v>
      </c>
    </row>
    <row r="886">
      <c r="A886" s="3" t="s">
        <v>3596</v>
      </c>
      <c r="B886" s="73">
        <v>45104.0</v>
      </c>
      <c r="C886" s="74">
        <v>45107.0</v>
      </c>
      <c r="D886" s="3">
        <v>78.0</v>
      </c>
      <c r="E886" s="3">
        <v>22.0</v>
      </c>
      <c r="F886" s="3">
        <f t="shared" si="1"/>
        <v>3</v>
      </c>
      <c r="G886" s="78" t="s">
        <v>2521</v>
      </c>
      <c r="H886" s="3" t="str">
        <f t="array" ref="H886">INDEX(driver_dataset!F:F,MATCH(G886,driver_dataset!A:A,0))</f>
        <v>Truck</v>
      </c>
    </row>
    <row r="887">
      <c r="A887" s="3" t="s">
        <v>3597</v>
      </c>
      <c r="B887" s="73">
        <v>45104.0</v>
      </c>
      <c r="C887" s="74">
        <v>45108.0</v>
      </c>
      <c r="D887" s="3">
        <v>33.0</v>
      </c>
      <c r="E887" s="3">
        <v>12.0</v>
      </c>
      <c r="F887" s="3">
        <f t="shared" si="1"/>
        <v>4</v>
      </c>
      <c r="G887" s="78" t="s">
        <v>2521</v>
      </c>
      <c r="H887" s="3" t="str">
        <f t="array" ref="H887">INDEX(driver_dataset!F:F,MATCH(G887,driver_dataset!A:A,0))</f>
        <v>Truck</v>
      </c>
    </row>
    <row r="888">
      <c r="A888" s="3" t="s">
        <v>3598</v>
      </c>
      <c r="B888" s="73">
        <v>45104.0</v>
      </c>
      <c r="C888" s="74">
        <v>45105.0</v>
      </c>
      <c r="D888" s="3">
        <v>6.0</v>
      </c>
      <c r="E888" s="3">
        <v>1.0</v>
      </c>
      <c r="F888" s="3">
        <f t="shared" si="1"/>
        <v>1</v>
      </c>
      <c r="G888" s="78" t="s">
        <v>2506</v>
      </c>
      <c r="H888" s="3" t="str">
        <f t="array" ref="H888">INDEX(driver_dataset!F:F,MATCH(G888,driver_dataset!A:A,0))</f>
        <v>Bike</v>
      </c>
    </row>
    <row r="889">
      <c r="A889" s="3" t="s">
        <v>3599</v>
      </c>
      <c r="B889" s="73">
        <v>45104.0</v>
      </c>
      <c r="C889" s="74">
        <v>45105.0</v>
      </c>
      <c r="D889" s="3">
        <v>4.0</v>
      </c>
      <c r="E889" s="3">
        <v>1.0</v>
      </c>
      <c r="F889" s="3">
        <f t="shared" si="1"/>
        <v>1</v>
      </c>
      <c r="G889" s="78" t="s">
        <v>2632</v>
      </c>
      <c r="H889" s="3" t="str">
        <f t="array" ref="H889">INDEX(driver_dataset!F:F,MATCH(G889,driver_dataset!A:A,0))</f>
        <v>Bike</v>
      </c>
    </row>
    <row r="890">
      <c r="A890" s="3" t="s">
        <v>3600</v>
      </c>
      <c r="B890" s="73">
        <v>45104.0</v>
      </c>
      <c r="C890" s="74">
        <v>45109.0</v>
      </c>
      <c r="D890" s="3">
        <v>2.0</v>
      </c>
      <c r="E890" s="3">
        <v>2.0</v>
      </c>
      <c r="F890" s="3">
        <f t="shared" si="1"/>
        <v>5</v>
      </c>
      <c r="G890" s="78" t="s">
        <v>2547</v>
      </c>
      <c r="H890" s="3" t="str">
        <f t="array" ref="H890">INDEX(driver_dataset!F:F,MATCH(G890,driver_dataset!A:A,0))</f>
        <v>Bike</v>
      </c>
    </row>
    <row r="891">
      <c r="A891" s="3" t="s">
        <v>3601</v>
      </c>
      <c r="B891" s="73">
        <v>45104.0</v>
      </c>
      <c r="C891" s="74">
        <v>45108.0</v>
      </c>
      <c r="D891" s="3">
        <v>3.0</v>
      </c>
      <c r="E891" s="3">
        <v>3.0</v>
      </c>
      <c r="F891" s="3">
        <f t="shared" si="1"/>
        <v>4</v>
      </c>
      <c r="G891" s="78" t="s">
        <v>2547</v>
      </c>
      <c r="H891" s="3" t="str">
        <f t="array" ref="H891">INDEX(driver_dataset!F:F,MATCH(G891,driver_dataset!A:A,0))</f>
        <v>Bike</v>
      </c>
    </row>
    <row r="892">
      <c r="A892" s="3" t="s">
        <v>3602</v>
      </c>
      <c r="B892" s="73">
        <v>45104.0</v>
      </c>
      <c r="C892" s="74">
        <v>45106.0</v>
      </c>
      <c r="D892" s="3">
        <v>3.0</v>
      </c>
      <c r="E892" s="3">
        <v>2.0</v>
      </c>
      <c r="F892" s="3">
        <f t="shared" si="1"/>
        <v>2</v>
      </c>
      <c r="G892" s="78" t="s">
        <v>2652</v>
      </c>
      <c r="H892" s="3" t="str">
        <f t="array" ref="H892">INDEX(driver_dataset!F:F,MATCH(G892,driver_dataset!A:A,0))</f>
        <v>Bike</v>
      </c>
    </row>
    <row r="893">
      <c r="A893" s="3" t="s">
        <v>3603</v>
      </c>
      <c r="B893" s="73">
        <v>45104.0</v>
      </c>
      <c r="C893" s="74">
        <v>45107.0</v>
      </c>
      <c r="D893" s="3">
        <v>3.0</v>
      </c>
      <c r="E893" s="3">
        <v>3.0</v>
      </c>
      <c r="F893" s="3">
        <f t="shared" si="1"/>
        <v>3</v>
      </c>
      <c r="G893" s="78" t="s">
        <v>2496</v>
      </c>
      <c r="H893" s="3" t="str">
        <f t="array" ref="H893">INDEX(driver_dataset!F:F,MATCH(G893,driver_dataset!A:A,0))</f>
        <v>Bike</v>
      </c>
    </row>
    <row r="894">
      <c r="A894" s="3" t="s">
        <v>3604</v>
      </c>
      <c r="B894" s="73">
        <v>45104.0</v>
      </c>
      <c r="C894" s="74">
        <v>45107.0</v>
      </c>
      <c r="D894" s="3">
        <v>4.0</v>
      </c>
      <c r="E894" s="3">
        <v>3.0</v>
      </c>
      <c r="F894" s="3">
        <f t="shared" si="1"/>
        <v>3</v>
      </c>
      <c r="G894" s="78" t="s">
        <v>2516</v>
      </c>
      <c r="H894" s="3" t="str">
        <f t="array" ref="H894">INDEX(driver_dataset!F:F,MATCH(G894,driver_dataset!A:A,0))</f>
        <v>Bike</v>
      </c>
    </row>
    <row r="895">
      <c r="A895" s="3" t="s">
        <v>3605</v>
      </c>
      <c r="B895" s="74">
        <v>45105.0</v>
      </c>
      <c r="C895" s="74">
        <v>45110.0</v>
      </c>
      <c r="D895" s="3">
        <v>4.0</v>
      </c>
      <c r="E895" s="3">
        <v>3.0</v>
      </c>
      <c r="F895" s="3">
        <f t="shared" si="1"/>
        <v>5</v>
      </c>
      <c r="G895" s="78" t="s">
        <v>2511</v>
      </c>
      <c r="H895" s="3" t="str">
        <f t="array" ref="H895">INDEX(driver_dataset!F:F,MATCH(G895,driver_dataset!A:A,0))</f>
        <v>Bike</v>
      </c>
    </row>
    <row r="896">
      <c r="A896" s="3" t="s">
        <v>3606</v>
      </c>
      <c r="B896" s="73">
        <v>45105.0</v>
      </c>
      <c r="C896" s="74">
        <v>45107.0</v>
      </c>
      <c r="D896" s="3">
        <v>5.0</v>
      </c>
      <c r="E896" s="3">
        <v>2.0</v>
      </c>
      <c r="F896" s="3">
        <f t="shared" si="1"/>
        <v>2</v>
      </c>
      <c r="G896" s="78" t="s">
        <v>2617</v>
      </c>
      <c r="H896" s="3" t="str">
        <f t="array" ref="H896">INDEX(driver_dataset!F:F,MATCH(G896,driver_dataset!A:A,0))</f>
        <v>Bike</v>
      </c>
    </row>
    <row r="897">
      <c r="A897" s="3" t="s">
        <v>3607</v>
      </c>
      <c r="B897" s="73">
        <v>45105.0</v>
      </c>
      <c r="C897" s="74">
        <v>45109.0</v>
      </c>
      <c r="D897" s="3">
        <v>2.0</v>
      </c>
      <c r="E897" s="3">
        <v>1.0</v>
      </c>
      <c r="F897" s="3">
        <f t="shared" si="1"/>
        <v>4</v>
      </c>
      <c r="G897" s="78" t="s">
        <v>2682</v>
      </c>
      <c r="H897" s="3" t="str">
        <f t="array" ref="H897">INDEX(driver_dataset!F:F,MATCH(G897,driver_dataset!A:A,0))</f>
        <v>Bike</v>
      </c>
    </row>
    <row r="898">
      <c r="A898" s="3" t="s">
        <v>3608</v>
      </c>
      <c r="B898" s="73">
        <v>45105.0</v>
      </c>
      <c r="C898" s="74">
        <v>45106.0</v>
      </c>
      <c r="D898" s="3">
        <v>64.0</v>
      </c>
      <c r="E898" s="3">
        <v>13.0</v>
      </c>
      <c r="F898" s="3">
        <f t="shared" si="1"/>
        <v>1</v>
      </c>
      <c r="G898" s="78" t="s">
        <v>2521</v>
      </c>
      <c r="H898" s="3" t="str">
        <f t="array" ref="H898">INDEX(driver_dataset!F:F,MATCH(G898,driver_dataset!A:A,0))</f>
        <v>Truck</v>
      </c>
    </row>
    <row r="899">
      <c r="A899" s="3" t="s">
        <v>3609</v>
      </c>
      <c r="B899" s="73">
        <v>45105.0</v>
      </c>
      <c r="C899" s="74">
        <v>45107.0</v>
      </c>
      <c r="D899" s="3">
        <v>5.0</v>
      </c>
      <c r="E899" s="3">
        <v>2.0</v>
      </c>
      <c r="F899" s="3">
        <f t="shared" si="1"/>
        <v>2</v>
      </c>
      <c r="G899" s="78" t="s">
        <v>2532</v>
      </c>
      <c r="H899" s="3" t="str">
        <f t="array" ref="H899">INDEX(driver_dataset!F:F,MATCH(G899,driver_dataset!A:A,0))</f>
        <v>Bike</v>
      </c>
    </row>
    <row r="900">
      <c r="A900" s="3" t="s">
        <v>3610</v>
      </c>
      <c r="B900" s="73">
        <v>45105.0</v>
      </c>
      <c r="C900" s="74">
        <v>45107.0</v>
      </c>
      <c r="D900" s="3">
        <v>10.0</v>
      </c>
      <c r="E900" s="3">
        <v>4.0</v>
      </c>
      <c r="F900" s="3">
        <f t="shared" si="1"/>
        <v>2</v>
      </c>
      <c r="G900" s="78" t="s">
        <v>2637</v>
      </c>
      <c r="H900" s="3" t="str">
        <f t="array" ref="H900">INDEX(driver_dataset!F:F,MATCH(G900,driver_dataset!A:A,0))</f>
        <v>Van</v>
      </c>
    </row>
    <row r="901">
      <c r="A901" s="3" t="s">
        <v>3611</v>
      </c>
      <c r="B901" s="73">
        <v>45105.0</v>
      </c>
      <c r="C901" s="74">
        <v>45108.0</v>
      </c>
      <c r="D901" s="3">
        <v>8.0</v>
      </c>
      <c r="E901" s="3">
        <v>10.0</v>
      </c>
      <c r="F901" s="3">
        <f t="shared" si="1"/>
        <v>3</v>
      </c>
      <c r="G901" s="78" t="s">
        <v>2662</v>
      </c>
      <c r="H901" s="3" t="str">
        <f t="array" ref="H901">INDEX(driver_dataset!F:F,MATCH(G901,driver_dataset!A:A,0))</f>
        <v>Van</v>
      </c>
    </row>
    <row r="902">
      <c r="A902" s="3" t="s">
        <v>3612</v>
      </c>
      <c r="B902" s="73">
        <v>45105.0</v>
      </c>
      <c r="C902" s="74">
        <v>45106.0</v>
      </c>
      <c r="D902" s="3">
        <v>6.0</v>
      </c>
      <c r="E902" s="3">
        <v>3.0</v>
      </c>
      <c r="F902" s="3">
        <f t="shared" si="1"/>
        <v>1</v>
      </c>
      <c r="G902" s="78" t="s">
        <v>2547</v>
      </c>
      <c r="H902" s="3" t="str">
        <f t="array" ref="H902">INDEX(driver_dataset!F:F,MATCH(G902,driver_dataset!A:A,0))</f>
        <v>Bike</v>
      </c>
    </row>
    <row r="903">
      <c r="A903" s="3" t="s">
        <v>3613</v>
      </c>
      <c r="B903" s="73">
        <v>45105.0</v>
      </c>
      <c r="C903" s="74">
        <v>45109.0</v>
      </c>
      <c r="D903" s="3">
        <v>3.0</v>
      </c>
      <c r="E903" s="3">
        <v>1.0</v>
      </c>
      <c r="F903" s="3">
        <f t="shared" si="1"/>
        <v>4</v>
      </c>
      <c r="G903" s="78" t="s">
        <v>2582</v>
      </c>
      <c r="H903" s="3" t="str">
        <f t="array" ref="H903">INDEX(driver_dataset!F:F,MATCH(G903,driver_dataset!A:A,0))</f>
        <v>Bike</v>
      </c>
    </row>
    <row r="904">
      <c r="A904" s="3" t="s">
        <v>3614</v>
      </c>
      <c r="B904" s="73">
        <v>45105.0</v>
      </c>
      <c r="C904" s="74">
        <v>45108.0</v>
      </c>
      <c r="D904" s="3">
        <v>12.0</v>
      </c>
      <c r="E904" s="3">
        <v>9.0</v>
      </c>
      <c r="F904" s="3">
        <f t="shared" si="1"/>
        <v>3</v>
      </c>
      <c r="G904" s="78" t="s">
        <v>2537</v>
      </c>
      <c r="H904" s="3" t="str">
        <f t="array" ref="H904">INDEX(driver_dataset!F:F,MATCH(G904,driver_dataset!A:A,0))</f>
        <v>Van</v>
      </c>
    </row>
    <row r="905">
      <c r="A905" s="3" t="s">
        <v>3615</v>
      </c>
      <c r="B905" s="73">
        <v>45105.0</v>
      </c>
      <c r="C905" s="74">
        <v>45108.0</v>
      </c>
      <c r="D905" s="3">
        <v>13.0</v>
      </c>
      <c r="E905" s="3">
        <v>9.0</v>
      </c>
      <c r="F905" s="3">
        <f t="shared" si="1"/>
        <v>3</v>
      </c>
      <c r="G905" s="78" t="s">
        <v>2501</v>
      </c>
      <c r="H905" s="3" t="str">
        <f t="array" ref="H905">INDEX(driver_dataset!F:F,MATCH(G905,driver_dataset!A:A,0))</f>
        <v>Van</v>
      </c>
    </row>
    <row r="906">
      <c r="A906" s="3" t="s">
        <v>3616</v>
      </c>
      <c r="B906" s="73">
        <v>45105.0</v>
      </c>
      <c r="C906" s="74">
        <v>45106.0</v>
      </c>
      <c r="D906" s="3">
        <v>61.0</v>
      </c>
      <c r="E906" s="3">
        <v>17.0</v>
      </c>
      <c r="F906" s="3">
        <f t="shared" si="1"/>
        <v>1</v>
      </c>
      <c r="G906" s="78" t="s">
        <v>2521</v>
      </c>
      <c r="H906" s="3" t="str">
        <f t="array" ref="H906">INDEX(driver_dataset!F:F,MATCH(G906,driver_dataset!A:A,0))</f>
        <v>Truck</v>
      </c>
    </row>
    <row r="907">
      <c r="A907" s="3" t="s">
        <v>3617</v>
      </c>
      <c r="B907" s="73">
        <v>45105.0</v>
      </c>
      <c r="C907" s="74">
        <v>45110.0</v>
      </c>
      <c r="D907" s="3">
        <v>5.0</v>
      </c>
      <c r="E907" s="3">
        <v>3.0</v>
      </c>
      <c r="F907" s="3">
        <f t="shared" si="1"/>
        <v>5</v>
      </c>
      <c r="G907" s="78" t="s">
        <v>2511</v>
      </c>
      <c r="H907" s="3" t="str">
        <f t="array" ref="H907">INDEX(driver_dataset!F:F,MATCH(G907,driver_dataset!A:A,0))</f>
        <v>Bike</v>
      </c>
    </row>
    <row r="908">
      <c r="A908" s="3" t="s">
        <v>3618</v>
      </c>
      <c r="B908" s="73">
        <v>45105.0</v>
      </c>
      <c r="C908" s="74">
        <v>45109.0</v>
      </c>
      <c r="D908" s="3">
        <v>6.0</v>
      </c>
      <c r="E908" s="3">
        <v>3.0</v>
      </c>
      <c r="F908" s="3">
        <f t="shared" si="1"/>
        <v>4</v>
      </c>
      <c r="G908" s="78" t="s">
        <v>2632</v>
      </c>
      <c r="H908" s="3" t="str">
        <f t="array" ref="H908">INDEX(driver_dataset!F:F,MATCH(G908,driver_dataset!A:A,0))</f>
        <v>Bike</v>
      </c>
    </row>
    <row r="909">
      <c r="A909" s="3" t="s">
        <v>3619</v>
      </c>
      <c r="B909" s="73">
        <v>45105.0</v>
      </c>
      <c r="C909" s="74">
        <v>45106.0</v>
      </c>
      <c r="D909" s="3">
        <v>6.0</v>
      </c>
      <c r="E909" s="3">
        <v>3.0</v>
      </c>
      <c r="F909" s="3">
        <f t="shared" si="1"/>
        <v>1</v>
      </c>
      <c r="G909" s="78" t="s">
        <v>2597</v>
      </c>
      <c r="H909" s="3" t="str">
        <f t="array" ref="H909">INDEX(driver_dataset!F:F,MATCH(G909,driver_dataset!A:A,0))</f>
        <v>Bike</v>
      </c>
    </row>
    <row r="910">
      <c r="A910" s="3" t="s">
        <v>3620</v>
      </c>
      <c r="B910" s="73">
        <v>45105.0</v>
      </c>
      <c r="C910" s="74">
        <v>45107.0</v>
      </c>
      <c r="D910" s="3">
        <v>4.0</v>
      </c>
      <c r="E910" s="3">
        <v>1.0</v>
      </c>
      <c r="F910" s="3">
        <f t="shared" si="1"/>
        <v>2</v>
      </c>
      <c r="G910" s="78" t="s">
        <v>2597</v>
      </c>
      <c r="H910" s="3" t="str">
        <f t="array" ref="H910">INDEX(driver_dataset!F:F,MATCH(G910,driver_dataset!A:A,0))</f>
        <v>Bike</v>
      </c>
    </row>
    <row r="911">
      <c r="A911" s="3" t="s">
        <v>3621</v>
      </c>
      <c r="B911" s="73">
        <v>45105.0</v>
      </c>
      <c r="C911" s="74">
        <v>45110.0</v>
      </c>
      <c r="D911" s="3">
        <v>1.0</v>
      </c>
      <c r="E911" s="3">
        <v>3.0</v>
      </c>
      <c r="F911" s="3">
        <f t="shared" si="1"/>
        <v>5</v>
      </c>
      <c r="G911" s="78" t="s">
        <v>2506</v>
      </c>
      <c r="H911" s="3" t="str">
        <f t="array" ref="H911">INDEX(driver_dataset!F:F,MATCH(G911,driver_dataset!A:A,0))</f>
        <v>Bike</v>
      </c>
    </row>
    <row r="912">
      <c r="A912" s="3" t="s">
        <v>3622</v>
      </c>
      <c r="B912" s="73">
        <v>45105.0</v>
      </c>
      <c r="C912" s="74">
        <v>45109.0</v>
      </c>
      <c r="D912" s="3">
        <v>1.0</v>
      </c>
      <c r="E912" s="3">
        <v>1.0</v>
      </c>
      <c r="F912" s="3">
        <f t="shared" si="1"/>
        <v>4</v>
      </c>
      <c r="G912" s="78" t="s">
        <v>2632</v>
      </c>
      <c r="H912" s="3" t="str">
        <f t="array" ref="H912">INDEX(driver_dataset!F:F,MATCH(G912,driver_dataset!A:A,0))</f>
        <v>Bike</v>
      </c>
    </row>
    <row r="913">
      <c r="A913" s="3" t="s">
        <v>3623</v>
      </c>
      <c r="B913" s="73">
        <v>45105.0</v>
      </c>
      <c r="C913" s="74">
        <v>45110.0</v>
      </c>
      <c r="D913" s="3">
        <v>6.0</v>
      </c>
      <c r="E913" s="3">
        <v>1.0</v>
      </c>
      <c r="F913" s="3">
        <f t="shared" si="1"/>
        <v>5</v>
      </c>
      <c r="G913" s="78" t="s">
        <v>2622</v>
      </c>
      <c r="H913" s="3" t="str">
        <f t="array" ref="H913">INDEX(driver_dataset!F:F,MATCH(G913,driver_dataset!A:A,0))</f>
        <v>Bike</v>
      </c>
    </row>
    <row r="914">
      <c r="A914" s="3" t="s">
        <v>3624</v>
      </c>
      <c r="B914" s="73">
        <v>45105.0</v>
      </c>
      <c r="C914" s="74">
        <v>45107.0</v>
      </c>
      <c r="D914" s="3">
        <v>5.0</v>
      </c>
      <c r="E914" s="3">
        <v>3.0</v>
      </c>
      <c r="F914" s="3">
        <f t="shared" si="1"/>
        <v>2</v>
      </c>
      <c r="G914" s="78" t="s">
        <v>2642</v>
      </c>
      <c r="H914" s="3" t="str">
        <f t="array" ref="H914">INDEX(driver_dataset!F:F,MATCH(G914,driver_dataset!A:A,0))</f>
        <v>Bike</v>
      </c>
    </row>
    <row r="915">
      <c r="A915" s="3" t="s">
        <v>3625</v>
      </c>
      <c r="B915" s="73">
        <v>45105.0</v>
      </c>
      <c r="C915" s="74">
        <v>45109.0</v>
      </c>
      <c r="D915" s="3">
        <v>2.0</v>
      </c>
      <c r="E915" s="3">
        <v>3.0</v>
      </c>
      <c r="F915" s="3">
        <f t="shared" si="1"/>
        <v>4</v>
      </c>
      <c r="G915" s="78" t="s">
        <v>2532</v>
      </c>
      <c r="H915" s="3" t="str">
        <f t="array" ref="H915">INDEX(driver_dataset!F:F,MATCH(G915,driver_dataset!A:A,0))</f>
        <v>Bike</v>
      </c>
    </row>
    <row r="916">
      <c r="A916" s="3" t="s">
        <v>3626</v>
      </c>
      <c r="B916" s="73">
        <v>45105.0</v>
      </c>
      <c r="C916" s="74">
        <v>45109.0</v>
      </c>
      <c r="D916" s="3">
        <v>11.0</v>
      </c>
      <c r="E916" s="3">
        <v>7.0</v>
      </c>
      <c r="F916" s="3">
        <f t="shared" si="1"/>
        <v>4</v>
      </c>
      <c r="G916" s="78" t="s">
        <v>2672</v>
      </c>
      <c r="H916" s="3" t="str">
        <f t="array" ref="H916">INDEX(driver_dataset!F:F,MATCH(G916,driver_dataset!A:A,0))</f>
        <v>Van</v>
      </c>
    </row>
    <row r="917">
      <c r="A917" s="3" t="s">
        <v>3627</v>
      </c>
      <c r="B917" s="73">
        <v>45105.0</v>
      </c>
      <c r="C917" s="74">
        <v>45109.0</v>
      </c>
      <c r="D917" s="3">
        <v>16.0</v>
      </c>
      <c r="E917" s="3">
        <v>7.0</v>
      </c>
      <c r="F917" s="3">
        <f t="shared" si="1"/>
        <v>4</v>
      </c>
      <c r="G917" s="78" t="s">
        <v>2672</v>
      </c>
      <c r="H917" s="3" t="str">
        <f t="array" ref="H917">INDEX(driver_dataset!F:F,MATCH(G917,driver_dataset!A:A,0))</f>
        <v>Van</v>
      </c>
    </row>
    <row r="918">
      <c r="A918" s="3" t="s">
        <v>3628</v>
      </c>
      <c r="B918" s="73">
        <v>45105.0</v>
      </c>
      <c r="C918" s="74">
        <v>45110.0</v>
      </c>
      <c r="D918" s="3">
        <v>15.0</v>
      </c>
      <c r="E918" s="3">
        <v>6.0</v>
      </c>
      <c r="F918" s="3">
        <f t="shared" si="1"/>
        <v>5</v>
      </c>
      <c r="G918" s="78" t="s">
        <v>2672</v>
      </c>
      <c r="H918" s="3" t="str">
        <f t="array" ref="H918">INDEX(driver_dataset!F:F,MATCH(G918,driver_dataset!A:A,0))</f>
        <v>Van</v>
      </c>
    </row>
    <row r="919">
      <c r="A919" s="3" t="s">
        <v>3629</v>
      </c>
      <c r="B919" s="73">
        <v>45105.0</v>
      </c>
      <c r="C919" s="74">
        <v>45109.0</v>
      </c>
      <c r="D919" s="3">
        <v>1.0</v>
      </c>
      <c r="E919" s="3">
        <v>1.0</v>
      </c>
      <c r="F919" s="3">
        <f t="shared" si="1"/>
        <v>4</v>
      </c>
      <c r="G919" s="78" t="s">
        <v>2511</v>
      </c>
      <c r="H919" s="3" t="str">
        <f t="array" ref="H919">INDEX(driver_dataset!F:F,MATCH(G919,driver_dataset!A:A,0))</f>
        <v>Bike</v>
      </c>
    </row>
    <row r="920">
      <c r="A920" s="3" t="s">
        <v>3630</v>
      </c>
      <c r="B920" s="73">
        <v>45105.0</v>
      </c>
      <c r="C920" s="74">
        <v>45107.0</v>
      </c>
      <c r="D920" s="3">
        <v>8.0</v>
      </c>
      <c r="E920" s="3">
        <v>4.0</v>
      </c>
      <c r="F920" s="3">
        <f t="shared" si="1"/>
        <v>2</v>
      </c>
      <c r="G920" s="78" t="s">
        <v>2501</v>
      </c>
      <c r="H920" s="3" t="str">
        <f t="array" ref="H920">INDEX(driver_dataset!F:F,MATCH(G920,driver_dataset!A:A,0))</f>
        <v>Van</v>
      </c>
    </row>
    <row r="921">
      <c r="A921" s="3" t="s">
        <v>3631</v>
      </c>
      <c r="B921" s="74">
        <v>45106.0</v>
      </c>
      <c r="C921" s="74">
        <v>45108.0</v>
      </c>
      <c r="D921" s="3">
        <v>1.0</v>
      </c>
      <c r="E921" s="3">
        <v>2.0</v>
      </c>
      <c r="F921" s="3">
        <f t="shared" si="1"/>
        <v>2</v>
      </c>
      <c r="G921" s="78" t="s">
        <v>2687</v>
      </c>
      <c r="H921" s="3" t="str">
        <f t="array" ref="H921">INDEX(driver_dataset!F:F,MATCH(G921,driver_dataset!A:A,0))</f>
        <v>Bike</v>
      </c>
    </row>
    <row r="922">
      <c r="A922" s="3" t="s">
        <v>3632</v>
      </c>
      <c r="B922" s="74">
        <v>45106.0</v>
      </c>
      <c r="C922" s="74">
        <v>45111.0</v>
      </c>
      <c r="D922" s="3">
        <v>5.0</v>
      </c>
      <c r="E922" s="3">
        <v>3.0</v>
      </c>
      <c r="F922" s="3">
        <f t="shared" si="1"/>
        <v>5</v>
      </c>
      <c r="G922" s="78" t="s">
        <v>2642</v>
      </c>
      <c r="H922" s="3" t="str">
        <f t="array" ref="H922">INDEX(driver_dataset!F:F,MATCH(G922,driver_dataset!A:A,0))</f>
        <v>Bike</v>
      </c>
    </row>
    <row r="923">
      <c r="A923" s="3" t="s">
        <v>3633</v>
      </c>
      <c r="B923" s="73">
        <v>45106.0</v>
      </c>
      <c r="C923" s="74">
        <v>45111.0</v>
      </c>
      <c r="D923" s="3">
        <v>3.0</v>
      </c>
      <c r="E923" s="3">
        <v>3.0</v>
      </c>
      <c r="F923" s="3">
        <f t="shared" si="1"/>
        <v>5</v>
      </c>
      <c r="G923" s="78" t="s">
        <v>2597</v>
      </c>
      <c r="H923" s="3" t="str">
        <f t="array" ref="H923">INDEX(driver_dataset!F:F,MATCH(G923,driver_dataset!A:A,0))</f>
        <v>Bike</v>
      </c>
    </row>
    <row r="924">
      <c r="A924" s="3" t="s">
        <v>3634</v>
      </c>
      <c r="B924" s="73">
        <v>45106.0</v>
      </c>
      <c r="C924" s="74">
        <v>45108.0</v>
      </c>
      <c r="D924" s="3">
        <v>3.0</v>
      </c>
      <c r="E924" s="3">
        <v>2.0</v>
      </c>
      <c r="F924" s="3">
        <f t="shared" si="1"/>
        <v>2</v>
      </c>
      <c r="G924" s="78" t="s">
        <v>2687</v>
      </c>
      <c r="H924" s="3" t="str">
        <f t="array" ref="H924">INDEX(driver_dataset!F:F,MATCH(G924,driver_dataset!A:A,0))</f>
        <v>Bike</v>
      </c>
    </row>
    <row r="925">
      <c r="A925" s="3" t="s">
        <v>3635</v>
      </c>
      <c r="B925" s="73">
        <v>45106.0</v>
      </c>
      <c r="C925" s="74">
        <v>45109.0</v>
      </c>
      <c r="D925" s="3">
        <v>5.0</v>
      </c>
      <c r="E925" s="3">
        <v>2.0</v>
      </c>
      <c r="F925" s="3">
        <f t="shared" si="1"/>
        <v>3</v>
      </c>
      <c r="G925" s="78" t="s">
        <v>2506</v>
      </c>
      <c r="H925" s="3" t="str">
        <f t="array" ref="H925">INDEX(driver_dataset!F:F,MATCH(G925,driver_dataset!A:A,0))</f>
        <v>Bike</v>
      </c>
    </row>
    <row r="926">
      <c r="A926" s="3" t="s">
        <v>3636</v>
      </c>
      <c r="B926" s="73">
        <v>45106.0</v>
      </c>
      <c r="C926" s="74">
        <v>45110.0</v>
      </c>
      <c r="D926" s="3">
        <v>16.0</v>
      </c>
      <c r="E926" s="3">
        <v>8.0</v>
      </c>
      <c r="F926" s="3">
        <f t="shared" si="1"/>
        <v>4</v>
      </c>
      <c r="G926" s="78" t="s">
        <v>2607</v>
      </c>
      <c r="H926" s="3" t="str">
        <f t="array" ref="H926">INDEX(driver_dataset!F:F,MATCH(G926,driver_dataset!A:A,0))</f>
        <v>Van</v>
      </c>
    </row>
    <row r="927">
      <c r="A927" s="3" t="s">
        <v>3637</v>
      </c>
      <c r="B927" s="73">
        <v>45106.0</v>
      </c>
      <c r="C927" s="74">
        <v>45107.0</v>
      </c>
      <c r="D927" s="3">
        <v>4.0</v>
      </c>
      <c r="E927" s="3">
        <v>1.0</v>
      </c>
      <c r="F927" s="3">
        <f t="shared" si="1"/>
        <v>1</v>
      </c>
      <c r="G927" s="78" t="s">
        <v>2572</v>
      </c>
      <c r="H927" s="3" t="str">
        <f t="array" ref="H927">INDEX(driver_dataset!F:F,MATCH(G927,driver_dataset!A:A,0))</f>
        <v>Bike</v>
      </c>
    </row>
    <row r="928">
      <c r="A928" s="3" t="s">
        <v>3638</v>
      </c>
      <c r="B928" s="73">
        <v>45106.0</v>
      </c>
      <c r="C928" s="74">
        <v>45107.0</v>
      </c>
      <c r="D928" s="3">
        <v>7.0</v>
      </c>
      <c r="E928" s="3">
        <v>8.0</v>
      </c>
      <c r="F928" s="3">
        <f t="shared" si="1"/>
        <v>1</v>
      </c>
      <c r="G928" s="78" t="s">
        <v>2672</v>
      </c>
      <c r="H928" s="3" t="str">
        <f t="array" ref="H928">INDEX(driver_dataset!F:F,MATCH(G928,driver_dataset!A:A,0))</f>
        <v>Van</v>
      </c>
    </row>
    <row r="929">
      <c r="A929" s="3" t="s">
        <v>3639</v>
      </c>
      <c r="B929" s="73">
        <v>45106.0</v>
      </c>
      <c r="C929" s="74">
        <v>45107.0</v>
      </c>
      <c r="D929" s="3">
        <v>19.0</v>
      </c>
      <c r="E929" s="3">
        <v>8.0</v>
      </c>
      <c r="F929" s="3">
        <f t="shared" si="1"/>
        <v>1</v>
      </c>
      <c r="G929" s="78" t="s">
        <v>2587</v>
      </c>
      <c r="H929" s="3" t="str">
        <f t="array" ref="H929">INDEX(driver_dataset!F:F,MATCH(G929,driver_dataset!A:A,0))</f>
        <v>Van</v>
      </c>
    </row>
    <row r="930">
      <c r="A930" s="3" t="s">
        <v>3640</v>
      </c>
      <c r="B930" s="73">
        <v>45106.0</v>
      </c>
      <c r="C930" s="74">
        <v>45109.0</v>
      </c>
      <c r="D930" s="3">
        <v>2.0</v>
      </c>
      <c r="E930" s="3">
        <v>3.0</v>
      </c>
      <c r="F930" s="3">
        <f t="shared" si="1"/>
        <v>3</v>
      </c>
      <c r="G930" s="78" t="s">
        <v>2622</v>
      </c>
      <c r="H930" s="3" t="str">
        <f t="array" ref="H930">INDEX(driver_dataset!F:F,MATCH(G930,driver_dataset!A:A,0))</f>
        <v>Bike</v>
      </c>
    </row>
    <row r="931">
      <c r="A931" s="3" t="s">
        <v>3641</v>
      </c>
      <c r="B931" s="73">
        <v>45106.0</v>
      </c>
      <c r="C931" s="74">
        <v>45109.0</v>
      </c>
      <c r="D931" s="3">
        <v>5.0</v>
      </c>
      <c r="E931" s="3">
        <v>3.0</v>
      </c>
      <c r="F931" s="3">
        <f t="shared" si="1"/>
        <v>3</v>
      </c>
      <c r="G931" s="78" t="s">
        <v>2622</v>
      </c>
      <c r="H931" s="3" t="str">
        <f t="array" ref="H931">INDEX(driver_dataset!F:F,MATCH(G931,driver_dataset!A:A,0))</f>
        <v>Bike</v>
      </c>
    </row>
    <row r="932">
      <c r="A932" s="3" t="s">
        <v>3642</v>
      </c>
      <c r="B932" s="73">
        <v>45106.0</v>
      </c>
      <c r="C932" s="74">
        <v>45108.0</v>
      </c>
      <c r="D932" s="3">
        <v>16.0</v>
      </c>
      <c r="E932" s="3">
        <v>6.0</v>
      </c>
      <c r="F932" s="3">
        <f t="shared" si="1"/>
        <v>2</v>
      </c>
      <c r="G932" s="78" t="s">
        <v>2672</v>
      </c>
      <c r="H932" s="3" t="str">
        <f t="array" ref="H932">INDEX(driver_dataset!F:F,MATCH(G932,driver_dataset!A:A,0))</f>
        <v>Van</v>
      </c>
    </row>
    <row r="933">
      <c r="A933" s="3" t="s">
        <v>3643</v>
      </c>
      <c r="B933" s="73">
        <v>45106.0</v>
      </c>
      <c r="C933" s="74">
        <v>45111.0</v>
      </c>
      <c r="D933" s="3">
        <v>6.0</v>
      </c>
      <c r="E933" s="3">
        <v>2.0</v>
      </c>
      <c r="F933" s="3">
        <f t="shared" si="1"/>
        <v>5</v>
      </c>
      <c r="G933" s="78" t="s">
        <v>2577</v>
      </c>
      <c r="H933" s="3" t="str">
        <f t="array" ref="H933">INDEX(driver_dataset!F:F,MATCH(G933,driver_dataset!A:A,0))</f>
        <v>Bike</v>
      </c>
    </row>
    <row r="934">
      <c r="A934" s="3" t="s">
        <v>3644</v>
      </c>
      <c r="B934" s="73">
        <v>45106.0</v>
      </c>
      <c r="C934" s="74">
        <v>45109.0</v>
      </c>
      <c r="D934" s="3">
        <v>9.0</v>
      </c>
      <c r="E934" s="3">
        <v>7.0</v>
      </c>
      <c r="F934" s="3">
        <f t="shared" si="1"/>
        <v>3</v>
      </c>
      <c r="G934" s="78" t="s">
        <v>2672</v>
      </c>
      <c r="H934" s="3" t="str">
        <f t="array" ref="H934">INDEX(driver_dataset!F:F,MATCH(G934,driver_dataset!A:A,0))</f>
        <v>Van</v>
      </c>
    </row>
    <row r="935">
      <c r="A935" s="3" t="s">
        <v>3645</v>
      </c>
      <c r="B935" s="73">
        <v>45106.0</v>
      </c>
      <c r="C935" s="74">
        <v>45110.0</v>
      </c>
      <c r="D935" s="3">
        <v>1.0</v>
      </c>
      <c r="E935" s="3">
        <v>3.0</v>
      </c>
      <c r="F935" s="3">
        <f t="shared" si="1"/>
        <v>4</v>
      </c>
      <c r="G935" s="78" t="s">
        <v>2567</v>
      </c>
      <c r="H935" s="3" t="str">
        <f t="array" ref="H935">INDEX(driver_dataset!F:F,MATCH(G935,driver_dataset!A:A,0))</f>
        <v>Bike</v>
      </c>
    </row>
    <row r="936">
      <c r="A936" s="3" t="s">
        <v>3646</v>
      </c>
      <c r="B936" s="73">
        <v>45106.0</v>
      </c>
      <c r="C936" s="74">
        <v>45107.0</v>
      </c>
      <c r="D936" s="3">
        <v>2.0</v>
      </c>
      <c r="E936" s="3">
        <v>3.0</v>
      </c>
      <c r="F936" s="3">
        <f t="shared" si="1"/>
        <v>1</v>
      </c>
      <c r="G936" s="78" t="s">
        <v>2496</v>
      </c>
      <c r="H936" s="3" t="str">
        <f t="array" ref="H936">INDEX(driver_dataset!F:F,MATCH(G936,driver_dataset!A:A,0))</f>
        <v>Bike</v>
      </c>
    </row>
    <row r="937">
      <c r="A937" s="3" t="s">
        <v>3647</v>
      </c>
      <c r="B937" s="73">
        <v>45106.0</v>
      </c>
      <c r="C937" s="74">
        <v>45107.0</v>
      </c>
      <c r="D937" s="3">
        <v>3.0</v>
      </c>
      <c r="E937" s="3">
        <v>3.0</v>
      </c>
      <c r="F937" s="3">
        <f t="shared" si="1"/>
        <v>1</v>
      </c>
      <c r="G937" s="78" t="s">
        <v>2527</v>
      </c>
      <c r="H937" s="3" t="str">
        <f t="array" ref="H937">INDEX(driver_dataset!F:F,MATCH(G937,driver_dataset!A:A,0))</f>
        <v>Bike</v>
      </c>
    </row>
    <row r="938">
      <c r="A938" s="3" t="s">
        <v>3648</v>
      </c>
      <c r="B938" s="73">
        <v>45106.0</v>
      </c>
      <c r="C938" s="74">
        <v>45109.0</v>
      </c>
      <c r="D938" s="3">
        <v>2.0</v>
      </c>
      <c r="E938" s="3">
        <v>1.0</v>
      </c>
      <c r="F938" s="3">
        <f t="shared" si="1"/>
        <v>3</v>
      </c>
      <c r="G938" s="78" t="s">
        <v>2511</v>
      </c>
      <c r="H938" s="3" t="str">
        <f t="array" ref="H938">INDEX(driver_dataset!F:F,MATCH(G938,driver_dataset!A:A,0))</f>
        <v>Bike</v>
      </c>
    </row>
    <row r="939">
      <c r="A939" s="3" t="s">
        <v>3649</v>
      </c>
      <c r="B939" s="73">
        <v>45106.0</v>
      </c>
      <c r="C939" s="74">
        <v>45108.0</v>
      </c>
      <c r="D939" s="3">
        <v>3.0</v>
      </c>
      <c r="E939" s="3">
        <v>3.0</v>
      </c>
      <c r="F939" s="3">
        <f t="shared" si="1"/>
        <v>2</v>
      </c>
      <c r="G939" s="78" t="s">
        <v>2692</v>
      </c>
      <c r="H939" s="3" t="str">
        <f t="array" ref="H939">INDEX(driver_dataset!F:F,MATCH(G939,driver_dataset!A:A,0))</f>
        <v>Bike</v>
      </c>
    </row>
    <row r="940">
      <c r="A940" s="3" t="s">
        <v>3650</v>
      </c>
      <c r="B940" s="73">
        <v>45106.0</v>
      </c>
      <c r="C940" s="74">
        <v>45108.0</v>
      </c>
      <c r="D940" s="3">
        <v>6.0</v>
      </c>
      <c r="E940" s="3">
        <v>1.0</v>
      </c>
      <c r="F940" s="3">
        <f t="shared" si="1"/>
        <v>2</v>
      </c>
      <c r="G940" s="78" t="s">
        <v>2567</v>
      </c>
      <c r="H940" s="3" t="str">
        <f t="array" ref="H940">INDEX(driver_dataset!F:F,MATCH(G940,driver_dataset!A:A,0))</f>
        <v>Bike</v>
      </c>
    </row>
    <row r="941">
      <c r="A941" s="3" t="s">
        <v>3651</v>
      </c>
      <c r="B941" s="73">
        <v>45106.0</v>
      </c>
      <c r="C941" s="74">
        <v>45110.0</v>
      </c>
      <c r="D941" s="3">
        <v>6.0</v>
      </c>
      <c r="E941" s="3">
        <v>2.0</v>
      </c>
      <c r="F941" s="3">
        <f t="shared" si="1"/>
        <v>4</v>
      </c>
      <c r="G941" s="78" t="s">
        <v>2642</v>
      </c>
      <c r="H941" s="3" t="str">
        <f t="array" ref="H941">INDEX(driver_dataset!F:F,MATCH(G941,driver_dataset!A:A,0))</f>
        <v>Bike</v>
      </c>
    </row>
    <row r="942">
      <c r="A942" s="3" t="s">
        <v>3652</v>
      </c>
      <c r="B942" s="73">
        <v>45106.0</v>
      </c>
      <c r="C942" s="74">
        <v>45108.0</v>
      </c>
      <c r="D942" s="3">
        <v>2.0</v>
      </c>
      <c r="E942" s="3">
        <v>3.0</v>
      </c>
      <c r="F942" s="3">
        <f t="shared" si="1"/>
        <v>2</v>
      </c>
      <c r="G942" s="78" t="s">
        <v>2622</v>
      </c>
      <c r="H942" s="3" t="str">
        <f t="array" ref="H942">INDEX(driver_dataset!F:F,MATCH(G942,driver_dataset!A:A,0))</f>
        <v>Bike</v>
      </c>
    </row>
    <row r="943">
      <c r="A943" s="3" t="s">
        <v>3653</v>
      </c>
      <c r="B943" s="73">
        <v>45106.0</v>
      </c>
      <c r="C943" s="74">
        <v>45110.0</v>
      </c>
      <c r="D943" s="3">
        <v>18.0</v>
      </c>
      <c r="E943" s="3">
        <v>6.0</v>
      </c>
      <c r="F943" s="3">
        <f t="shared" si="1"/>
        <v>4</v>
      </c>
      <c r="G943" s="78" t="s">
        <v>2672</v>
      </c>
      <c r="H943" s="3" t="str">
        <f t="array" ref="H943">INDEX(driver_dataset!F:F,MATCH(G943,driver_dataset!A:A,0))</f>
        <v>Van</v>
      </c>
    </row>
    <row r="944">
      <c r="A944" s="3" t="s">
        <v>3654</v>
      </c>
      <c r="B944" s="73">
        <v>45106.0</v>
      </c>
      <c r="C944" s="74">
        <v>45108.0</v>
      </c>
      <c r="D944" s="3">
        <v>6.0</v>
      </c>
      <c r="E944" s="3">
        <v>1.0</v>
      </c>
      <c r="F944" s="3">
        <f t="shared" si="1"/>
        <v>2</v>
      </c>
      <c r="G944" s="78" t="s">
        <v>2632</v>
      </c>
      <c r="H944" s="3" t="str">
        <f t="array" ref="H944">INDEX(driver_dataset!F:F,MATCH(G944,driver_dataset!A:A,0))</f>
        <v>Bike</v>
      </c>
    </row>
    <row r="945">
      <c r="A945" s="3" t="s">
        <v>3655</v>
      </c>
      <c r="B945" s="73">
        <v>45106.0</v>
      </c>
      <c r="C945" s="74">
        <v>45107.0</v>
      </c>
      <c r="D945" s="3">
        <v>13.0</v>
      </c>
      <c r="E945" s="3">
        <v>7.0</v>
      </c>
      <c r="F945" s="3">
        <f t="shared" si="1"/>
        <v>1</v>
      </c>
      <c r="G945" s="78" t="s">
        <v>2697</v>
      </c>
      <c r="H945" s="3" t="str">
        <f t="array" ref="H945">INDEX(driver_dataset!F:F,MATCH(G945,driver_dataset!A:A,0))</f>
        <v>Van</v>
      </c>
    </row>
    <row r="946">
      <c r="A946" s="3" t="s">
        <v>3656</v>
      </c>
      <c r="B946" s="73">
        <v>45106.0</v>
      </c>
      <c r="C946" s="74">
        <v>45109.0</v>
      </c>
      <c r="D946" s="3">
        <v>4.0</v>
      </c>
      <c r="E946" s="3">
        <v>1.0</v>
      </c>
      <c r="F946" s="3">
        <f t="shared" si="1"/>
        <v>3</v>
      </c>
      <c r="G946" s="78" t="s">
        <v>2652</v>
      </c>
      <c r="H946" s="3" t="str">
        <f t="array" ref="H946">INDEX(driver_dataset!F:F,MATCH(G946,driver_dataset!A:A,0))</f>
        <v>Bike</v>
      </c>
    </row>
    <row r="947">
      <c r="A947" s="3" t="s">
        <v>3657</v>
      </c>
      <c r="B947" s="73">
        <v>45106.0</v>
      </c>
      <c r="C947" s="74">
        <v>45107.0</v>
      </c>
      <c r="D947" s="3">
        <v>11.0</v>
      </c>
      <c r="E947" s="3">
        <v>9.0</v>
      </c>
      <c r="F947" s="3">
        <f t="shared" si="1"/>
        <v>1</v>
      </c>
      <c r="G947" s="78" t="s">
        <v>2627</v>
      </c>
      <c r="H947" s="3" t="str">
        <f t="array" ref="H947">INDEX(driver_dataset!F:F,MATCH(G947,driver_dataset!A:A,0))</f>
        <v>Van</v>
      </c>
    </row>
    <row r="948">
      <c r="A948" s="3" t="s">
        <v>3658</v>
      </c>
      <c r="B948" s="73">
        <v>45106.0</v>
      </c>
      <c r="C948" s="74">
        <v>45110.0</v>
      </c>
      <c r="D948" s="3">
        <v>4.0</v>
      </c>
      <c r="E948" s="3">
        <v>1.0</v>
      </c>
      <c r="F948" s="3">
        <f t="shared" si="1"/>
        <v>4</v>
      </c>
      <c r="G948" s="78" t="s">
        <v>2532</v>
      </c>
      <c r="H948" s="3" t="str">
        <f t="array" ref="H948">INDEX(driver_dataset!F:F,MATCH(G948,driver_dataset!A:A,0))</f>
        <v>Bike</v>
      </c>
    </row>
    <row r="949">
      <c r="A949" s="3" t="s">
        <v>3659</v>
      </c>
      <c r="B949" s="73">
        <v>45106.0</v>
      </c>
      <c r="C949" s="74">
        <v>45110.0</v>
      </c>
      <c r="D949" s="3">
        <v>6.0</v>
      </c>
      <c r="E949" s="3">
        <v>1.0</v>
      </c>
      <c r="F949" s="3">
        <f t="shared" si="1"/>
        <v>4</v>
      </c>
      <c r="G949" s="78" t="s">
        <v>2642</v>
      </c>
      <c r="H949" s="3" t="str">
        <f t="array" ref="H949">INDEX(driver_dataset!F:F,MATCH(G949,driver_dataset!A:A,0))</f>
        <v>Bike</v>
      </c>
    </row>
    <row r="950">
      <c r="A950" s="3" t="s">
        <v>3660</v>
      </c>
      <c r="B950" s="73">
        <v>45106.0</v>
      </c>
      <c r="C950" s="74">
        <v>45110.0</v>
      </c>
      <c r="D950" s="3">
        <v>17.0</v>
      </c>
      <c r="E950" s="3">
        <v>10.0</v>
      </c>
      <c r="F950" s="3">
        <f t="shared" si="1"/>
        <v>4</v>
      </c>
      <c r="G950" s="78" t="s">
        <v>2484</v>
      </c>
      <c r="H950" s="3" t="str">
        <f t="array" ref="H950">INDEX(driver_dataset!F:F,MATCH(G950,driver_dataset!A:A,0))</f>
        <v>Van</v>
      </c>
    </row>
    <row r="951">
      <c r="A951" s="3" t="s">
        <v>3661</v>
      </c>
      <c r="B951" s="73">
        <v>45106.0</v>
      </c>
      <c r="C951" s="74">
        <v>45108.0</v>
      </c>
      <c r="D951" s="3">
        <v>5.0</v>
      </c>
      <c r="E951" s="3">
        <v>1.0</v>
      </c>
      <c r="F951" s="3">
        <f t="shared" si="1"/>
        <v>2</v>
      </c>
      <c r="G951" s="78" t="s">
        <v>2602</v>
      </c>
      <c r="H951" s="3" t="str">
        <f t="array" ref="H951">INDEX(driver_dataset!F:F,MATCH(G951,driver_dataset!A:A,0))</f>
        <v>Bike</v>
      </c>
    </row>
    <row r="952">
      <c r="A952" s="3" t="s">
        <v>3662</v>
      </c>
      <c r="B952" s="73">
        <v>45106.0</v>
      </c>
      <c r="C952" s="74">
        <v>45108.0</v>
      </c>
      <c r="D952" s="3">
        <v>20.0</v>
      </c>
      <c r="E952" s="3">
        <v>9.0</v>
      </c>
      <c r="F952" s="3">
        <f t="shared" si="1"/>
        <v>2</v>
      </c>
      <c r="G952" s="78" t="s">
        <v>2672</v>
      </c>
      <c r="H952" s="3" t="str">
        <f t="array" ref="H952">INDEX(driver_dataset!F:F,MATCH(G952,driver_dataset!A:A,0))</f>
        <v>Van</v>
      </c>
    </row>
    <row r="953">
      <c r="A953" s="3" t="s">
        <v>3663</v>
      </c>
      <c r="B953" s="73">
        <v>45106.0</v>
      </c>
      <c r="C953" s="74">
        <v>45109.0</v>
      </c>
      <c r="D953" s="3">
        <v>4.0</v>
      </c>
      <c r="E953" s="3">
        <v>3.0</v>
      </c>
      <c r="F953" s="3">
        <f t="shared" si="1"/>
        <v>3</v>
      </c>
      <c r="G953" s="78" t="s">
        <v>2582</v>
      </c>
      <c r="H953" s="3" t="str">
        <f t="array" ref="H953">INDEX(driver_dataset!F:F,MATCH(G953,driver_dataset!A:A,0))</f>
        <v>Bike</v>
      </c>
    </row>
    <row r="954">
      <c r="A954" s="3" t="s">
        <v>3664</v>
      </c>
      <c r="B954" s="73">
        <v>45106.0</v>
      </c>
      <c r="C954" s="74">
        <v>45107.0</v>
      </c>
      <c r="D954" s="3">
        <v>18.0</v>
      </c>
      <c r="E954" s="3">
        <v>7.0</v>
      </c>
      <c r="F954" s="3">
        <f t="shared" si="1"/>
        <v>1</v>
      </c>
      <c r="G954" s="78" t="s">
        <v>2607</v>
      </c>
      <c r="H954" s="3" t="str">
        <f t="array" ref="H954">INDEX(driver_dataset!F:F,MATCH(G954,driver_dataset!A:A,0))</f>
        <v>Van</v>
      </c>
    </row>
    <row r="955">
      <c r="A955" s="3" t="s">
        <v>3665</v>
      </c>
      <c r="B955" s="74">
        <v>45107.0</v>
      </c>
      <c r="C955" s="74">
        <v>45109.0</v>
      </c>
      <c r="D955" s="3">
        <v>1.0</v>
      </c>
      <c r="E955" s="3">
        <v>2.0</v>
      </c>
      <c r="F955" s="3">
        <f t="shared" si="1"/>
        <v>2</v>
      </c>
      <c r="G955" s="78" t="s">
        <v>2582</v>
      </c>
      <c r="H955" s="3" t="str">
        <f t="array" ref="H955">INDEX(driver_dataset!F:F,MATCH(G955,driver_dataset!A:A,0))</f>
        <v>Bike</v>
      </c>
    </row>
    <row r="956">
      <c r="A956" s="3" t="s">
        <v>3666</v>
      </c>
      <c r="B956" s="73">
        <v>45107.0</v>
      </c>
      <c r="C956" s="74">
        <v>45112.0</v>
      </c>
      <c r="D956" s="3">
        <v>1.0</v>
      </c>
      <c r="E956" s="3">
        <v>1.0</v>
      </c>
      <c r="F956" s="3">
        <f t="shared" si="1"/>
        <v>5</v>
      </c>
      <c r="G956" s="78" t="s">
        <v>2516</v>
      </c>
      <c r="H956" s="3" t="str">
        <f t="array" ref="H956">INDEX(driver_dataset!F:F,MATCH(G956,driver_dataset!A:A,0))</f>
        <v>Bike</v>
      </c>
    </row>
    <row r="957">
      <c r="A957" s="3" t="s">
        <v>3667</v>
      </c>
      <c r="B957" s="73">
        <v>45107.0</v>
      </c>
      <c r="C957" s="74">
        <v>45111.0</v>
      </c>
      <c r="D957" s="3">
        <v>15.0</v>
      </c>
      <c r="E957" s="3">
        <v>9.0</v>
      </c>
      <c r="F957" s="3">
        <f t="shared" si="1"/>
        <v>4</v>
      </c>
      <c r="G957" s="78" t="s">
        <v>2662</v>
      </c>
      <c r="H957" s="3" t="str">
        <f t="array" ref="H957">INDEX(driver_dataset!F:F,MATCH(G957,driver_dataset!A:A,0))</f>
        <v>Van</v>
      </c>
    </row>
    <row r="958">
      <c r="A958" s="3" t="s">
        <v>3668</v>
      </c>
      <c r="B958" s="73">
        <v>45107.0</v>
      </c>
      <c r="C958" s="74">
        <v>45109.0</v>
      </c>
      <c r="D958" s="3">
        <v>3.0</v>
      </c>
      <c r="E958" s="3">
        <v>3.0</v>
      </c>
      <c r="F958" s="3">
        <f t="shared" si="1"/>
        <v>2</v>
      </c>
      <c r="G958" s="78" t="s">
        <v>2532</v>
      </c>
      <c r="H958" s="3" t="str">
        <f t="array" ref="H958">INDEX(driver_dataset!F:F,MATCH(G958,driver_dataset!A:A,0))</f>
        <v>Bike</v>
      </c>
    </row>
    <row r="959">
      <c r="A959" s="3" t="s">
        <v>3669</v>
      </c>
      <c r="B959" s="73">
        <v>45107.0</v>
      </c>
      <c r="C959" s="74">
        <v>45109.0</v>
      </c>
      <c r="D959" s="3">
        <v>6.0</v>
      </c>
      <c r="E959" s="3">
        <v>1.0</v>
      </c>
      <c r="F959" s="3">
        <f t="shared" si="1"/>
        <v>2</v>
      </c>
      <c r="G959" s="78" t="s">
        <v>2632</v>
      </c>
      <c r="H959" s="3" t="str">
        <f t="array" ref="H959">INDEX(driver_dataset!F:F,MATCH(G959,driver_dataset!A:A,0))</f>
        <v>Bike</v>
      </c>
    </row>
    <row r="960">
      <c r="A960" s="3" t="s">
        <v>3670</v>
      </c>
      <c r="B960" s="73">
        <v>45107.0</v>
      </c>
      <c r="C960" s="74">
        <v>45108.0</v>
      </c>
      <c r="D960" s="3">
        <v>11.0</v>
      </c>
      <c r="E960" s="3">
        <v>9.0</v>
      </c>
      <c r="F960" s="3">
        <f t="shared" si="1"/>
        <v>1</v>
      </c>
      <c r="G960" s="78" t="s">
        <v>2607</v>
      </c>
      <c r="H960" s="3" t="str">
        <f t="array" ref="H960">INDEX(driver_dataset!F:F,MATCH(G960,driver_dataset!A:A,0))</f>
        <v>Van</v>
      </c>
    </row>
    <row r="961">
      <c r="A961" s="3" t="s">
        <v>3671</v>
      </c>
      <c r="B961" s="73">
        <v>45107.0</v>
      </c>
      <c r="C961" s="74">
        <v>45112.0</v>
      </c>
      <c r="D961" s="3">
        <v>9.0</v>
      </c>
      <c r="E961" s="3">
        <v>8.0</v>
      </c>
      <c r="F961" s="3">
        <f t="shared" si="1"/>
        <v>5</v>
      </c>
      <c r="G961" s="78" t="s">
        <v>2627</v>
      </c>
      <c r="H961" s="3" t="str">
        <f t="array" ref="H961">INDEX(driver_dataset!F:F,MATCH(G961,driver_dataset!A:A,0))</f>
        <v>Van</v>
      </c>
    </row>
    <row r="962">
      <c r="A962" s="3" t="s">
        <v>3672</v>
      </c>
      <c r="B962" s="73">
        <v>45107.0</v>
      </c>
      <c r="C962" s="74">
        <v>45112.0</v>
      </c>
      <c r="D962" s="3">
        <v>18.0</v>
      </c>
      <c r="E962" s="3">
        <v>4.0</v>
      </c>
      <c r="F962" s="3">
        <f t="shared" si="1"/>
        <v>5</v>
      </c>
      <c r="G962" s="78" t="s">
        <v>2537</v>
      </c>
      <c r="H962" s="3" t="str">
        <f t="array" ref="H962">INDEX(driver_dataset!F:F,MATCH(G962,driver_dataset!A:A,0))</f>
        <v>Van</v>
      </c>
    </row>
    <row r="963">
      <c r="A963" s="3" t="s">
        <v>3673</v>
      </c>
      <c r="B963" s="73">
        <v>45107.0</v>
      </c>
      <c r="C963" s="74">
        <v>45112.0</v>
      </c>
      <c r="D963" s="3">
        <v>5.0</v>
      </c>
      <c r="E963" s="3">
        <v>2.0</v>
      </c>
      <c r="F963" s="3">
        <f t="shared" si="1"/>
        <v>5</v>
      </c>
      <c r="G963" s="78" t="s">
        <v>2496</v>
      </c>
      <c r="H963" s="3" t="str">
        <f t="array" ref="H963">INDEX(driver_dataset!F:F,MATCH(G963,driver_dataset!A:A,0))</f>
        <v>Bike</v>
      </c>
    </row>
    <row r="964">
      <c r="A964" s="3" t="s">
        <v>3674</v>
      </c>
      <c r="B964" s="73">
        <v>45107.0</v>
      </c>
      <c r="C964" s="74">
        <v>45112.0</v>
      </c>
      <c r="D964" s="3">
        <v>13.0</v>
      </c>
      <c r="E964" s="3">
        <v>9.0</v>
      </c>
      <c r="F964" s="3">
        <f t="shared" si="1"/>
        <v>5</v>
      </c>
      <c r="G964" s="78" t="s">
        <v>2662</v>
      </c>
      <c r="H964" s="3" t="str">
        <f t="array" ref="H964">INDEX(driver_dataset!F:F,MATCH(G964,driver_dataset!A:A,0))</f>
        <v>Van</v>
      </c>
    </row>
    <row r="965">
      <c r="A965" s="3" t="s">
        <v>3675</v>
      </c>
      <c r="B965" s="73">
        <v>45107.0</v>
      </c>
      <c r="C965" s="74">
        <v>45112.0</v>
      </c>
      <c r="D965" s="3">
        <v>1.0</v>
      </c>
      <c r="E965" s="3">
        <v>3.0</v>
      </c>
      <c r="F965" s="3">
        <f t="shared" si="1"/>
        <v>5</v>
      </c>
      <c r="G965" s="78" t="s">
        <v>2511</v>
      </c>
      <c r="H965" s="3" t="str">
        <f t="array" ref="H965">INDEX(driver_dataset!F:F,MATCH(G965,driver_dataset!A:A,0))</f>
        <v>Bike</v>
      </c>
    </row>
    <row r="966">
      <c r="A966" s="3" t="s">
        <v>3676</v>
      </c>
      <c r="B966" s="73">
        <v>45107.0</v>
      </c>
      <c r="C966" s="74">
        <v>45110.0</v>
      </c>
      <c r="D966" s="3">
        <v>6.0</v>
      </c>
      <c r="E966" s="3">
        <v>2.0</v>
      </c>
      <c r="F966" s="3">
        <f t="shared" si="1"/>
        <v>3</v>
      </c>
      <c r="G966" s="78" t="s">
        <v>2652</v>
      </c>
      <c r="H966" s="3" t="str">
        <f t="array" ref="H966">INDEX(driver_dataset!F:F,MATCH(G966,driver_dataset!A:A,0))</f>
        <v>Bike</v>
      </c>
    </row>
    <row r="967">
      <c r="A967" s="3" t="s">
        <v>3677</v>
      </c>
      <c r="B967" s="73">
        <v>45107.0</v>
      </c>
      <c r="C967" s="74">
        <v>45111.0</v>
      </c>
      <c r="D967" s="3">
        <v>3.0</v>
      </c>
      <c r="E967" s="3">
        <v>3.0</v>
      </c>
      <c r="F967" s="3">
        <f t="shared" si="1"/>
        <v>4</v>
      </c>
      <c r="G967" s="78" t="s">
        <v>2597</v>
      </c>
      <c r="H967" s="3" t="str">
        <f t="array" ref="H967">INDEX(driver_dataset!F:F,MATCH(G967,driver_dataset!A:A,0))</f>
        <v>Bike</v>
      </c>
    </row>
    <row r="968">
      <c r="A968" s="3" t="s">
        <v>3678</v>
      </c>
      <c r="B968" s="73">
        <v>45107.0</v>
      </c>
      <c r="C968" s="74">
        <v>45110.0</v>
      </c>
      <c r="D968" s="3">
        <v>1.0</v>
      </c>
      <c r="E968" s="3">
        <v>1.0</v>
      </c>
      <c r="F968" s="3">
        <f t="shared" si="1"/>
        <v>3</v>
      </c>
      <c r="G968" s="78" t="s">
        <v>2506</v>
      </c>
      <c r="H968" s="3" t="str">
        <f t="array" ref="H968">INDEX(driver_dataset!F:F,MATCH(G968,driver_dataset!A:A,0))</f>
        <v>Bike</v>
      </c>
    </row>
    <row r="969">
      <c r="A969" s="3" t="s">
        <v>3679</v>
      </c>
      <c r="B969" s="73">
        <v>45107.0</v>
      </c>
      <c r="C969" s="74">
        <v>45108.0</v>
      </c>
      <c r="D969" s="3">
        <v>3.0</v>
      </c>
      <c r="E969" s="3">
        <v>3.0</v>
      </c>
      <c r="F969" s="3">
        <f t="shared" si="1"/>
        <v>1</v>
      </c>
      <c r="G969" s="78" t="s">
        <v>2557</v>
      </c>
      <c r="H969" s="3" t="str">
        <f t="array" ref="H969">INDEX(driver_dataset!F:F,MATCH(G969,driver_dataset!A:A,0))</f>
        <v>Bike</v>
      </c>
    </row>
    <row r="970">
      <c r="A970" s="3" t="s">
        <v>3680</v>
      </c>
      <c r="B970" s="73">
        <v>45107.0</v>
      </c>
      <c r="C970" s="74">
        <v>45112.0</v>
      </c>
      <c r="D970" s="3">
        <v>15.0</v>
      </c>
      <c r="E970" s="3">
        <v>4.0</v>
      </c>
      <c r="F970" s="3">
        <f t="shared" si="1"/>
        <v>5</v>
      </c>
      <c r="G970" s="78" t="s">
        <v>2697</v>
      </c>
      <c r="H970" s="3" t="str">
        <f t="array" ref="H970">INDEX(driver_dataset!F:F,MATCH(G970,driver_dataset!A:A,0))</f>
        <v>Van</v>
      </c>
    </row>
    <row r="971">
      <c r="A971" s="3" t="s">
        <v>3681</v>
      </c>
      <c r="B971" s="73">
        <v>45107.0</v>
      </c>
      <c r="C971" s="74">
        <v>45111.0</v>
      </c>
      <c r="D971" s="3">
        <v>4.0</v>
      </c>
      <c r="E971" s="3">
        <v>1.0</v>
      </c>
      <c r="F971" s="3">
        <f t="shared" si="1"/>
        <v>4</v>
      </c>
      <c r="G971" s="78" t="s">
        <v>2562</v>
      </c>
      <c r="H971" s="3" t="str">
        <f t="array" ref="H971">INDEX(driver_dataset!F:F,MATCH(G971,driver_dataset!A:A,0))</f>
        <v>Bike</v>
      </c>
    </row>
    <row r="972">
      <c r="A972" s="3" t="s">
        <v>3682</v>
      </c>
      <c r="B972" s="73">
        <v>45107.0</v>
      </c>
      <c r="C972" s="74">
        <v>45112.0</v>
      </c>
      <c r="D972" s="3">
        <v>5.0</v>
      </c>
      <c r="E972" s="3">
        <v>2.0</v>
      </c>
      <c r="F972" s="3">
        <f t="shared" si="1"/>
        <v>5</v>
      </c>
      <c r="G972" s="78" t="s">
        <v>2490</v>
      </c>
      <c r="H972" s="3" t="str">
        <f t="array" ref="H972">INDEX(driver_dataset!F:F,MATCH(G972,driver_dataset!A:A,0))</f>
        <v>Bike</v>
      </c>
    </row>
    <row r="973">
      <c r="A973" s="3" t="s">
        <v>3683</v>
      </c>
      <c r="B973" s="73">
        <v>45107.0</v>
      </c>
      <c r="C973" s="74">
        <v>45110.0</v>
      </c>
      <c r="D973" s="3">
        <v>4.0</v>
      </c>
      <c r="E973" s="3">
        <v>3.0</v>
      </c>
      <c r="F973" s="3">
        <f t="shared" si="1"/>
        <v>3</v>
      </c>
      <c r="G973" s="78" t="s">
        <v>2622</v>
      </c>
      <c r="H973" s="3" t="str">
        <f t="array" ref="H973">INDEX(driver_dataset!F:F,MATCH(G973,driver_dataset!A:A,0))</f>
        <v>Bike</v>
      </c>
    </row>
    <row r="974">
      <c r="A974" s="3" t="s">
        <v>3684</v>
      </c>
      <c r="B974" s="73">
        <v>45107.0</v>
      </c>
      <c r="C974" s="74">
        <v>45112.0</v>
      </c>
      <c r="D974" s="3">
        <v>7.0</v>
      </c>
      <c r="E974" s="3">
        <v>9.0</v>
      </c>
      <c r="F974" s="3">
        <f t="shared" si="1"/>
        <v>5</v>
      </c>
      <c r="G974" s="78" t="s">
        <v>2672</v>
      </c>
      <c r="H974" s="3" t="str">
        <f t="array" ref="H974">INDEX(driver_dataset!F:F,MATCH(G974,driver_dataset!A:A,0))</f>
        <v>Van</v>
      </c>
    </row>
    <row r="975">
      <c r="A975" s="3" t="s">
        <v>3685</v>
      </c>
      <c r="B975" s="73">
        <v>45107.0</v>
      </c>
      <c r="C975" s="74">
        <v>45110.0</v>
      </c>
      <c r="D975" s="3">
        <v>7.0</v>
      </c>
      <c r="E975" s="3">
        <v>9.0</v>
      </c>
      <c r="F975" s="3">
        <f t="shared" si="1"/>
        <v>3</v>
      </c>
      <c r="G975" s="78" t="s">
        <v>2627</v>
      </c>
      <c r="H975" s="3" t="str">
        <f t="array" ref="H975">INDEX(driver_dataset!F:F,MATCH(G975,driver_dataset!A:A,0))</f>
        <v>Van</v>
      </c>
    </row>
    <row r="976">
      <c r="A976" s="3" t="s">
        <v>3686</v>
      </c>
      <c r="B976" s="73">
        <v>45107.0</v>
      </c>
      <c r="C976" s="74">
        <v>45109.0</v>
      </c>
      <c r="D976" s="3">
        <v>1.0</v>
      </c>
      <c r="E976" s="3">
        <v>3.0</v>
      </c>
      <c r="F976" s="3">
        <f t="shared" si="1"/>
        <v>2</v>
      </c>
      <c r="G976" s="78" t="s">
        <v>2557</v>
      </c>
      <c r="H976" s="3" t="str">
        <f t="array" ref="H976">INDEX(driver_dataset!F:F,MATCH(G976,driver_dataset!A:A,0))</f>
        <v>Bike</v>
      </c>
    </row>
    <row r="977">
      <c r="A977" s="3" t="s">
        <v>3687</v>
      </c>
      <c r="B977" s="73">
        <v>45107.0</v>
      </c>
      <c r="C977" s="74">
        <v>45112.0</v>
      </c>
      <c r="D977" s="3">
        <v>6.0</v>
      </c>
      <c r="E977" s="3">
        <v>3.0</v>
      </c>
      <c r="F977" s="3">
        <f t="shared" si="1"/>
        <v>5</v>
      </c>
      <c r="G977" s="78" t="s">
        <v>2642</v>
      </c>
      <c r="H977" s="3" t="str">
        <f t="array" ref="H977">INDEX(driver_dataset!F:F,MATCH(G977,driver_dataset!A:A,0))</f>
        <v>Bike</v>
      </c>
    </row>
    <row r="978">
      <c r="A978" s="3" t="s">
        <v>3688</v>
      </c>
      <c r="B978" s="73">
        <v>45107.0</v>
      </c>
      <c r="C978" s="74">
        <v>45111.0</v>
      </c>
      <c r="D978" s="3">
        <v>5.0</v>
      </c>
      <c r="E978" s="3">
        <v>3.0</v>
      </c>
      <c r="F978" s="3">
        <f t="shared" si="1"/>
        <v>4</v>
      </c>
      <c r="G978" s="78" t="s">
        <v>2567</v>
      </c>
      <c r="H978" s="3" t="str">
        <f t="array" ref="H978">INDEX(driver_dataset!F:F,MATCH(G978,driver_dataset!A:A,0))</f>
        <v>Bike</v>
      </c>
    </row>
    <row r="979">
      <c r="A979" s="3" t="s">
        <v>3689</v>
      </c>
      <c r="B979" s="73">
        <v>45107.0</v>
      </c>
      <c r="C979" s="74">
        <v>45110.0</v>
      </c>
      <c r="D979" s="3">
        <v>10.0</v>
      </c>
      <c r="E979" s="3">
        <v>9.0</v>
      </c>
      <c r="F979" s="3">
        <f t="shared" si="1"/>
        <v>3</v>
      </c>
      <c r="G979" s="78" t="s">
        <v>2697</v>
      </c>
      <c r="H979" s="3" t="str">
        <f t="array" ref="H979">INDEX(driver_dataset!F:F,MATCH(G979,driver_dataset!A:A,0))</f>
        <v>Van</v>
      </c>
    </row>
    <row r="980">
      <c r="A980" s="3" t="s">
        <v>3690</v>
      </c>
      <c r="B980" s="73">
        <v>45107.0</v>
      </c>
      <c r="C980" s="74">
        <v>45111.0</v>
      </c>
      <c r="D980" s="3">
        <v>20.0</v>
      </c>
      <c r="E980" s="3">
        <v>7.0</v>
      </c>
      <c r="F980" s="3">
        <f t="shared" si="1"/>
        <v>4</v>
      </c>
      <c r="G980" s="78" t="s">
        <v>2667</v>
      </c>
      <c r="H980" s="3" t="str">
        <f t="array" ref="H980">INDEX(driver_dataset!F:F,MATCH(G980,driver_dataset!A:A,0))</f>
        <v>Van</v>
      </c>
    </row>
    <row r="981">
      <c r="A981" s="3" t="s">
        <v>3691</v>
      </c>
      <c r="B981" s="73">
        <v>45107.0</v>
      </c>
      <c r="C981" s="74">
        <v>45110.0</v>
      </c>
      <c r="D981" s="3">
        <v>3.0</v>
      </c>
      <c r="E981" s="3">
        <v>2.0</v>
      </c>
      <c r="F981" s="3">
        <f t="shared" si="1"/>
        <v>3</v>
      </c>
      <c r="G981" s="78" t="s">
        <v>2506</v>
      </c>
      <c r="H981" s="3" t="str">
        <f t="array" ref="H981">INDEX(driver_dataset!F:F,MATCH(G981,driver_dataset!A:A,0))</f>
        <v>Bike</v>
      </c>
    </row>
    <row r="982">
      <c r="A982" s="3" t="s">
        <v>3692</v>
      </c>
      <c r="B982" s="73">
        <v>45107.0</v>
      </c>
      <c r="C982" s="74">
        <v>45109.0</v>
      </c>
      <c r="D982" s="3">
        <v>14.0</v>
      </c>
      <c r="E982" s="3">
        <v>6.0</v>
      </c>
      <c r="F982" s="3">
        <f t="shared" si="1"/>
        <v>2</v>
      </c>
      <c r="G982" s="78" t="s">
        <v>2484</v>
      </c>
      <c r="H982" s="3" t="str">
        <f t="array" ref="H982">INDEX(driver_dataset!F:F,MATCH(G982,driver_dataset!A:A,0))</f>
        <v>Van</v>
      </c>
    </row>
    <row r="983">
      <c r="A983" s="3" t="s">
        <v>3693</v>
      </c>
      <c r="B983" s="73">
        <v>45107.0</v>
      </c>
      <c r="C983" s="74">
        <v>45111.0</v>
      </c>
      <c r="D983" s="3">
        <v>5.0</v>
      </c>
      <c r="E983" s="3">
        <v>1.0</v>
      </c>
      <c r="F983" s="3">
        <f t="shared" si="1"/>
        <v>4</v>
      </c>
      <c r="G983" s="78" t="s">
        <v>2677</v>
      </c>
      <c r="H983" s="3" t="str">
        <f t="array" ref="H983">INDEX(driver_dataset!F:F,MATCH(G983,driver_dataset!A:A,0))</f>
        <v>Bike</v>
      </c>
    </row>
    <row r="984">
      <c r="A984" s="3" t="s">
        <v>3694</v>
      </c>
      <c r="B984" s="73">
        <v>45107.0</v>
      </c>
      <c r="C984" s="74">
        <v>45112.0</v>
      </c>
      <c r="D984" s="3">
        <v>5.0</v>
      </c>
      <c r="E984" s="3">
        <v>3.0</v>
      </c>
      <c r="F984" s="3">
        <f t="shared" si="1"/>
        <v>5</v>
      </c>
      <c r="G984" s="78" t="s">
        <v>2490</v>
      </c>
      <c r="H984" s="3" t="str">
        <f t="array" ref="H984">INDEX(driver_dataset!F:F,MATCH(G984,driver_dataset!A:A,0))</f>
        <v>Bike</v>
      </c>
    </row>
    <row r="985">
      <c r="A985" s="3" t="s">
        <v>3695</v>
      </c>
      <c r="B985" s="73">
        <v>45107.0</v>
      </c>
      <c r="C985" s="74">
        <v>45108.0</v>
      </c>
      <c r="D985" s="3">
        <v>6.0</v>
      </c>
      <c r="E985" s="3">
        <v>1.0</v>
      </c>
      <c r="F985" s="3">
        <f t="shared" si="1"/>
        <v>1</v>
      </c>
      <c r="G985" s="78" t="s">
        <v>2506</v>
      </c>
      <c r="H985" s="3" t="str">
        <f t="array" ref="H985">INDEX(driver_dataset!F:F,MATCH(G985,driver_dataset!A:A,0))</f>
        <v>Bike</v>
      </c>
    </row>
    <row r="986">
      <c r="A986" s="3" t="s">
        <v>3696</v>
      </c>
      <c r="B986" s="73">
        <v>45107.0</v>
      </c>
      <c r="C986" s="74">
        <v>45109.0</v>
      </c>
      <c r="D986" s="3">
        <v>5.0</v>
      </c>
      <c r="E986" s="3">
        <v>2.0</v>
      </c>
      <c r="F986" s="3">
        <f t="shared" si="1"/>
        <v>2</v>
      </c>
      <c r="G986" s="78" t="s">
        <v>2516</v>
      </c>
      <c r="H986" s="3" t="str">
        <f t="array" ref="H986">INDEX(driver_dataset!F:F,MATCH(G986,driver_dataset!A:A,0))</f>
        <v>Bike</v>
      </c>
    </row>
    <row r="987">
      <c r="A987" s="3" t="s">
        <v>3697</v>
      </c>
      <c r="B987" s="73">
        <v>45107.0</v>
      </c>
      <c r="C987" s="74">
        <v>45110.0</v>
      </c>
      <c r="D987" s="3">
        <v>3.0</v>
      </c>
      <c r="E987" s="3">
        <v>1.0</v>
      </c>
      <c r="F987" s="3">
        <f t="shared" si="1"/>
        <v>3</v>
      </c>
      <c r="G987" s="78" t="s">
        <v>2582</v>
      </c>
      <c r="H987" s="3" t="str">
        <f t="array" ref="H987">INDEX(driver_dataset!F:F,MATCH(G987,driver_dataset!A:A,0))</f>
        <v>Bike</v>
      </c>
    </row>
  </sheetData>
  <drawing r:id="rId1"/>
</worksheet>
</file>