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OneDrive\Desktop\Projects\Optimization\"/>
    </mc:Choice>
  </mc:AlternateContent>
  <xr:revisionPtr revIDLastSave="0" documentId="13_ncr:1_{CBB7FC6C-98B6-4312-B2C0-AD799A466C53}" xr6:coauthVersionLast="47" xr6:coauthVersionMax="47" xr10:uidLastSave="{00000000-0000-0000-0000-000000000000}"/>
  <bookViews>
    <workbookView xWindow="-108" yWindow="-108" windowWidth="23256" windowHeight="12456" firstSheet="1" activeTab="2" xr2:uid="{2F0838DF-6FAA-40C7-AB33-C69FB444D085}"/>
  </bookViews>
  <sheets>
    <sheet name="_@RISKFitInformation" sheetId="14" state="hidden" r:id="rId1"/>
    <sheet name="Optimization Model" sheetId="1" r:id="rId2"/>
    <sheet name="Sensitivity Report for model 1" sheetId="18" r:id="rId3"/>
    <sheet name="Sheet1_STS" sheetId="5" state="veryHidden" r:id="rId4"/>
    <sheet name="Optimization model 2" sheetId="19" state="hidden" r:id="rId5"/>
    <sheet name="Sensitivity Report for model 2" sheetId="20" state="hidden" r:id="rId6"/>
    <sheet name="Optimization Model_STS" sheetId="21" state="veryHidden" r:id="rId7"/>
    <sheet name="STS_1" sheetId="22" r:id="rId8"/>
    <sheet name="STS_2" sheetId="24" r:id="rId9"/>
    <sheet name="STS_3" sheetId="25" r:id="rId10"/>
    <sheet name="demand data" sheetId="13" r:id="rId11"/>
  </sheets>
  <definedNames>
    <definedName name="_AtRisk_FitDataRange_FIT_2FE7B_ABFDC" hidden="1">'demand data'!$C$2:$C$157</definedName>
    <definedName name="_AtRisk_FitDataRange_FIT_51BF3_45DEA" hidden="1">'demand data'!$B$2:$B$157</definedName>
    <definedName name="_AtRisk_FitDataRange_FIT_52F9_3C6B3" hidden="1">'demand data'!$G$2:$G$157</definedName>
    <definedName name="_AtRisk_FitDataRange_FIT_617FE_916D5" hidden="1">'demand data'!$C$2:$C$157</definedName>
    <definedName name="_AtRisk_FitDataRange_FIT_914EB_F0183" hidden="1">'demand data'!$E$2:$E$157</definedName>
    <definedName name="_AtRisk_FitDataRange_FIT_980E3_B2282" hidden="1">'demand data'!$F$2:$F$157</definedName>
    <definedName name="_AtRisk_FitDataRange_FIT_9B8ED_DCC1D" hidden="1">'demand data'!$D$2:$D$157</definedName>
    <definedName name="_AtRisk_FitDataRange_FIT_B314B_96D80" hidden="1">'demand data'!$C$2:$C$157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0</definedName>
    <definedName name="_AtRisk_SimSetting_MultipleCPUModeV8" hidden="1">0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hartData" localSheetId="7">STS_1!$V$5:$V$35</definedName>
    <definedName name="ChartData" localSheetId="8">STS_2!$V$5:$V$35</definedName>
    <definedName name="ChartData1" localSheetId="9">STS_3!$O$5:$O$16</definedName>
    <definedName name="ChartData2" localSheetId="9">STS_3!$S$5:$S$13</definedName>
    <definedName name="InputValues" localSheetId="7">STS_1!$A$5:$A$35</definedName>
    <definedName name="InputValues" localSheetId="8">STS_2!$A$5:$A$35</definedName>
    <definedName name="InputValues1" localSheetId="9">STS_3!$A$5:$A$13</definedName>
    <definedName name="InputValues2" localSheetId="9">STS_3!$B$4:$M$4</definedName>
    <definedName name="OutputAddresses" localSheetId="7">STS_1!$B$4:$T$4</definedName>
    <definedName name="OutputAddresses" localSheetId="8">STS_2!$B$4:$T$4</definedName>
    <definedName name="OutputAddresses" localSheetId="9">STS_3!$AZ$2:$AZ$20</definedName>
    <definedName name="OutputValues" localSheetId="7">STS_1!$B$5:$T$35</definedName>
    <definedName name="OutputValues" localSheetId="8">STS_2!$B$5:$T$35</definedName>
    <definedName name="OutputValues_1" localSheetId="9">STS_3!$B$5:$M$13</definedName>
    <definedName name="OutputValues_10" localSheetId="9">STS_3!$B$104:$M$112</definedName>
    <definedName name="OutputValues_11" localSheetId="9">STS_3!$B$115:$M$123</definedName>
    <definedName name="OutputValues_12" localSheetId="9">STS_3!$B$126:$M$134</definedName>
    <definedName name="OutputValues_13" localSheetId="9">STS_3!$B$137:$M$145</definedName>
    <definedName name="OutputValues_14" localSheetId="9">STS_3!$B$148:$M$156</definedName>
    <definedName name="OutputValues_15" localSheetId="9">STS_3!$B$159:$M$167</definedName>
    <definedName name="OutputValues_16" localSheetId="9">STS_3!$B$170:$M$178</definedName>
    <definedName name="OutputValues_17" localSheetId="9">STS_3!$B$181:$M$189</definedName>
    <definedName name="OutputValues_18" localSheetId="9">STS_3!$B$192:$M$200</definedName>
    <definedName name="OutputValues_19" localSheetId="9">STS_3!$B$203:$M$211</definedName>
    <definedName name="OutputValues_2" localSheetId="9">STS_3!$B$16:$M$24</definedName>
    <definedName name="OutputValues_3" localSheetId="9">STS_3!$B$27:$M$35</definedName>
    <definedName name="OutputValues_4" localSheetId="9">STS_3!$B$38:$M$46</definedName>
    <definedName name="OutputValues_5" localSheetId="9">STS_3!$B$49:$M$57</definedName>
    <definedName name="OutputValues_6" localSheetId="9">STS_3!$B$60:$M$68</definedName>
    <definedName name="OutputValues_7" localSheetId="9">STS_3!$B$71:$M$79</definedName>
    <definedName name="OutputValues_8" localSheetId="9">STS_3!$B$82:$M$90</definedName>
    <definedName name="OutputValues_9" localSheetId="9">STS_3!$B$93:$M$101</definedName>
    <definedName name="Pal_Workbook_GUID" hidden="1">"VJL4WKDBU9KK3MAIA8EFHWUR"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'Optimization Model'!$D$20:$I$22</definedName>
    <definedName name="solver_adj" localSheetId="4" hidden="1">'Optimization model 2'!$D$23:$I$25</definedName>
    <definedName name="solver_cvg" localSheetId="1" hidden="1">0.0001</definedName>
    <definedName name="solver_cvg" localSheetId="4" hidden="1">0.0001</definedName>
    <definedName name="solver_drv" localSheetId="1" hidden="1">2</definedName>
    <definedName name="solver_drv" localSheetId="4" hidden="1">2</definedName>
    <definedName name="solver_eng" localSheetId="1" hidden="1">2</definedName>
    <definedName name="solver_eng" localSheetId="4" hidden="1">2</definedName>
    <definedName name="solver_est" localSheetId="1" hidden="1">1</definedName>
    <definedName name="solver_est" localSheetId="4" hidden="1">1</definedName>
    <definedName name="solver_itr" localSheetId="1" hidden="1">2147483647</definedName>
    <definedName name="solver_itr" localSheetId="4" hidden="1">2147483647</definedName>
    <definedName name="solver_lhs1" localSheetId="1" hidden="1">'Optimization Model'!$D$24</definedName>
    <definedName name="solver_lhs1" localSheetId="4" hidden="1">'Optimization model 2'!$D$26:$I$26</definedName>
    <definedName name="solver_lhs10" localSheetId="1" hidden="1">'Optimization Model'!$J$34</definedName>
    <definedName name="solver_lhs10" localSheetId="4" hidden="1">'Optimization model 2'!$J$25</definedName>
    <definedName name="solver_lhs11" localSheetId="1" hidden="1">'Optimization Model'!$J$34</definedName>
    <definedName name="solver_lhs11" localSheetId="4" hidden="1">'Optimization model 2'!$J$25</definedName>
    <definedName name="solver_lhs12" localSheetId="1" hidden="1">'Optimization Model'!$J$34</definedName>
    <definedName name="solver_lhs12" localSheetId="4" hidden="1">'Optimization model 2'!$J$25</definedName>
    <definedName name="solver_lhs2" localSheetId="1" hidden="1">'Optimization Model'!$E$24</definedName>
    <definedName name="solver_lhs2" localSheetId="4" hidden="1">'Optimization model 2'!$J$23:$J$25</definedName>
    <definedName name="solver_lhs3" localSheetId="1" hidden="1">'Optimization Model'!$F$24</definedName>
    <definedName name="solver_lhs3" localSheetId="4" hidden="1">'Optimization model 2'!$J$14</definedName>
    <definedName name="solver_lhs4" localSheetId="1" hidden="1">'Optimization Model'!$G$24</definedName>
    <definedName name="solver_lhs4" localSheetId="4" hidden="1">'Optimization model 2'!$J$14</definedName>
    <definedName name="solver_lhs5" localSheetId="1" hidden="1">'Optimization Model'!$H$24</definedName>
    <definedName name="solver_lhs5" localSheetId="4" hidden="1">'Optimization model 2'!$J$14</definedName>
    <definedName name="solver_lhs6" localSheetId="1" hidden="1">'Optimization Model'!$I$24</definedName>
    <definedName name="solver_lhs6" localSheetId="4" hidden="1">'Optimization model 2'!$J$14</definedName>
    <definedName name="solver_lhs7" localSheetId="1" hidden="1">'Optimization Model'!$K$20</definedName>
    <definedName name="solver_lhs7" localSheetId="4" hidden="1">'Optimization model 2'!$J$14</definedName>
    <definedName name="solver_lhs8" localSheetId="1" hidden="1">'Optimization Model'!$K$21</definedName>
    <definedName name="solver_lhs8" localSheetId="4" hidden="1">'Optimization model 2'!$J$14</definedName>
    <definedName name="solver_lhs9" localSheetId="1" hidden="1">'Optimization Model'!$K$22</definedName>
    <definedName name="solver_lhs9" localSheetId="4" hidden="1">'Optimization model 2'!$J$14</definedName>
    <definedName name="solver_mip" localSheetId="1" hidden="1">2147483647</definedName>
    <definedName name="solver_mip" localSheetId="4" hidden="1">2147483647</definedName>
    <definedName name="solver_mni" localSheetId="1" hidden="1">30</definedName>
    <definedName name="solver_mni" localSheetId="4" hidden="1">30</definedName>
    <definedName name="solver_mrt" localSheetId="1" hidden="1">0.075</definedName>
    <definedName name="solver_mrt" localSheetId="4" hidden="1">0.075</definedName>
    <definedName name="solver_msl" localSheetId="1" hidden="1">2</definedName>
    <definedName name="solver_msl" localSheetId="4" hidden="1">2</definedName>
    <definedName name="solver_neg" localSheetId="1" hidden="1">1</definedName>
    <definedName name="solver_neg" localSheetId="4" hidden="1">1</definedName>
    <definedName name="solver_nod" localSheetId="1" hidden="1">2147483647</definedName>
    <definedName name="solver_nod" localSheetId="4" hidden="1">2147483647</definedName>
    <definedName name="solver_num" localSheetId="1" hidden="1">9</definedName>
    <definedName name="solver_num" localSheetId="4" hidden="1">2</definedName>
    <definedName name="solver_nwt" localSheetId="1" hidden="1">1</definedName>
    <definedName name="solver_nwt" localSheetId="4" hidden="1">1</definedName>
    <definedName name="solver_opt" localSheetId="1" hidden="1">'Optimization Model'!$D$38</definedName>
    <definedName name="solver_opt" localSheetId="4" hidden="1">'Optimization model 2'!$D$29</definedName>
    <definedName name="solver_pre" localSheetId="1" hidden="1">0.000001</definedName>
    <definedName name="solver_pre" localSheetId="4" hidden="1">0.000001</definedName>
    <definedName name="solver_rbv" localSheetId="1" hidden="1">2</definedName>
    <definedName name="solver_rbv" localSheetId="4" hidden="1">2</definedName>
    <definedName name="solver_rel1" localSheetId="1" hidden="1">3</definedName>
    <definedName name="solver_rel1" localSheetId="4" hidden="1">3</definedName>
    <definedName name="solver_rel10" localSheetId="1" hidden="1">1</definedName>
    <definedName name="solver_rel10" localSheetId="4" hidden="1">1</definedName>
    <definedName name="solver_rel11" localSheetId="1" hidden="1">1</definedName>
    <definedName name="solver_rel11" localSheetId="4" hidden="1">1</definedName>
    <definedName name="solver_rel12" localSheetId="1" hidden="1">1</definedName>
    <definedName name="solver_rel12" localSheetId="4" hidden="1">1</definedName>
    <definedName name="solver_rel2" localSheetId="1" hidden="1">3</definedName>
    <definedName name="solver_rel2" localSheetId="4" hidden="1">1</definedName>
    <definedName name="solver_rel3" localSheetId="1" hidden="1">3</definedName>
    <definedName name="solver_rel3" localSheetId="4" hidden="1">1</definedName>
    <definedName name="solver_rel4" localSheetId="1" hidden="1">3</definedName>
    <definedName name="solver_rel4" localSheetId="4" hidden="1">1</definedName>
    <definedName name="solver_rel5" localSheetId="1" hidden="1">3</definedName>
    <definedName name="solver_rel5" localSheetId="4" hidden="1">1</definedName>
    <definedName name="solver_rel6" localSheetId="1" hidden="1">3</definedName>
    <definedName name="solver_rel6" localSheetId="4" hidden="1">1</definedName>
    <definedName name="solver_rel7" localSheetId="1" hidden="1">1</definedName>
    <definedName name="solver_rel7" localSheetId="4" hidden="1">1</definedName>
    <definedName name="solver_rel8" localSheetId="1" hidden="1">1</definedName>
    <definedName name="solver_rel8" localSheetId="4" hidden="1">1</definedName>
    <definedName name="solver_rel9" localSheetId="1" hidden="1">1</definedName>
    <definedName name="solver_rel9" localSheetId="4" hidden="1">1</definedName>
    <definedName name="solver_rhs1" localSheetId="1" hidden="1">'Optimization Model'!$D$26</definedName>
    <definedName name="solver_rhs1" localSheetId="4" hidden="1">'Optimization model 2'!$D$28:$I$28</definedName>
    <definedName name="solver_rhs10" localSheetId="1" hidden="1">'Optimization Model'!$L$34</definedName>
    <definedName name="solver_rhs10" localSheetId="4" hidden="1">'Optimization model 2'!$L$25</definedName>
    <definedName name="solver_rhs11" localSheetId="1" hidden="1">'Optimization Model'!$L$34</definedName>
    <definedName name="solver_rhs11" localSheetId="4" hidden="1">'Optimization model 2'!$L$25</definedName>
    <definedName name="solver_rhs12" localSheetId="1" hidden="1">'Optimization Model'!$L$34</definedName>
    <definedName name="solver_rhs12" localSheetId="4" hidden="1">'Optimization model 2'!$L$25</definedName>
    <definedName name="solver_rhs2" localSheetId="1" hidden="1">'Optimization Model'!$E$26</definedName>
    <definedName name="solver_rhs2" localSheetId="4" hidden="1">'Optimization model 2'!$L$23:$L$25</definedName>
    <definedName name="solver_rhs3" localSheetId="1" hidden="1">'Optimization Model'!$F$26</definedName>
    <definedName name="solver_rhs3" localSheetId="4" hidden="1">'Optimization model 2'!$L$14</definedName>
    <definedName name="solver_rhs4" localSheetId="1" hidden="1">'Optimization Model'!$G$26</definedName>
    <definedName name="solver_rhs4" localSheetId="4" hidden="1">'Optimization model 2'!$L$14</definedName>
    <definedName name="solver_rhs5" localSheetId="1" hidden="1">'Optimization Model'!$H$26</definedName>
    <definedName name="solver_rhs5" localSheetId="4" hidden="1">'Optimization model 2'!$L$14</definedName>
    <definedName name="solver_rhs6" localSheetId="1" hidden="1">'Optimization Model'!$I$26</definedName>
    <definedName name="solver_rhs6" localSheetId="4" hidden="1">'Optimization model 2'!$L$14</definedName>
    <definedName name="solver_rhs7" localSheetId="1" hidden="1">'Optimization Model'!$M$20</definedName>
    <definedName name="solver_rhs7" localSheetId="4" hidden="1">'Optimization model 2'!$L$14</definedName>
    <definedName name="solver_rhs8" localSheetId="1" hidden="1">'Optimization Model'!$M$21</definedName>
    <definedName name="solver_rhs8" localSheetId="4" hidden="1">'Optimization model 2'!$L$14</definedName>
    <definedName name="solver_rhs9" localSheetId="1" hidden="1">'Optimization Model'!$M$22</definedName>
    <definedName name="solver_rhs9" localSheetId="4" hidden="1">'Optimization model 2'!$L$14</definedName>
    <definedName name="solver_rlx" localSheetId="1" hidden="1">2</definedName>
    <definedName name="solver_rlx" localSheetId="4" hidden="1">2</definedName>
    <definedName name="solver_rsd" localSheetId="1" hidden="1">0</definedName>
    <definedName name="solver_rsd" localSheetId="4" hidden="1">0</definedName>
    <definedName name="solver_scl" localSheetId="1" hidden="1">2</definedName>
    <definedName name="solver_scl" localSheetId="4" hidden="1">2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ssz" localSheetId="4" hidden="1">100</definedName>
    <definedName name="solver_tim" localSheetId="1" hidden="1">2147483647</definedName>
    <definedName name="solver_tim" localSheetId="4" hidden="1">2147483647</definedName>
    <definedName name="solver_tol" localSheetId="1" hidden="1">0.01</definedName>
    <definedName name="solver_tol" localSheetId="4" hidden="1">0.01</definedName>
    <definedName name="solver_typ" localSheetId="1" hidden="1">2</definedName>
    <definedName name="solver_typ" localSheetId="4" hidden="1">2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4" l="1"/>
  <c r="C12" i="14"/>
  <c r="C13" i="14"/>
  <c r="C14" i="14"/>
  <c r="C15" i="14"/>
  <c r="C16" i="14"/>
  <c r="S1" i="25"/>
  <c r="O1" i="25"/>
  <c r="U4" i="25"/>
  <c r="R4" i="25"/>
  <c r="R5" i="25" s="1"/>
  <c r="Q4" i="25"/>
  <c r="N4" i="25"/>
  <c r="N5" i="25" s="1"/>
  <c r="V1" i="24"/>
  <c r="V35" i="24"/>
  <c r="V34" i="24"/>
  <c r="U4" i="24"/>
  <c r="V32" i="24" s="1"/>
  <c r="V1" i="22"/>
  <c r="U4" i="22"/>
  <c r="V33" i="22" s="1"/>
  <c r="M5" i="19"/>
  <c r="J12" i="19"/>
  <c r="J13" i="19"/>
  <c r="J14" i="19"/>
  <c r="D15" i="19"/>
  <c r="E15" i="19"/>
  <c r="F15" i="19"/>
  <c r="G15" i="19"/>
  <c r="H15" i="19"/>
  <c r="I15" i="19"/>
  <c r="N16" i="19"/>
  <c r="O16" i="19"/>
  <c r="P16" i="19"/>
  <c r="Q16" i="19"/>
  <c r="R16" i="19"/>
  <c r="S16" i="19"/>
  <c r="T16" i="19"/>
  <c r="K17" i="19"/>
  <c r="N17" i="19"/>
  <c r="O17" i="19"/>
  <c r="P17" i="19"/>
  <c r="Q17" i="19"/>
  <c r="R17" i="19"/>
  <c r="S17" i="19"/>
  <c r="T17" i="19"/>
  <c r="N18" i="19"/>
  <c r="O18" i="19"/>
  <c r="P18" i="19"/>
  <c r="Q18" i="19"/>
  <c r="R18" i="19"/>
  <c r="S18" i="19"/>
  <c r="T18" i="19"/>
  <c r="N20" i="19"/>
  <c r="O20" i="19"/>
  <c r="P20" i="19"/>
  <c r="Q20" i="19"/>
  <c r="R20" i="19"/>
  <c r="S20" i="19"/>
  <c r="J23" i="19"/>
  <c r="J24" i="19"/>
  <c r="J25" i="19"/>
  <c r="D26" i="19"/>
  <c r="E26" i="19"/>
  <c r="F26" i="19"/>
  <c r="G26" i="19"/>
  <c r="H26" i="19"/>
  <c r="I26" i="19"/>
  <c r="D29" i="19"/>
  <c r="D30" i="19"/>
  <c r="J26" i="1"/>
  <c r="L26" i="1" s="1"/>
  <c r="M23" i="1"/>
  <c r="K13" i="1"/>
  <c r="K12" i="1"/>
  <c r="E12" i="1"/>
  <c r="D13" i="1"/>
  <c r="E13" i="1"/>
  <c r="F13" i="1"/>
  <c r="G13" i="1"/>
  <c r="H13" i="1"/>
  <c r="I13" i="1"/>
  <c r="D14" i="1"/>
  <c r="E14" i="1"/>
  <c r="F14" i="1"/>
  <c r="G14" i="1"/>
  <c r="H14" i="1"/>
  <c r="I14" i="1"/>
  <c r="F12" i="1"/>
  <c r="G12" i="1"/>
  <c r="H12" i="1"/>
  <c r="I12" i="1"/>
  <c r="D12" i="1"/>
  <c r="K21" i="1"/>
  <c r="K22" i="1"/>
  <c r="K20" i="1"/>
  <c r="E24" i="1"/>
  <c r="F24" i="1"/>
  <c r="G24" i="1"/>
  <c r="H24" i="1"/>
  <c r="I24" i="1"/>
  <c r="D24" i="1"/>
  <c r="E34" i="1"/>
  <c r="F34" i="1"/>
  <c r="G34" i="1"/>
  <c r="H34" i="1"/>
  <c r="I34" i="1"/>
  <c r="E33" i="1"/>
  <c r="F33" i="1"/>
  <c r="G33" i="1"/>
  <c r="H33" i="1"/>
  <c r="I33" i="1"/>
  <c r="D33" i="1"/>
  <c r="D34" i="1"/>
  <c r="E32" i="1"/>
  <c r="F32" i="1"/>
  <c r="G32" i="1"/>
  <c r="H32" i="1"/>
  <c r="I32" i="1"/>
  <c r="D32" i="1"/>
  <c r="O2" i="13" a="1"/>
  <c r="P2" i="13" a="1"/>
  <c r="N2" i="13" a="1"/>
  <c r="Q2" i="13" a="1"/>
  <c r="M2" i="13" a="1"/>
  <c r="J34" i="1" l="1"/>
  <c r="D38" i="1"/>
  <c r="J33" i="1"/>
  <c r="V18" i="22"/>
  <c r="V19" i="22"/>
  <c r="V34" i="22"/>
  <c r="V35" i="22"/>
  <c r="V17" i="24"/>
  <c r="V18" i="24"/>
  <c r="V19" i="24"/>
  <c r="V33" i="24"/>
  <c r="M2" i="13"/>
  <c r="Q2" i="13"/>
  <c r="N2" i="13"/>
  <c r="P2" i="13"/>
  <c r="O2" i="13"/>
  <c r="V7" i="22"/>
  <c r="V22" i="24"/>
  <c r="V24" i="22"/>
  <c r="V7" i="24"/>
  <c r="V9" i="22"/>
  <c r="V8" i="24"/>
  <c r="V28" i="22"/>
  <c r="V11" i="24"/>
  <c r="V15" i="22"/>
  <c r="V31" i="22"/>
  <c r="V14" i="24"/>
  <c r="V30" i="24"/>
  <c r="V20" i="22"/>
  <c r="V6" i="22"/>
  <c r="V5" i="24"/>
  <c r="V23" i="22"/>
  <c r="V8" i="22"/>
  <c r="V23" i="24"/>
  <c r="V10" i="22"/>
  <c r="V9" i="24"/>
  <c r="V25" i="24"/>
  <c r="V11" i="22"/>
  <c r="V10" i="24"/>
  <c r="V12" i="22"/>
  <c r="V27" i="24"/>
  <c r="V13" i="22"/>
  <c r="V29" i="22"/>
  <c r="V12" i="24"/>
  <c r="V28" i="24"/>
  <c r="V14" i="22"/>
  <c r="V13" i="24"/>
  <c r="V16" i="22"/>
  <c r="V32" i="22"/>
  <c r="V15" i="24"/>
  <c r="V31" i="24"/>
  <c r="V5" i="22"/>
  <c r="V21" i="22"/>
  <c r="V20" i="24"/>
  <c r="V22" i="22"/>
  <c r="V21" i="24"/>
  <c r="V6" i="24"/>
  <c r="V25" i="22"/>
  <c r="V24" i="24"/>
  <c r="V26" i="22"/>
  <c r="J32" i="1"/>
  <c r="V27" i="22"/>
  <c r="V26" i="24"/>
  <c r="V30" i="22"/>
  <c r="V29" i="24"/>
  <c r="V17" i="22"/>
  <c r="V16" i="24"/>
  <c r="O16" i="25"/>
  <c r="S5" i="25"/>
  <c r="O5" i="25"/>
  <c r="O11" i="25"/>
  <c r="S10" i="25"/>
  <c r="S11" i="25"/>
  <c r="S9" i="25"/>
  <c r="O7" i="25"/>
  <c r="O12" i="25"/>
  <c r="S6" i="25"/>
  <c r="O13" i="25"/>
  <c r="S7" i="25"/>
  <c r="S13" i="25"/>
  <c r="O14" i="25"/>
  <c r="S8" i="25"/>
  <c r="O8" i="25"/>
  <c r="O9" i="25"/>
  <c r="O15" i="25"/>
  <c r="O10" i="25"/>
  <c r="O6" i="25"/>
  <c r="S12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srivalli ch</author>
  </authors>
  <commentList>
    <comment ref="B5" authorId="0" shapeId="0" xr:uid="{BC4B3C8F-F112-46BE-B957-5E8EE0E03A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470CF901-9E58-4088-A272-ADAC3A16B3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DCE5578D-4376-43DA-A645-2511C141E5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7F4D744F-85A1-40B2-B4D2-B64E669A8E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38287B98-F182-423C-8B9F-D36F7CCFB2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E9D1E12C-D369-43C8-8FA4-B6BF2630FE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ABD5A76B-BDDD-4448-A9D1-2D8195DB8F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FE5BD221-8DA1-4701-9C80-9C29892D1C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DA756B6A-9BB9-43A0-8575-8DBD823977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DE45A4D8-42F0-4DFD-8205-E451E90F8F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D49BA77E-C283-4BAC-8571-706CE22A7E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D9CA9002-AE0C-4307-ADA9-065DB5AED1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38E36C7C-EFE3-4E43-894F-F774BCAAA4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A1378164-6817-4FCB-8ABF-02C9678C3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AF9DFB30-E431-4AB8-A5B1-D776FB5331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ADCEB688-FEAB-44FA-BA81-1630A886FE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62E7621B-8A85-406C-9DC6-7B48D2BC54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60C74599-2450-4C9B-8B6F-58A618ACAD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D6F2A212-E7ED-48F6-B502-010C8A2FE0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3BBC0B1C-9E40-43D5-B625-5D15692B26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8060EBD1-F987-4953-B779-2FDE067E69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77022965-5F79-4A02-A678-B8D3D5AA33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8FED719C-20E8-4AF4-8990-9486B760C8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40F7EE11-4F41-4E94-A2A2-FA53EC0AD1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127DF857-A19C-446B-963B-8B29224252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71D45F27-D025-4299-A95B-0BA75EB4EE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" authorId="0" shapeId="0" xr:uid="{C28F162E-E68F-4C24-AACE-27C0B02509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2" authorId="0" shapeId="0" xr:uid="{C55895D0-3D32-4B85-A28C-2FBFC58F4D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EDEEB5E8-E73B-44C3-A9F1-798AE67887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13918069-0E39-43D2-A12F-CCC3A266E7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1AACB09F-04B4-4C14-A7DF-8A70116ACA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srivalli ch</author>
  </authors>
  <commentList>
    <comment ref="B5" authorId="0" shapeId="0" xr:uid="{1CC4EF77-89F0-492B-A787-128719EFEA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A00A0411-69C4-4659-9B43-07D40F3423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2627CDC0-F9C4-45BF-95C9-22FD34025A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B937972D-2602-49A3-B6D4-E8D651116A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E19C36C0-ECE7-46EB-8322-E850E31814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F2EAA326-4BE8-4DB2-A33A-0A31385790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5FF8A594-7B32-4F12-BB7B-35DE283E4D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29BDC26C-07EA-4F8F-8C2A-B081760DC1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AC503A72-9511-4825-BF82-7FDE2E7FBC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F14408F3-06BF-49B8-B2D4-F49757F4C1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91529186-4DD6-4C19-95EB-170583B45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9683A985-D2E5-421D-97E1-7A68F9DCFE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07E00FEC-2E0D-42DC-A7A1-3F2C6FDF8C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449304B9-80D3-4E46-B6DE-E0EEC5754F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B807BADE-DAF7-4A46-BB5D-BF31F0BC23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46C635C6-E0D5-4C4F-91D5-60CE1E0355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03390A98-B3D8-4670-B781-9F90E83830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1A190449-951B-46CF-B2D1-9FA6FF0375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7D092F48-923C-499A-AFD6-686BC2ADE7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394FB845-C2DD-440C-AF91-CC450142FE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2D61402B-C90C-43A5-8960-976804E40D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3A1246D7-3EEA-41DC-86B7-EA18786B74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9F75FF7D-3D45-4932-A680-BC21F361EA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9D1F824E-23CF-4FB6-BBF7-D9434E9DD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737C8BDF-B2D6-4F31-91DC-7C95B6F505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877BBBAB-6112-4D0F-B7F8-8F21DFE93C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" authorId="0" shapeId="0" xr:uid="{533EFBB5-138E-4437-8F49-0C46BC8AD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2" authorId="0" shapeId="0" xr:uid="{B9A780F0-9CE7-42FB-AEC5-C1941905DA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334EE672-6862-4BDC-9B78-F1D48A6967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97F6914F-49EF-49A6-B0AF-749D4BB9B0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D6B72FC8-1AD9-4527-A014-717008742E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srivalli ch</author>
  </authors>
  <commentList>
    <comment ref="B5" authorId="0" shapeId="0" xr:uid="{F7B2881C-CEED-42C9-9629-FD559F4B9C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0BBCD81B-E2EA-4B91-9EB3-5FAD8BBA57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2D7C9DDB-C17D-4AC2-8355-BCA9781BAE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2869786C-0644-415E-B7E5-D9D998300D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81DDEE6C-BDDA-4EAA-BA91-2B0CB1E46D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AC197337-86A1-4A84-88D3-7198F0436E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59FD8D2D-BE73-4749-A8BF-F2BF232F60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0C94E82E-13D9-44C4-AA08-A4372E1F16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94D7FE20-7F37-4BE7-A76B-E282164CAE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D0A8315E-4F81-44BD-811B-795395BBD2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" authorId="0" shapeId="0" xr:uid="{D3209AB2-4044-412C-BB39-103B1373E4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" authorId="0" shapeId="0" xr:uid="{4A0DA6E2-99BD-47F0-9E5E-9C47208520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F48E7829-E5D6-4430-BEDC-EA8BDFC59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9F92B35C-1BB0-46B7-B3C4-89869853D8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6C7AA47C-EDDD-456D-81A9-864EA78080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889BC001-56C3-469F-BD6C-6A1467B538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5AF9E920-5635-4FE2-81C0-CBAE4EB6EE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6F8A8323-C11A-4AA0-9B3E-DA6534DB4B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3067C525-A74B-4DB7-8FC7-C84D129F5E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D50BA7A7-3ABE-4DF6-8F65-1A7D9DC2C6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E9A00ADF-6F83-4724-9C32-EF7626169D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DEEE841C-D749-4CA9-89DC-0B48BFE6C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" authorId="0" shapeId="0" xr:uid="{ACEF8821-44F9-4124-988D-ED381EF60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" authorId="0" shapeId="0" xr:uid="{F1C5C31E-07AF-48E2-BE72-0C9A868A3D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CD09C9AB-2437-4949-8B5F-AC1B5D2BEF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F55FA7FC-FA33-47A2-BD3B-11464B827D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07D27378-12DB-4118-8F8B-850FB8650E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13B025DC-F4DC-477F-BC95-28F1AFF076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8F51F406-965D-4017-8421-C107BD7FBD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B0647E89-49FE-4153-8084-3296F44BF6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82F0860A-8A93-4876-BA81-E3156FC1BE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71F63304-869B-42B4-86B2-015A9CC61C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6F5797CC-8AAD-4197-AF14-AFA2AA2DF4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4199C6CB-1EE1-40F1-A459-FFFCE683B3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" authorId="0" shapeId="0" xr:uid="{E7B4F452-6557-42D6-9A12-0C11087E9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" authorId="0" shapeId="0" xr:uid="{91270817-FEB1-4196-9FFC-8F5B884085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F0781F64-CFC6-4D8F-A294-58DD3778D5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13AFA4E8-58E7-4A1A-96A6-4520DEC5AD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FF024A11-51BA-4882-8E4C-9CAFA7AA5A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BC7DD7A0-519C-47DE-91C6-37315064BF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B5DD0490-589B-4683-AD64-5B2EA3D06E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82DD06FB-B341-4DE3-8762-AEE9C921E1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4798C740-10CC-44BE-A465-3494881B85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BD9F1550-DF68-4ABC-A262-45FF5E6A6E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AD6C9BB2-076E-4101-B71E-C32905C429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A593A7C4-D9F4-4FF2-B0F8-CBD5518891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" authorId="0" shapeId="0" xr:uid="{B08168E2-A42D-41B6-9E8E-AD40D7751A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" authorId="0" shapeId="0" xr:uid="{6B896712-251B-44F9-9111-0837F57C39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C87C9B64-C202-4536-86B8-94A8B17870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AB0A3F7E-C3B3-4221-A2B9-C35DD39830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F023CF71-B483-45B7-9730-9A48E23315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012AF909-A2FA-4AB3-9F40-61D620CBFF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77FEC0EE-3A57-4BEE-981C-BE77A44835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8D6316F6-175B-4C5F-86D3-13EA3B2648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51CB1A67-EAC1-4D3C-B499-5F97BA7304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0DC0736D-C4C4-4B12-B80E-DB3C08A7FF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" authorId="0" shapeId="0" xr:uid="{9151EA29-96CD-4399-A692-4328155090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" authorId="0" shapeId="0" xr:uid="{592EC796-A953-42F4-8223-A665F63BE2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" authorId="0" shapeId="0" xr:uid="{B24C6A63-6263-464D-8677-F1A0A53589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" authorId="0" shapeId="0" xr:uid="{D8CA2BA5-2131-4146-A4D1-600358C45B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1D5D9603-0D0F-4112-AAAB-6460B0D973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C81A4981-3C22-41ED-AE2E-A05E2F15EB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B4EEF505-C113-4CED-8A27-618470D0A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3B71CC4E-998E-42DC-8594-129E499CC4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A96A692A-FBE8-4411-8714-EB955CA31A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110AE99F-9E28-4687-9098-D618975420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" authorId="0" shapeId="0" xr:uid="{6B504033-7554-4642-9884-ED613D43AE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" authorId="0" shapeId="0" xr:uid="{83431316-BD28-4921-9619-EBA3CA8164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" authorId="0" shapeId="0" xr:uid="{77E55CD0-0E4B-481E-9019-B849E12419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" authorId="0" shapeId="0" xr:uid="{5EDE684B-0453-436F-B21A-C6E98FFC80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" authorId="0" shapeId="0" xr:uid="{4E828136-D69B-4A26-A910-0EB438C437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" authorId="0" shapeId="0" xr:uid="{ACD4FAD6-C469-49D2-911E-439E53602D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8524DF3B-04CF-4BFD-B5D1-3CF4E343A1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CEAD79DC-3D82-4041-BC6E-C068D48F48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4CC25D84-D67C-4AB8-9778-431A806C28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1B474AB4-8E62-4394-A43E-E5993F930B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" authorId="0" shapeId="0" xr:uid="{F1E8254B-55E1-4788-AFBF-65A03FC37A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" authorId="0" shapeId="0" xr:uid="{B039CFA0-7688-4F8F-B707-9DBBB08CFD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" authorId="0" shapeId="0" xr:uid="{AD0FAD9B-CDDD-40A9-A817-14752C141F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" authorId="0" shapeId="0" xr:uid="{BCBCB91F-B195-4617-A03D-2799D1382E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" authorId="0" shapeId="0" xr:uid="{5553039B-F0CA-4B8E-90FB-5823639751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" authorId="0" shapeId="0" xr:uid="{E44C86FC-429B-4619-AB17-6E5CAFFA32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" authorId="0" shapeId="0" xr:uid="{6E503793-E5F3-47AD-802B-5B14CFAA96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" authorId="0" shapeId="0" xr:uid="{C2E4025E-2D20-4F37-9F5E-9FDABA4152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39F56F12-8ECE-4ADE-81C1-E0360E11F4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C51D463F-B3A2-4FDF-8FEA-C01826E962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" authorId="0" shapeId="0" xr:uid="{2B6685D5-D723-482F-A7BF-A799506CD1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" authorId="0" shapeId="0" xr:uid="{EF08E475-FB71-4FCC-ACD8-5E826BD9AB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" authorId="0" shapeId="0" xr:uid="{F557ABCB-853D-4F1D-A0A1-30B9A13810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" authorId="0" shapeId="0" xr:uid="{4ED304D0-7832-4FD7-A72E-66DF44B181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" authorId="0" shapeId="0" xr:uid="{1BFD37D8-1408-4651-B061-4BF1A8377B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" authorId="0" shapeId="0" xr:uid="{AC8784E2-3F5B-46E8-9F99-659D3FF97C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" authorId="0" shapeId="0" xr:uid="{4C2FAB1E-06E3-4F8C-9642-8A61601365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" authorId="0" shapeId="0" xr:uid="{4532535A-7752-4CB7-9F24-E11C63D765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" authorId="0" shapeId="0" xr:uid="{F49F3F9E-4797-4307-8DBB-2ED804E740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" authorId="0" shapeId="0" xr:uid="{4654EB5E-804F-42B1-9D77-6A9F79F52B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E0648EB2-8CA3-47C7-9701-1CA7245FD5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" authorId="0" shapeId="0" xr:uid="{03B604A9-17EB-421A-B259-A117099E5F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" authorId="0" shapeId="0" xr:uid="{9400A97B-B667-4C6C-B58B-1951139C8E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" authorId="0" shapeId="0" xr:uid="{D05840EE-CD45-416A-969D-29E9BDB471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" authorId="0" shapeId="0" xr:uid="{FF52ABCB-32C7-45BF-8A28-D3D1166DEF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" authorId="0" shapeId="0" xr:uid="{D0588BA3-A0A1-4999-97BE-62B84E96D7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" authorId="0" shapeId="0" xr:uid="{35BD1EDF-A1E0-40F3-8990-D0973DD135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" authorId="0" shapeId="0" xr:uid="{35CDF15F-F015-48EE-9439-EF067E72C4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" authorId="0" shapeId="0" xr:uid="{EBF70FE5-8B10-48C0-8AE3-92763AC1B2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" authorId="0" shapeId="0" xr:uid="{8FBC6366-1B8B-4396-9D0C-E15753BED9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" authorId="0" shapeId="0" xr:uid="{64B23745-688C-4AEC-A182-C5A770F3F4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" authorId="0" shapeId="0" xr:uid="{638A5A53-8E6D-42FF-A46A-2C21C28BE0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A6CB1ACD-BD7A-410C-AC9F-FBA322E5E5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" authorId="0" shapeId="0" xr:uid="{D009DFE1-892C-4BA8-BC8E-52A7EB42E4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" authorId="0" shapeId="0" xr:uid="{4894DFE2-86A1-4065-B9C6-15B24F4E3B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8079F8C0-CA55-4E0E-A5B2-9FCEE38B61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82A6F772-B42C-42FB-91F1-D38763AE2D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" authorId="0" shapeId="0" xr:uid="{B6EA60B4-D59D-4F05-9106-1DDBDC3DE8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" authorId="0" shapeId="0" xr:uid="{4C905E38-C012-466E-B054-8587650A9D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" authorId="0" shapeId="0" xr:uid="{D6548AC5-B40E-4F7C-9D6E-7A9AE383F4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" authorId="0" shapeId="0" xr:uid="{232CF160-17CA-4805-B8C2-286C01233A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" authorId="0" shapeId="0" xr:uid="{7A32CCDA-D016-4476-AAB8-1CC051055D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" authorId="0" shapeId="0" xr:uid="{8C17CA83-AE73-46D9-B47D-83F536FF9C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" authorId="0" shapeId="0" xr:uid="{E83CA2E0-20F4-4CAD-8739-F0EAED711B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13B1C7D0-6CB5-43A4-81B5-F7A6969D85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" authorId="0" shapeId="0" xr:uid="{DCB4AE17-FD36-4B08-809B-B789741CA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" authorId="0" shapeId="0" xr:uid="{BF8FBDA8-08D0-4E63-843E-7BFE19D64C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902C28A5-1EE7-42A3-9DAB-AD9CDC9DD2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FBCDB970-CE4D-4CB8-A0D1-FC0C0B816A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" authorId="0" shapeId="0" xr:uid="{72B1F255-C878-4B26-A4AF-EFD2FB2D86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" authorId="0" shapeId="0" xr:uid="{4CE09615-4EEE-4FC9-A731-14E9B79628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" authorId="0" shapeId="0" xr:uid="{0B58C8AB-1E64-4227-8007-82AC20C8E2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" authorId="0" shapeId="0" xr:uid="{C085EBF6-3B41-457D-A61F-BBBBEBE6EC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" authorId="0" shapeId="0" xr:uid="{8EF5E329-8D4D-421F-8DEF-FF0BC6F378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" authorId="0" shapeId="0" xr:uid="{2F08C9DC-F37F-4289-806E-DEAD849F48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" authorId="0" shapeId="0" xr:uid="{4141FFF6-4131-499C-A1C1-0F564C31A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97733F23-1214-4E4D-8356-1FB232AAE7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" authorId="0" shapeId="0" xr:uid="{FEC71E0C-7DA3-4C17-91EC-134C1E2922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" authorId="0" shapeId="0" xr:uid="{B7EE3C64-DF48-4A9F-A6CE-B6EB92EF07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35FBDEEF-DA56-4B70-B9EE-C3EA2AC36B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87481C89-973A-4CE4-8A3D-1E8E679082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" authorId="0" shapeId="0" xr:uid="{9E04162C-028C-421B-9A4D-2574982DD1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" authorId="0" shapeId="0" xr:uid="{3830527B-F6D7-49E0-BDF6-B3C20571AB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" authorId="0" shapeId="0" xr:uid="{1B4AB6A1-7766-499F-BF7D-E4ED09042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" authorId="0" shapeId="0" xr:uid="{227E5C06-BE72-4F62-A74A-5E31608928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" authorId="0" shapeId="0" xr:uid="{8785F736-C3AA-44D4-A148-1BEEB055D1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" authorId="0" shapeId="0" xr:uid="{6EF3F6C0-A84C-4F16-BA16-C936D7B9D5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" authorId="0" shapeId="0" xr:uid="{0E862871-C93D-4A6F-9653-1CC94DC7DB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46E9E071-9A39-4EB3-95DE-E245CE75EE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" authorId="0" shapeId="0" xr:uid="{FC2FE077-23DA-45C2-B05C-3D44206EB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" authorId="0" shapeId="0" xr:uid="{133B2312-05BD-4447-B5BB-4185721DEA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76A66801-1979-443C-AD0A-C106C6CAC2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15D329F0-6D29-42BA-8732-EC78C40FE7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D14274E8-2497-4183-8093-F53A09B499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DE0168CC-198F-4782-A33F-FB4FFE20A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D62125CA-B0B4-43D3-B62B-20F9BA474C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08C9D689-6C27-4D6B-A907-4254A5B2CB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" authorId="0" shapeId="0" xr:uid="{6F12FA2E-5F71-478F-B779-6829EB1C31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" authorId="0" shapeId="0" xr:uid="{9C453C28-8D2E-468B-8D88-647B61648B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" authorId="0" shapeId="0" xr:uid="{603F6569-100A-47CC-892E-9B9B363BF8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1ABE949A-3F35-4E1B-8178-2735A1F605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" authorId="0" shapeId="0" xr:uid="{AB13F0AB-28A6-46BB-AC85-7626F5527A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" authorId="0" shapeId="0" xr:uid="{4CE29AFF-E22D-4FA6-B3A4-CBE5989B9C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9D36E886-D65B-4A34-9A74-28F3F9271A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BAB465E4-B682-4940-BD67-6D5E6DE93C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8C60F352-A8DA-44F9-98B2-7BAD66B2F3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B13B80A2-EA25-428C-8380-C28C50E87B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246B67E6-879C-4EB1-A62B-6EC7DBB583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0" authorId="0" shapeId="0" xr:uid="{2B3C81E6-A192-4716-B11F-168D6FF815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0" authorId="0" shapeId="0" xr:uid="{8CFDC67C-6A37-43F2-A7BD-6162B71AC9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" authorId="0" shapeId="0" xr:uid="{E03CBAB0-ACB2-44E8-B8DB-4475F44EC0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" authorId="0" shapeId="0" xr:uid="{AAAECD2B-3208-4577-9524-D2EC3F26DE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C3A45CA5-8FF9-4016-9937-B60640A171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1" authorId="0" shapeId="0" xr:uid="{458CB45B-6034-4A6D-A5E2-1F4ADF4F50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1" authorId="0" shapeId="0" xr:uid="{5B089BCD-54B4-4BBA-8F1F-65B8A2B21D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1" authorId="0" shapeId="0" xr:uid="{00749458-6B96-4723-B0EB-3908609BB1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" authorId="0" shapeId="0" xr:uid="{533C4881-74AD-4918-A885-306E502007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" authorId="0" shapeId="0" xr:uid="{A493341D-14FE-4E95-A096-3216A6E095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" authorId="0" shapeId="0" xr:uid="{B1100FC0-19A3-4346-9EF3-74A7351652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" authorId="0" shapeId="0" xr:uid="{10E90F45-B821-43B0-8542-EE2276BF42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" authorId="0" shapeId="0" xr:uid="{FE43BB11-C39F-4E9E-BCB7-D8DF53613C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" authorId="0" shapeId="0" xr:uid="{B1EA5EA8-BBCE-4A14-A792-43F3F2CE87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" authorId="0" shapeId="0" xr:uid="{C83C949E-557E-4A30-9DBD-E2D92178E4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1" authorId="0" shapeId="0" xr:uid="{B97973FF-06CF-4E4A-8C8A-E3DADB9E0D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ECBFDCBE-3DC5-4B20-855C-7DE8ABF22A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2" authorId="0" shapeId="0" xr:uid="{0D799961-E8FC-4F5C-9A2D-D26C098D3E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2" authorId="0" shapeId="0" xr:uid="{A960CE80-3880-4DE4-BAB3-937573AA89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2" authorId="0" shapeId="0" xr:uid="{EC1856B4-E253-4E3B-808F-5E66F40416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" authorId="0" shapeId="0" xr:uid="{F7EEA061-4016-4622-B7E9-6CED9DB802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" authorId="0" shapeId="0" xr:uid="{D730CCF0-C9F2-420B-8FF9-A1BB93A131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2" authorId="0" shapeId="0" xr:uid="{E165EDF6-14E2-4DBA-B449-5C16651DB8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2" authorId="0" shapeId="0" xr:uid="{521FEC71-B1B5-4301-9CF7-E4B4D65D97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2" authorId="0" shapeId="0" xr:uid="{8AF51E28-3340-4917-A7CC-FFD0C1313F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2" authorId="0" shapeId="0" xr:uid="{9EB6DF7B-E316-4118-A494-487294413C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2" authorId="0" shapeId="0" xr:uid="{E310E9BA-1DD3-423D-A6FF-2798515738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2" authorId="0" shapeId="0" xr:uid="{163C1CC4-7673-4151-8F95-66A63CC44B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" authorId="0" shapeId="0" xr:uid="{9CF0CB1D-78F2-49A7-B176-39CDD6BCD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3" authorId="0" shapeId="0" xr:uid="{68572DA9-3115-4558-B21F-6D6AADBCC2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4EDF3F8F-E8B8-4A9C-8896-6461942234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FFAB9B8E-8A17-4A18-9F59-12BB2EB106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" authorId="0" shapeId="0" xr:uid="{AD9DC64A-2FEC-4D10-8C09-2C0FED9EDD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" authorId="0" shapeId="0" xr:uid="{04AD3942-4F61-418B-99C1-B759B86D65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3" authorId="0" shapeId="0" xr:uid="{E0971964-8AB3-463F-92E7-6E9097602D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3" authorId="0" shapeId="0" xr:uid="{88B9656A-E178-4849-A7AA-E3CB312392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3" authorId="0" shapeId="0" xr:uid="{01EF9369-01FA-4AD3-AFF7-CC0983182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3" authorId="0" shapeId="0" xr:uid="{0139C622-042C-4F7D-A94F-14F903FC8E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3" authorId="0" shapeId="0" xr:uid="{41DB69C0-73B7-490B-82D2-8EC4125207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3" authorId="0" shapeId="0" xr:uid="{7B7EA7E4-BDA3-437B-B29C-4BC8C7B7B4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3CB45CB5-C67C-49A4-AA42-849A1D391A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" authorId="0" shapeId="0" xr:uid="{282E414D-55E5-4484-BCEF-C07567206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" authorId="0" shapeId="0" xr:uid="{93EBF78E-EB11-4375-A52B-F3EED61604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" authorId="0" shapeId="0" xr:uid="{FAA67188-2531-4EA7-91B8-7749A99107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" authorId="0" shapeId="0" xr:uid="{8B316EA5-80CA-4BE5-B595-E7CD40239A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" authorId="0" shapeId="0" xr:uid="{050DCB21-F5B0-480E-8D5E-27EC946156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4" authorId="0" shapeId="0" xr:uid="{B6BE113E-1493-4EB6-8245-3F197108D5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4" authorId="0" shapeId="0" xr:uid="{45F7468E-E69A-4765-9026-2F59FB7630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4" authorId="0" shapeId="0" xr:uid="{A5766367-B181-4CF3-858E-CCC2F760C7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4" authorId="0" shapeId="0" xr:uid="{3E156ED9-B466-4415-901B-F3AB6D22E6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4" authorId="0" shapeId="0" xr:uid="{F2CCD521-3D7D-4924-BACB-80D96BCFF9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4" authorId="0" shapeId="0" xr:uid="{0DEC7D1D-E098-4D39-9B11-87CBB6E0E9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" authorId="0" shapeId="0" xr:uid="{137024C9-454E-4FCA-928B-607FF84B8B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7" authorId="0" shapeId="0" xr:uid="{84A30E9D-DC9B-4A5C-9256-C51895CAFA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7" authorId="0" shapeId="0" xr:uid="{5DC7EEED-4CF5-4C43-BBE3-0B317D17BA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7" authorId="0" shapeId="0" xr:uid="{1B27FF17-102C-4EA3-ACA3-353D64F364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7" authorId="0" shapeId="0" xr:uid="{59E521F1-6244-432A-9AED-6D9F1C1C54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7" authorId="0" shapeId="0" xr:uid="{F3DD7605-FE20-44C1-B5C0-0941A5B6B8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7" authorId="0" shapeId="0" xr:uid="{DE5FD92C-3B84-45BF-A563-849DBE1529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7" authorId="0" shapeId="0" xr:uid="{BAEC5EBF-EFD6-4F79-AB8F-1DAACB7D1C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7" authorId="0" shapeId="0" xr:uid="{437B2C35-8D8E-498B-9559-B9B8C8F969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7" authorId="0" shapeId="0" xr:uid="{9479E4EE-2F29-40B7-88E8-024CC7A759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7" authorId="0" shapeId="0" xr:uid="{182C2E30-7180-4E0F-A6FA-AD8E6DBFD7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7" authorId="0" shapeId="0" xr:uid="{D1031D3E-8EDA-4979-9B54-A52292D499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0BEBCE01-82E1-4E29-9E82-AA1D90AEDD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8" authorId="0" shapeId="0" xr:uid="{D1AFB1F7-FB5F-414A-A0AB-7203B433D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8" authorId="0" shapeId="0" xr:uid="{6DB195ED-2356-4EAC-AFD9-B4619F39F5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" authorId="0" shapeId="0" xr:uid="{68498A06-093B-44B3-A06F-02F31DE2B1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" authorId="0" shapeId="0" xr:uid="{C1773C13-87ED-4660-813C-C853C60168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A15759F0-25E3-4E8D-BF32-F60168AB3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" authorId="0" shapeId="0" xr:uid="{D948C956-093B-43DE-BB25-EF16F1B67C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" authorId="0" shapeId="0" xr:uid="{7B51DFE6-F113-4012-BB27-B7D8429371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" authorId="0" shapeId="0" xr:uid="{3081FD9F-E407-4DB6-A794-4B926E354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" authorId="0" shapeId="0" xr:uid="{4AEF85AE-C976-4614-AF4C-D4A265F5D8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8" authorId="0" shapeId="0" xr:uid="{1FE9647A-B765-47FE-8D2E-0EF2ECA186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8" authorId="0" shapeId="0" xr:uid="{3D342812-369A-4BE8-BA18-419E14098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27974DD1-BDCB-4F49-8D48-198B97F0BB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9" authorId="0" shapeId="0" xr:uid="{6A76E858-59BA-4F87-82F6-CDC7A3E1A0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9" authorId="0" shapeId="0" xr:uid="{7CADCBA8-A502-4A39-92CF-C7859F9AD2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9" authorId="0" shapeId="0" xr:uid="{D98A6C2C-F290-49C6-AD53-47A49CC943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9" authorId="0" shapeId="0" xr:uid="{A28ABD16-AD64-430B-B85E-735CF5EE6F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" authorId="0" shapeId="0" xr:uid="{66142F72-3230-4436-902C-20BE87CCE0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" authorId="0" shapeId="0" xr:uid="{B29C0BC8-5084-4170-B48E-0A65A1042A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" authorId="0" shapeId="0" xr:uid="{19AF7ED7-15A8-45C4-B397-3A8A3AC704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" authorId="0" shapeId="0" xr:uid="{6FD8D6B7-6CDE-4264-9F29-5BB0FE62DF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" authorId="0" shapeId="0" xr:uid="{593DEA2A-5ECD-418E-B6CD-305560E6B5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9" authorId="0" shapeId="0" xr:uid="{5355EBD6-575F-4DE2-8BA0-BE20383B97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9" authorId="0" shapeId="0" xr:uid="{5E0BA991-6478-409A-92C2-2A735B4829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" authorId="0" shapeId="0" xr:uid="{9E868888-CCC0-478C-A259-9F9EFEE7BC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0" authorId="0" shapeId="0" xr:uid="{ABE9E61F-80AB-426D-BD54-F59E8D144F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0" authorId="0" shapeId="0" xr:uid="{177C0FB9-AFDF-44C6-88DA-5E9E860D91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0" authorId="0" shapeId="0" xr:uid="{BFA8A10A-28CC-4CAC-8787-DA79A84A7F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" authorId="0" shapeId="0" xr:uid="{724E5105-6502-4961-8BA3-8DE6163830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" authorId="0" shapeId="0" xr:uid="{4407D4F5-33BA-43AB-BC6C-83D972BCA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" authorId="0" shapeId="0" xr:uid="{70288294-C1D6-44BB-B6F7-6B3989B683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" authorId="0" shapeId="0" xr:uid="{F86A14B7-0B07-48C3-8A6D-FB89F65C18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" authorId="0" shapeId="0" xr:uid="{2CB56DD1-A1D2-4ED8-BFC3-2E78CD4483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" authorId="0" shapeId="0" xr:uid="{4A92E234-4256-4C18-91BB-DADBC2AC45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0" authorId="0" shapeId="0" xr:uid="{ABFE86F2-8A44-4FA8-B5BB-2F766A52F2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0" authorId="0" shapeId="0" xr:uid="{3D17DFBC-CE3D-4422-A9CC-00C53C2BCF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" authorId="0" shapeId="0" xr:uid="{FD44BB03-4958-46FF-83D4-CA64B1720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1" authorId="0" shapeId="0" xr:uid="{5777B7F2-2AC6-491C-A0E0-F0D2865EB8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1" authorId="0" shapeId="0" xr:uid="{1BF49E50-416F-4787-8AFC-4EDCEC0E90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1" authorId="0" shapeId="0" xr:uid="{026CDD15-D410-4537-82A4-23D491BD12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1" authorId="0" shapeId="0" xr:uid="{ABA4B8A9-E952-401E-836B-02357797C9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1" authorId="0" shapeId="0" xr:uid="{1B6AE234-A250-4613-86CE-6865C3DC8D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1" authorId="0" shapeId="0" xr:uid="{3D5EED94-60B2-45C2-9E00-19A8897A67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1" authorId="0" shapeId="0" xr:uid="{9B7E2C5F-F4D6-452F-A507-4318417B37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1" authorId="0" shapeId="0" xr:uid="{D7964D8A-34AF-4861-BF7B-7CE0DED9D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1" authorId="0" shapeId="0" xr:uid="{EF36255A-1049-47D0-B53A-B716BA3CD6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1" authorId="0" shapeId="0" xr:uid="{BD1D74B3-921A-4A84-B026-A761769B0B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1" authorId="0" shapeId="0" xr:uid="{DEB8A1FA-15D7-4182-BD9F-AB6D546AD1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" authorId="0" shapeId="0" xr:uid="{2B0A14B1-CBA4-41B2-BE08-B297C61D1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2" authorId="0" shapeId="0" xr:uid="{1E2A15B6-13CC-480D-B0F4-DF3C2D06EE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2" authorId="0" shapeId="0" xr:uid="{0A6CCE09-CDB9-4AF0-8A85-F6503F74DB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2" authorId="0" shapeId="0" xr:uid="{462AEFC7-3EDB-4E70-9C28-6FE367B4D1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2" authorId="0" shapeId="0" xr:uid="{A8FCD151-9804-406C-B73E-C666754AA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2" authorId="0" shapeId="0" xr:uid="{C663C06A-230A-4B74-8D57-DADE26F7E7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2" authorId="0" shapeId="0" xr:uid="{EE5F9E92-10B7-4D71-8C97-05BADBC420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2" authorId="0" shapeId="0" xr:uid="{22718632-08E0-424A-BDEF-4C63714719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2" authorId="0" shapeId="0" xr:uid="{B5C8844F-C11B-4E27-92AE-B4607CAADD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2" authorId="0" shapeId="0" xr:uid="{A202D149-893C-48A2-87AF-40ED0FAF47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2" authorId="0" shapeId="0" xr:uid="{8BBCE54B-722A-4CFA-8E44-C3A384A3D2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2" authorId="0" shapeId="0" xr:uid="{55ED53E8-8F2F-4D4A-B961-3EB6B4EE57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" authorId="0" shapeId="0" xr:uid="{5236743D-D8FE-42DD-8D30-B52FF19E69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3" authorId="0" shapeId="0" xr:uid="{8BEBA085-6706-4B41-B032-3589A1AE5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3" authorId="0" shapeId="0" xr:uid="{077BA840-A049-4EAC-BBD6-DED7AC6E3C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3" authorId="0" shapeId="0" xr:uid="{5E8944F5-A358-439A-8914-552445E6F0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" authorId="0" shapeId="0" xr:uid="{89222846-277E-4DFB-97B0-31C58711C7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" authorId="0" shapeId="0" xr:uid="{35090EA8-8C09-495F-856E-7A3B97E7EA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3" authorId="0" shapeId="0" xr:uid="{5483EE4A-20AF-4AC8-B3BF-DC67DD6F90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3" authorId="0" shapeId="0" xr:uid="{0E675456-5AC1-4E09-9C07-D9AA64B470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3" authorId="0" shapeId="0" xr:uid="{540C0B7C-E1E8-4BCC-A709-9982C60FDC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3" authorId="0" shapeId="0" xr:uid="{3EB200D6-3E58-414C-8BBF-7915EC2984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3" authorId="0" shapeId="0" xr:uid="{4CCB5BBF-6EEB-44C7-9585-E917208E76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3" authorId="0" shapeId="0" xr:uid="{60E72601-1E69-4F74-A33B-B60FD82940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" authorId="0" shapeId="0" xr:uid="{83F8C0B6-651D-42D9-B736-04E66420F4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4" authorId="0" shapeId="0" xr:uid="{CFF738DC-AFE2-4AA5-87A5-0BB544EA10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" authorId="0" shapeId="0" xr:uid="{5615430A-F829-4CE7-8A43-4A80E08EA7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" authorId="0" shapeId="0" xr:uid="{C4A8D717-0D8A-4530-9D97-32A2A62489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" authorId="0" shapeId="0" xr:uid="{C17CFD0C-FA7D-4DD6-858E-B9BADF9BA9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" authorId="0" shapeId="0" xr:uid="{E88BCDEE-CADC-4A0C-9CB1-BA3F2F1C18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4" authorId="0" shapeId="0" xr:uid="{FD479E78-D845-4AEC-9551-22FF170C6C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4" authorId="0" shapeId="0" xr:uid="{D8F14581-00D5-4F99-A6C7-CE3CB99C5C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4" authorId="0" shapeId="0" xr:uid="{AC6046D9-9C4B-4873-9D43-91D38E372D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4" authorId="0" shapeId="0" xr:uid="{3BA2AA60-4BBB-493D-90B4-9C0EB6DAFC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4" authorId="0" shapeId="0" xr:uid="{29027100-8E25-4A46-BB48-A9DA536FE3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4" authorId="0" shapeId="0" xr:uid="{5350AF20-FFDE-456B-BF58-54B96A70CD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" authorId="0" shapeId="0" xr:uid="{E378CA65-2587-4D41-9D7A-82430136F4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" authorId="0" shapeId="0" xr:uid="{AD5DA8EB-536C-4CBD-AE3E-9C0E14CCD4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" authorId="0" shapeId="0" xr:uid="{40676D00-D08B-49B4-BC86-272212F2D8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" authorId="0" shapeId="0" xr:uid="{F403BB6A-C02D-43A2-8BF8-871735B00E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" authorId="0" shapeId="0" xr:uid="{8F539ADD-229F-4713-864B-B5E8CD5CFC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" authorId="0" shapeId="0" xr:uid="{F300CDE5-236E-49EB-B6D2-13E1E888BE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35" authorId="0" shapeId="0" xr:uid="{0DC148FE-8B1E-40A2-87C6-2EE9DBD319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35" authorId="0" shapeId="0" xr:uid="{7759DAA3-9C80-42EF-BD84-40B2469548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35" authorId="0" shapeId="0" xr:uid="{71470AB9-B235-4B4F-B8C9-48DEE2DAF5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35" authorId="0" shapeId="0" xr:uid="{B23E5AA1-6E88-4EB5-97A2-1F89231103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35" authorId="0" shapeId="0" xr:uid="{FCB87EC1-99EA-4F89-8F48-7E3B93B24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35" authorId="0" shapeId="0" xr:uid="{2AA49929-C3EB-48F2-8135-830B221CE1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" authorId="0" shapeId="0" xr:uid="{3CA0C626-C95D-473F-B88B-DF6568426B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8" authorId="0" shapeId="0" xr:uid="{E24588C2-770E-415F-8915-AB7DF3E1D9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8" authorId="0" shapeId="0" xr:uid="{846A4904-869C-4AD9-B8C5-5099242AA9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8" authorId="0" shapeId="0" xr:uid="{2CA9B9E0-144F-4FDF-9612-9F2138AB25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8" authorId="0" shapeId="0" xr:uid="{2453DBCF-184B-4EC4-A41E-B88FE0AB37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92E8443B-8613-4008-BF4B-F95062CE70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1BF18AE2-64B5-4C1B-B368-CA7A735FF3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379C42A0-9F20-448D-AD19-792407743B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2350EF50-1904-4139-8938-FC7822FB5D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8" authorId="0" shapeId="0" xr:uid="{1358875C-B0FF-4258-B47E-F9C52E7CA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8" authorId="0" shapeId="0" xr:uid="{A0DF2E50-37BF-41B3-83A1-D43815297D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8" authorId="0" shapeId="0" xr:uid="{2833BEDE-1FC4-4E94-AECD-A1348BFA64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05235A43-6319-42A2-A304-75ED6984B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9" authorId="0" shapeId="0" xr:uid="{2169ECBE-AD9C-4A0E-BC72-A04B5BD50F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9" authorId="0" shapeId="0" xr:uid="{798380A1-908C-47D0-8923-04B076825E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9" authorId="0" shapeId="0" xr:uid="{0CF50EF2-CFD5-46BA-A6B8-5BAF23F25D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9" authorId="0" shapeId="0" xr:uid="{C37F5A96-C9C4-41B8-9616-22BB4ECEC1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" authorId="0" shapeId="0" xr:uid="{39D4AC24-B7FD-4FFD-A65E-21ABB25E7E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CCBEE001-DB7C-48F7-8690-5FE07CA382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5F5F90DE-B81B-4004-960A-A78F19B23D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186605C2-F368-461B-A9DD-B9DDFE15DE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9" authorId="0" shapeId="0" xr:uid="{16CAF49B-5C22-4FE5-91E7-23C87FC1B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39" authorId="0" shapeId="0" xr:uid="{D2DDE6C0-9C60-4048-A6C6-F5CA8D18F6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39" authorId="0" shapeId="0" xr:uid="{371599D8-6628-4E96-80B1-B80058D54D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381C3A18-A341-4119-B950-BC66AF2876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0" authorId="0" shapeId="0" xr:uid="{774DBD23-BF12-449A-8E88-57E8CE976B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0" authorId="0" shapeId="0" xr:uid="{BC8CD4F5-9EA9-4F6C-B971-94EECB562D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0" authorId="0" shapeId="0" xr:uid="{996DB3C8-5C29-451C-B55A-292BE658A0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0" authorId="0" shapeId="0" xr:uid="{C074425A-BDA4-4C3A-A992-E7C34765ED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0" authorId="0" shapeId="0" xr:uid="{4A2DDA75-1B14-4913-8D38-DAF01B3977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0" authorId="0" shapeId="0" xr:uid="{5098F5D2-B554-497F-8BAE-D8D0DD26C1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D40F4F30-A91B-46C7-86C5-40D1AE4554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1046448E-90BB-4CEC-B54E-5C93A1C847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0" authorId="0" shapeId="0" xr:uid="{48E62476-C25C-4E2C-86B4-D8F60C0504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0" authorId="0" shapeId="0" xr:uid="{6A6F47F5-6816-44BF-915E-EDA25EEFF0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0" authorId="0" shapeId="0" xr:uid="{949E8D82-B726-4F28-B977-D08900D565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" authorId="0" shapeId="0" xr:uid="{93DE5CA1-4C16-45A7-A3E7-4616727B50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1" authorId="0" shapeId="0" xr:uid="{8A617507-6008-4A65-B04C-CF09108C92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1" authorId="0" shapeId="0" xr:uid="{7E3B2580-527E-497B-881B-8BBDFD8414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1" authorId="0" shapeId="0" xr:uid="{3C0999D8-1D9B-4816-B848-F427679CC5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1" authorId="0" shapeId="0" xr:uid="{A03759EE-E4B1-4AF8-A2A8-421457CB48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1" authorId="0" shapeId="0" xr:uid="{E21AFFCF-2D7F-4581-AEB8-946FA8B90A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1" authorId="0" shapeId="0" xr:uid="{64DA65D5-D050-4A7E-9EEC-7FB8212AA8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1" authorId="0" shapeId="0" xr:uid="{F18E8104-F376-40EA-82C6-1412060697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44393C6C-74AD-4038-A355-9C7CF30491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1" authorId="0" shapeId="0" xr:uid="{61C73A99-A72B-4144-A3C8-1585B5E95B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1" authorId="0" shapeId="0" xr:uid="{588C0613-2814-4D15-AB94-909B9E11EC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1" authorId="0" shapeId="0" xr:uid="{E38A4AB0-9D17-4FA0-862D-6AB8FBFF8B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" authorId="0" shapeId="0" xr:uid="{92B0024A-28B1-4C4B-A9D4-348B187991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2" authorId="0" shapeId="0" xr:uid="{23E60B9F-2D50-4675-8B6D-E0D77534A4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2" authorId="0" shapeId="0" xr:uid="{6AFDB89F-75DD-4EEA-8655-8A34ED0701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2" authorId="0" shapeId="0" xr:uid="{6C7EF8E2-F7BE-4225-8E9E-836A680E83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2" authorId="0" shapeId="0" xr:uid="{4536E5FB-9B21-4904-A955-908D24B16C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" authorId="0" shapeId="0" xr:uid="{245AEFAD-B96A-408A-BACC-BDAB4C39FE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2" authorId="0" shapeId="0" xr:uid="{7EBCE7C9-FCCE-40D6-9F90-F58C0EBB90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2" authorId="0" shapeId="0" xr:uid="{22D0C6C1-C438-4D2C-9977-FC8E74CE5C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2" authorId="0" shapeId="0" xr:uid="{F2D45262-8232-4FA8-B676-608E6227E5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2" authorId="0" shapeId="0" xr:uid="{5939F631-9B60-4215-AA9B-8BB9B9D589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2" authorId="0" shapeId="0" xr:uid="{3DCD455F-45A2-47FC-A04C-765E59BA6E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2" authorId="0" shapeId="0" xr:uid="{8B9EC38C-5EAF-4B3D-85F0-213702619C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" authorId="0" shapeId="0" xr:uid="{8D5BF322-2CF5-4AE7-A370-919553F58B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3" authorId="0" shapeId="0" xr:uid="{46F8DDA5-6E58-4270-BD43-BD5E77CF01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3" authorId="0" shapeId="0" xr:uid="{A589FE71-FCD6-4368-B348-340E6CAE5A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3" authorId="0" shapeId="0" xr:uid="{90BF6E37-F781-4AF0-9983-E194919DF6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3" authorId="0" shapeId="0" xr:uid="{F682C83F-DE72-4113-A473-BA929800C4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3" authorId="0" shapeId="0" xr:uid="{44F19930-0A70-4DB0-8725-DD9EC6B97E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3" authorId="0" shapeId="0" xr:uid="{FAA3B7A5-5525-405C-BD45-55C3EDDE65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3" authorId="0" shapeId="0" xr:uid="{679BA654-92A7-44B3-B981-0DDE8AA7E9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3" authorId="0" shapeId="0" xr:uid="{0B366015-236E-4DBA-92EA-C5DF552AF2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3" authorId="0" shapeId="0" xr:uid="{E2A640E5-7CF3-4C2B-B7FB-8166EA4650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3" authorId="0" shapeId="0" xr:uid="{8C8263E5-6502-431C-AF14-9A34D00BD5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3" authorId="0" shapeId="0" xr:uid="{C562C0FE-5AA5-4145-B4B9-2D83C1D2EA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" authorId="0" shapeId="0" xr:uid="{3E636FB5-517E-480D-A9D4-6143157801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4" authorId="0" shapeId="0" xr:uid="{DF271873-DA0C-4E41-A83A-37B0D16B37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4" authorId="0" shapeId="0" xr:uid="{FAF85454-F8FC-4C5F-8108-C586F00D94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4" authorId="0" shapeId="0" xr:uid="{DE6AA040-AE2A-46DC-A547-F8C47C9CFA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" authorId="0" shapeId="0" xr:uid="{1D62FC3C-BB37-4EE6-9791-155C48EC3F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" authorId="0" shapeId="0" xr:uid="{B00E6BB4-589F-46D6-9E1B-DEAA6ABFD6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4" authorId="0" shapeId="0" xr:uid="{F0C45A9D-087C-491E-88F2-213BECB53D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4" authorId="0" shapeId="0" xr:uid="{B48C379F-7BD4-46A5-9724-75E53A4634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4" authorId="0" shapeId="0" xr:uid="{76BCCD9A-77EE-4411-81BA-43359D1390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4" authorId="0" shapeId="0" xr:uid="{80208834-FFE9-4C6A-80E4-9C9E0E3631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4" authorId="0" shapeId="0" xr:uid="{992841DD-1D18-4CC4-94E4-73370A979B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4" authorId="0" shapeId="0" xr:uid="{FCCD6EB9-BF81-4073-95F6-639478128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" authorId="0" shapeId="0" xr:uid="{F289EF64-C71E-40C4-8146-EB49598FC3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5" authorId="0" shapeId="0" xr:uid="{636FFB59-69E3-4A1E-A9D3-5F8984D556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" authorId="0" shapeId="0" xr:uid="{7854E220-34EF-4F56-95F2-659D5A27CE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" authorId="0" shapeId="0" xr:uid="{1EE2A69D-F674-4D98-A533-EF07A155A8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" authorId="0" shapeId="0" xr:uid="{E3AEEFD7-AF61-4AA6-8875-7944CBF93D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" authorId="0" shapeId="0" xr:uid="{A3E1A322-65C3-477E-A712-03C149230F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5" authorId="0" shapeId="0" xr:uid="{1758096F-5317-420E-BB71-C5696E2B9E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5" authorId="0" shapeId="0" xr:uid="{4382C576-0815-4C36-A7A3-D9278478D7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5" authorId="0" shapeId="0" xr:uid="{9536CB97-93E9-4634-A9B2-FA775B71DC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5" authorId="0" shapeId="0" xr:uid="{0C4DC8E6-8B3D-491B-9C71-3227DEDCC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5" authorId="0" shapeId="0" xr:uid="{C8AADB19-684B-4CF5-84EA-1F3021361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5" authorId="0" shapeId="0" xr:uid="{7F21904A-2B08-43A8-88A0-3C5E5486F5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" authorId="0" shapeId="0" xr:uid="{6012FC40-1CAC-424C-A19E-5374691A90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" authorId="0" shapeId="0" xr:uid="{541D62F6-B399-4FBC-B173-9FE7E3AC87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" authorId="0" shapeId="0" xr:uid="{61C5F4DB-4ACB-4D6F-B3EB-D971AE8EC1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" authorId="0" shapeId="0" xr:uid="{60BAE2E6-F4B2-49AF-9444-0816A7DF99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" authorId="0" shapeId="0" xr:uid="{32B1600A-A11B-485D-A9FB-98B2744ACE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" authorId="0" shapeId="0" xr:uid="{86649786-1CE4-4BBA-99A2-8F5AA13CAD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46" authorId="0" shapeId="0" xr:uid="{8C6AEF3E-7702-4CE0-A378-9B2BE889A8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46" authorId="0" shapeId="0" xr:uid="{5E0E36B4-9FA0-40A0-9E49-AE38547436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46" authorId="0" shapeId="0" xr:uid="{D5E378ED-087C-4383-A6A5-D570DC9438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46" authorId="0" shapeId="0" xr:uid="{C8A30BFB-ECEA-4CF9-B28D-38F294D177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46" authorId="0" shapeId="0" xr:uid="{40BDB8A9-EE29-49E0-8310-CEAB24E63C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46" authorId="0" shapeId="0" xr:uid="{8FF62A55-A65F-48EA-9245-256A1EABF6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" authorId="0" shapeId="0" xr:uid="{084C960A-FA6A-43CE-BEB4-EAC9E9C086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9" authorId="0" shapeId="0" xr:uid="{AAD265F2-40A2-4378-AA49-09D183FA01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9" authorId="0" shapeId="0" xr:uid="{1ADA50D1-3935-446C-A7AA-74CA741AFD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9" authorId="0" shapeId="0" xr:uid="{8F936B71-75AA-4C51-AA4B-644C4903D6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9" authorId="0" shapeId="0" xr:uid="{DD2133AC-DAC0-4787-9D9B-F0B5B81E43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9" authorId="0" shapeId="0" xr:uid="{998EA782-785B-4540-BC2B-C7268CD3CF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9" authorId="0" shapeId="0" xr:uid="{095F4264-4E39-4DB3-8240-A88786105B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9" authorId="0" shapeId="0" xr:uid="{4B954BCF-CC15-4244-97F3-D022E90935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9" authorId="0" shapeId="0" xr:uid="{529B282A-F079-447E-AA5D-7F249F81EB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9" authorId="0" shapeId="0" xr:uid="{CEE39855-D8B2-41F2-AEC9-9A5C3260AE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49" authorId="0" shapeId="0" xr:uid="{14750198-3EB7-46A1-BECE-B40E38E537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49" authorId="0" shapeId="0" xr:uid="{8DFF4E1E-2571-4B57-9C32-E39BEBB84E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0" authorId="0" shapeId="0" xr:uid="{31833436-B58A-489E-92B8-41DF0B34B1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0" authorId="0" shapeId="0" xr:uid="{75B9D6A7-C4F4-4EC1-955B-3302AF0A38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0" authorId="0" shapeId="0" xr:uid="{2EAC8DC9-94F7-48A2-AA3A-5F2A0E3C53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0" authorId="0" shapeId="0" xr:uid="{D233DC88-C444-4F2F-8E43-05B208C53A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0" authorId="0" shapeId="0" xr:uid="{A12B6BB3-1932-4AA7-AB34-875D266495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0" authorId="0" shapeId="0" xr:uid="{CA8C3BC9-C622-469B-BC97-FAF02D838B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0" authorId="0" shapeId="0" xr:uid="{99873578-8C79-4D6C-9094-FB81DE3B46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0" authorId="0" shapeId="0" xr:uid="{1858EEC8-E260-44ED-9710-F42256673A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0" authorId="0" shapeId="0" xr:uid="{D769C5F8-96AD-4133-BC28-958BB10AD2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0" authorId="0" shapeId="0" xr:uid="{FE8FD61B-4D27-4C56-9BFD-B12D13E9FC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0" authorId="0" shapeId="0" xr:uid="{D7788982-348E-4841-BCA8-DE6954E089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0" authorId="0" shapeId="0" xr:uid="{833FC921-7E35-456B-9ED6-17F499E778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BEF00E65-6093-43F6-8132-E958CE6C5F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1" authorId="0" shapeId="0" xr:uid="{31F35A9C-AF86-4FA5-B0A5-624175AAB5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1" authorId="0" shapeId="0" xr:uid="{6CEBD408-F576-4174-8E8C-5552A941D2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1" authorId="0" shapeId="0" xr:uid="{304902CE-2A2D-4EB6-A060-B8171AA95D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E53DB45D-A33F-4230-AF77-C3BA6ACB1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D41398BB-5FEC-4434-A84E-34924BF113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B0A75122-3ABE-49BF-8BCA-EBDC90F294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E3272376-2169-4836-AF97-2769DD3F53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2DA823BB-7DA9-48C9-AB33-FB08DFAF72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1" authorId="0" shapeId="0" xr:uid="{23A85B91-BB49-4DEC-A640-B20796B96F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51" authorId="0" shapeId="0" xr:uid="{DECF360E-CE6D-49D9-8E54-ED51288DE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51" authorId="0" shapeId="0" xr:uid="{E150BF0D-955B-472A-9BF5-0929254C53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2" authorId="0" shapeId="0" xr:uid="{033D544E-A42A-4B59-BF39-5592DB727B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2" authorId="0" shapeId="0" xr:uid="{E7BA62C4-EB56-4BFE-9708-1B7B2BFE10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2" authorId="0" shapeId="0" xr:uid="{C1F97EC5-C0C7-4057-8504-BB614948FB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2" authorId="0" shapeId="0" xr:uid="{CB74EFE5-0209-4F06-9756-16319EF07A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2" authorId="0" shapeId="0" xr:uid="{53DB7249-7654-4208-B80B-5E2A80FFB4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6635FE2A-5A08-4747-A6A1-050A771F85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DEE4F22A-0F02-463B-9AC5-5EFF4149E4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99BDFAF9-A11B-4BB3-9039-B122C963EB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72B3049C-9357-4CFF-B152-F05E8F0A3C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2" authorId="0" shapeId="0" xr:uid="{5462A040-BC1F-467D-BE80-4D6EE5C071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2" authorId="0" shapeId="0" xr:uid="{8AB275BF-C5CA-4F76-8394-9560A11585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2" authorId="0" shapeId="0" xr:uid="{414713EA-CAA1-4AC5-BD0F-B39182707E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3" authorId="0" shapeId="0" xr:uid="{257ECCB0-F1D4-4C11-B96C-FCA207AB4E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3" authorId="0" shapeId="0" xr:uid="{71EBA782-46EA-49A4-9140-C2712A6C37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3" authorId="0" shapeId="0" xr:uid="{8FE38D43-BD32-4FCA-AE44-EA4DD90D6C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3" authorId="0" shapeId="0" xr:uid="{DD4CCB80-DECC-4ABF-B582-50876E59C4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3" authorId="0" shapeId="0" xr:uid="{34514754-FD70-4C6F-82D8-CDEE6580CF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8992D5D8-BC43-48AE-A9A7-35397EDE07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8A8D59C3-2910-412B-A5FA-F9BC34FBA3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3" authorId="0" shapeId="0" xr:uid="{F62DCE6A-E7E0-44FF-B2D2-57BEFB1C67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3" authorId="0" shapeId="0" xr:uid="{D463EF1C-4643-460E-8035-6C47E3F802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3" authorId="0" shapeId="0" xr:uid="{5D40E28E-927E-4A90-8B73-B3B6EED21D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3" authorId="0" shapeId="0" xr:uid="{2930EB5A-DCD4-4290-8EBB-878C4846AF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3" authorId="0" shapeId="0" xr:uid="{DF0617E7-4E93-47F3-AA7C-C023D24815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4" authorId="0" shapeId="0" xr:uid="{1AFB3BBF-A9F3-4052-A561-E1D6EEA8A4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4" authorId="0" shapeId="0" xr:uid="{2555749B-C6AA-4B5E-A961-BF18EB0CE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4" authorId="0" shapeId="0" xr:uid="{2C3C96D7-F217-41BA-99BC-EA3A696B01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4" authorId="0" shapeId="0" xr:uid="{88B77E0C-4AC9-46E8-87ED-0A73080977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4" authorId="0" shapeId="0" xr:uid="{5C6B8E3E-0B32-499C-9DF4-BAD49D2818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4" authorId="0" shapeId="0" xr:uid="{ED82CEC0-A548-46B0-B4CB-F5D71217DF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4" authorId="0" shapeId="0" xr:uid="{122589E2-3023-41CC-A2A3-A3B376ABC4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4" authorId="0" shapeId="0" xr:uid="{60F11203-5405-4B16-9DC7-7A6E7EA6F0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4" authorId="0" shapeId="0" xr:uid="{A6A611F1-4982-4E6E-B09A-095389B4A8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4" authorId="0" shapeId="0" xr:uid="{47D6C2D3-9952-46AF-8FAE-989AAD51E8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4" authorId="0" shapeId="0" xr:uid="{736B5040-5D1A-4897-A953-CFC2747BAE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4" authorId="0" shapeId="0" xr:uid="{958E5621-3937-4AC2-8828-ADFEE4C709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5" authorId="0" shapeId="0" xr:uid="{540E65E9-18EE-45C6-9C14-A8A7344BF2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5" authorId="0" shapeId="0" xr:uid="{E46FC825-0E93-4BA0-AF7F-946449486D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5" authorId="0" shapeId="0" xr:uid="{AA6AC018-9EDD-407E-AEBA-4F526237BE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5" authorId="0" shapeId="0" xr:uid="{8C4D9EFB-77C6-4E15-9E14-BC0127C5AB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5" authorId="0" shapeId="0" xr:uid="{90109283-B9C3-408A-B742-6506A57705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5" authorId="0" shapeId="0" xr:uid="{CC4AB4E5-0A36-4191-B465-43283A0970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5" authorId="0" shapeId="0" xr:uid="{E14CB1EF-167F-4321-8D26-E1EF60117D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5" authorId="0" shapeId="0" xr:uid="{DAF421B6-7525-4F7F-A919-7482E4DA23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5" authorId="0" shapeId="0" xr:uid="{E2EAEDF8-DB8D-4C8B-BE27-1AA2026B51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5" authorId="0" shapeId="0" xr:uid="{924F04FB-18A5-4A61-A9A3-C45BE9A166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5" authorId="0" shapeId="0" xr:uid="{4091819D-D46F-40A1-B4AB-4452B12D8F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5" authorId="0" shapeId="0" xr:uid="{4B2E5035-A4EB-4F7C-BD55-C75B9F744C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6" authorId="0" shapeId="0" xr:uid="{12CCEED5-A822-4B66-93FF-A7002A723F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6" authorId="0" shapeId="0" xr:uid="{0F51E5E2-DB73-4F44-9C50-A51893AEF9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3979755F-6E57-4710-9617-9B87D0A7D4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6" authorId="0" shapeId="0" xr:uid="{5BFD2F78-813F-4C6B-B941-B7F6544C3F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6" authorId="0" shapeId="0" xr:uid="{35483413-57F6-49C3-B3B0-A35A854B6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6" authorId="0" shapeId="0" xr:uid="{EE67258D-E3C1-4BC9-B2EA-FE4222D304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6" authorId="0" shapeId="0" xr:uid="{90FC9906-633F-4321-A18D-303CBF1436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6" authorId="0" shapeId="0" xr:uid="{80BAF46C-EE63-4878-A662-7ABFD016EF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6" authorId="0" shapeId="0" xr:uid="{497566F4-BE53-4757-BAAF-ECDDF97FC6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6" authorId="0" shapeId="0" xr:uid="{842DDB69-C41E-4A1D-9A71-FEE4CA85C0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6" authorId="0" shapeId="0" xr:uid="{5A4021DA-8CDB-454F-9E74-1293843EF5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6" authorId="0" shapeId="0" xr:uid="{11B6182F-6075-4749-9618-EEC5AE032B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7" authorId="0" shapeId="0" xr:uid="{17E02C8B-E7CF-47A9-BBA1-0284BB0A96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7" authorId="0" shapeId="0" xr:uid="{43A9775C-C4C6-447E-B898-B279160989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7" authorId="0" shapeId="0" xr:uid="{90897356-0C9E-43DE-ACC4-1F914F503A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7" authorId="0" shapeId="0" xr:uid="{416F8B60-15AE-4480-8929-BAD8A12726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7" authorId="0" shapeId="0" xr:uid="{9019DFB1-61A7-431E-BD0D-005446ED2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7" authorId="0" shapeId="0" xr:uid="{9C0A62B9-E4B6-49E6-BECB-1B5C4FDA10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57" authorId="0" shapeId="0" xr:uid="{C20B5B64-9798-4A10-9960-914895CEB0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57" authorId="0" shapeId="0" xr:uid="{A1F528C0-D08C-4C15-938F-620B60A0F8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57" authorId="0" shapeId="0" xr:uid="{77255AB5-0C0A-4490-BE92-D76D26207E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57" authorId="0" shapeId="0" xr:uid="{C21D2B31-40B2-4B4C-A006-E9A36AE6B8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57" authorId="0" shapeId="0" xr:uid="{B3FCB864-336D-4345-8024-470F39F866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57" authorId="0" shapeId="0" xr:uid="{62CA4BF3-E650-4101-B847-5CD8E83B3A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0" authorId="0" shapeId="0" xr:uid="{190AA3FD-35AB-43AA-A9B9-CD66AB89C3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0" authorId="0" shapeId="0" xr:uid="{B75680F2-7017-4249-A19D-44780741F8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0" authorId="0" shapeId="0" xr:uid="{1D0B7093-174C-4A7D-81BA-762E0C077B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0" authorId="0" shapeId="0" xr:uid="{D4A22BE4-2C1C-4449-AADC-46ADD4E906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0" authorId="0" shapeId="0" xr:uid="{C8B472CB-4264-411E-B700-456A0BF56B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0" authorId="0" shapeId="0" xr:uid="{973D0A4D-FF4A-4FAE-B252-96DF0FD429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0" authorId="0" shapeId="0" xr:uid="{6BD91494-4D04-40EA-ABFD-E71D16F2A7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0" authorId="0" shapeId="0" xr:uid="{DBBBE71F-498C-4BF7-91A9-ADE93EE834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0" authorId="0" shapeId="0" xr:uid="{B50CF939-9FFE-4FB7-85AA-3080A14B6E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0" authorId="0" shapeId="0" xr:uid="{826F59EF-7357-496F-990C-AC207EB2E6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0" authorId="0" shapeId="0" xr:uid="{DFD7AF77-77A5-4AFD-8470-B2C9455FD8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0" authorId="0" shapeId="0" xr:uid="{02176231-2F14-4C24-ADD1-A895AAC730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42E343F3-A84F-468D-A97F-D93EE0AF51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1" authorId="0" shapeId="0" xr:uid="{574DDBA1-6776-432A-96C8-B79D9CBE31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1" authorId="0" shapeId="0" xr:uid="{E37F41C8-E0C9-41E0-9401-FAE054A0BD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1" authorId="0" shapeId="0" xr:uid="{AAF5FD8C-A173-473A-8DD3-6AE6E8B76D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1" authorId="0" shapeId="0" xr:uid="{53838C70-AF4A-47B1-8C34-AC18801453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16BCA0D7-2E5B-4AB0-A1C8-2AE21BC385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1791EB06-DB1F-45EE-8ED7-09F28803CF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DF91ACD2-6259-4373-B427-7B5EBC429B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00FAD1DB-F508-4148-8384-6D0AE9660B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1" authorId="0" shapeId="0" xr:uid="{18AAE992-1166-4272-B5C9-40204F8F48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1" authorId="0" shapeId="0" xr:uid="{49FCF2BA-EA13-4BD8-88FE-CC9CB65DAC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1" authorId="0" shapeId="0" xr:uid="{6F752F57-6E1E-4A6B-B5FB-38E110840B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D0CE49E0-8AA8-45C5-B8CA-14A8C76D14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2" authorId="0" shapeId="0" xr:uid="{07BBAE15-F2F5-47D3-AFAE-D2A4AAD5C4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2" authorId="0" shapeId="0" xr:uid="{E80AD51A-BEC1-4A75-A119-7199C46BBF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2" authorId="0" shapeId="0" xr:uid="{DBA47A7D-A053-4149-824D-21EE40EAC0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2" authorId="0" shapeId="0" xr:uid="{A1098FD3-10CF-403B-8FD5-F969D0B69D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8B6FA9E6-F5DF-4F29-85E8-C3B89363E4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4B80B309-21F7-4D65-AED8-792EDD8C5D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A9BB45C3-4927-414E-A6CB-869813655E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BC8E5663-6A72-4496-B113-813E4B5FA1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2" authorId="0" shapeId="0" xr:uid="{930FB631-D4AA-4DD7-8E54-4415ADA536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62" authorId="0" shapeId="0" xr:uid="{3DD78F50-18C7-409C-8C14-5AF4F37FAC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62" authorId="0" shapeId="0" xr:uid="{3796E6F6-A896-4DCE-927D-5886BD6337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3" authorId="0" shapeId="0" xr:uid="{6AB12A7F-EC79-438B-8A9A-1DD7CCD7E6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3" authorId="0" shapeId="0" xr:uid="{E1BE414B-2DE7-408B-9486-B8CC849464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3" authorId="0" shapeId="0" xr:uid="{D7DA5AEC-1999-4E09-8FC8-1CB57118FA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3" authorId="0" shapeId="0" xr:uid="{7BC2C889-0FA1-4C14-A95E-A96F27D09F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3" authorId="0" shapeId="0" xr:uid="{1D45B7EF-53F4-4514-8878-6565E61095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3" authorId="0" shapeId="0" xr:uid="{27FC7D4B-B2E8-42D1-B83D-AE995C649B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7EC46851-2350-487E-91E1-1385EC2498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3" authorId="0" shapeId="0" xr:uid="{229FDEC6-C9EB-4F45-919B-50431F35E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3" authorId="0" shapeId="0" xr:uid="{30337623-FCB5-4E60-BEE6-9AA0EFF737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3" authorId="0" shapeId="0" xr:uid="{AAC409AA-68B7-4F32-A714-657AE191A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3" authorId="0" shapeId="0" xr:uid="{9DB41059-EDF6-4579-AA47-0E01BB1F39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3" authorId="0" shapeId="0" xr:uid="{8886079A-33FC-441D-B199-CD8A2BD34A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4" authorId="0" shapeId="0" xr:uid="{AD4AD220-976C-43FE-B700-7E085C554D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4" authorId="0" shapeId="0" xr:uid="{CD861B0D-F1E2-4558-AE85-AB4CECD24F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4" authorId="0" shapeId="0" xr:uid="{12CB4B0C-7F12-48EB-9782-79F688D4ED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4" authorId="0" shapeId="0" xr:uid="{084D6ED7-9741-42C8-84DA-7EFD923E69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4" authorId="0" shapeId="0" xr:uid="{CAA59909-D2EC-45AE-AD87-94F4BA73DC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4" authorId="0" shapeId="0" xr:uid="{FD784ADA-36D5-4534-9A26-1B3A77AC5A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0B5F270D-456A-43EE-8C8F-C48B56176E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4" authorId="0" shapeId="0" xr:uid="{39F70672-C454-4369-9B13-691BD67C05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4" authorId="0" shapeId="0" xr:uid="{52023051-03C0-425F-8956-83917D0CCA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4" authorId="0" shapeId="0" xr:uid="{4816722D-524A-4693-80EC-4C3EC75FF6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4" authorId="0" shapeId="0" xr:uid="{0ACF35E8-7CE0-44FF-ACEB-7AD2774146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4" authorId="0" shapeId="0" xr:uid="{E6A0FDC9-3BC5-427A-976C-38261D3A33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5" authorId="0" shapeId="0" xr:uid="{7A76C300-D4C7-432B-A5CE-AD7497706A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5" authorId="0" shapeId="0" xr:uid="{782CA55E-86FB-43FA-827D-1D7234C11F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5" authorId="0" shapeId="0" xr:uid="{AEA089FE-2E58-48DE-9C87-178F722215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5" authorId="0" shapeId="0" xr:uid="{0E54FC97-8471-4AA4-A21B-F0088E9305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5" authorId="0" shapeId="0" xr:uid="{4FBA2817-6F3F-4BBE-ABF3-29B257C7BE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5" authorId="0" shapeId="0" xr:uid="{A88FE385-1B73-4C9A-9CFA-2067CE46BC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5" authorId="0" shapeId="0" xr:uid="{61233F9B-476A-44D2-B526-E994B42ED7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65" authorId="0" shapeId="0" xr:uid="{7DF05B26-8A13-4613-88A7-6F2A643996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5" authorId="0" shapeId="0" xr:uid="{189DE0F1-A475-4E37-AC98-E11D85D165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5" authorId="0" shapeId="0" xr:uid="{A7CDD9A6-B320-4DA9-9493-BA0C812C56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5" authorId="0" shapeId="0" xr:uid="{76860D0D-1EE4-479F-B5DE-25DF250ADC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5" authorId="0" shapeId="0" xr:uid="{F22069D6-0C73-4C9E-BA14-C10201F9B3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6" authorId="0" shapeId="0" xr:uid="{1680CA77-825F-4921-9695-8CCE7603DA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6" authorId="0" shapeId="0" xr:uid="{6BDB2F41-FFCE-4365-92B5-A604A871C1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6" authorId="0" shapeId="0" xr:uid="{B9E2EE2F-2B9F-44B1-8EA6-697F0E061F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6" authorId="0" shapeId="0" xr:uid="{D93DC593-1CE2-4E96-A1F4-BF8B17DFDC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6" authorId="0" shapeId="0" xr:uid="{071929C2-E489-4522-9861-ED491BABC7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6" authorId="0" shapeId="0" xr:uid="{B2A1C8D0-8474-480C-B719-673D8E56FF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6" authorId="0" shapeId="0" xr:uid="{4AEA2739-2037-4032-B724-60E5E647ED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66" authorId="0" shapeId="0" xr:uid="{9EC0C7AF-2854-4D30-A2C5-63E391DA8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6" authorId="0" shapeId="0" xr:uid="{2BFEC66F-DF46-435A-BED8-4AE842AEB2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6" authorId="0" shapeId="0" xr:uid="{62B5AA9B-1420-45D5-9475-B84DBB8773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6" authorId="0" shapeId="0" xr:uid="{8521F9AD-05BE-4E48-BA49-D346AB29D6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6" authorId="0" shapeId="0" xr:uid="{77A20ABD-E3FD-4DF9-81E3-7D0D80FB8D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7" authorId="0" shapeId="0" xr:uid="{E4322590-B9A7-46D4-88AB-557860C7EE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7" authorId="0" shapeId="0" xr:uid="{DEF4A6AD-9D5C-4A99-883B-1027146CAE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7" authorId="0" shapeId="0" xr:uid="{71804961-8728-46C5-BD9B-577AA3A800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7" authorId="0" shapeId="0" xr:uid="{3D4906FE-7481-437F-AE8B-E20ABD7CBB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7" authorId="0" shapeId="0" xr:uid="{6D0661BF-7274-45E9-9FEA-884FB88398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7" authorId="0" shapeId="0" xr:uid="{EF4464DA-5ED5-4DD9-A48F-495D9321F4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7" authorId="0" shapeId="0" xr:uid="{DB86ED64-BBC6-484A-9699-B495775CF1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67" authorId="0" shapeId="0" xr:uid="{A1AF23CD-7389-4DCF-992F-F109A715C1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7" authorId="0" shapeId="0" xr:uid="{0F4A5825-5893-4DE7-AB77-1C71D97DC9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7" authorId="0" shapeId="0" xr:uid="{53399CBB-AEA6-4C51-9DC8-ED3EF3348B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7" authorId="0" shapeId="0" xr:uid="{90194AA8-696C-4F3A-AE17-FD914E8BA9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7" authorId="0" shapeId="0" xr:uid="{D9609296-064A-4505-BAAD-CA193BB9AA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8" authorId="0" shapeId="0" xr:uid="{17F270C6-38AF-45AB-9CE0-425E6C297C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8" authorId="0" shapeId="0" xr:uid="{7EEE6803-D29A-417F-BEB9-8AAAD48F0E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8" authorId="0" shapeId="0" xr:uid="{CC5BB83D-054E-462D-AFB3-EB18FE5D4E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8" authorId="0" shapeId="0" xr:uid="{66F6FEDA-4969-4785-B47D-BB3A8017E3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8" authorId="0" shapeId="0" xr:uid="{70FAAA74-1B75-4882-B03F-4E29A5A91D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8" authorId="0" shapeId="0" xr:uid="{42C299AB-1A4B-4B71-9A2A-E8FF376A32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68" authorId="0" shapeId="0" xr:uid="{D4A0FE5A-E56B-48BA-81E9-9976EB5461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68" authorId="0" shapeId="0" xr:uid="{4AA12B2C-4602-428A-9275-E030B72DCE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68" authorId="0" shapeId="0" xr:uid="{16435BD8-D4B7-4855-A6CB-0A0792B6FE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68" authorId="0" shapeId="0" xr:uid="{28E8EC8A-E4C3-4826-9D51-454214E163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68" authorId="0" shapeId="0" xr:uid="{C1A9327B-2409-402B-BF7C-4E5C5C9DA3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68" authorId="0" shapeId="0" xr:uid="{6C761E60-489E-45D7-A2A9-D133EC9891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1" authorId="0" shapeId="0" xr:uid="{35846121-D505-43D4-A30C-A3036FB59E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1" authorId="0" shapeId="0" xr:uid="{1318E6E1-EFB2-4A24-B5EA-65E906E636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1" authorId="0" shapeId="0" xr:uid="{AFEDA078-FD21-465C-9FA2-F5E0760371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1" authorId="0" shapeId="0" xr:uid="{37EE807C-2F5B-4E45-B816-5D20DF5456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1" authorId="0" shapeId="0" xr:uid="{65F846B5-30A8-4FEA-877C-FD937A762F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1" authorId="0" shapeId="0" xr:uid="{9268502B-C190-4D3C-A14B-59D61677C3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1" authorId="0" shapeId="0" xr:uid="{05337203-42C9-4ACA-A416-6714F51FD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1" authorId="0" shapeId="0" xr:uid="{BF87135F-46C8-4EE1-8A21-E24174398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1" authorId="0" shapeId="0" xr:uid="{080F3579-1CCB-4E54-A61B-DD2A99A3A5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1" authorId="0" shapeId="0" xr:uid="{22030C89-E157-4EAB-A3D8-2E147391B9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1" authorId="0" shapeId="0" xr:uid="{9C729BF8-86C5-4732-A3AB-0398FB9EF9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1" authorId="0" shapeId="0" xr:uid="{63FB1874-9233-4221-9481-ACA92B8334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2" authorId="0" shapeId="0" xr:uid="{D9329FA9-7D97-4E97-A194-C8E111AC44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2" authorId="0" shapeId="0" xr:uid="{072B1F9D-CC8D-43EE-B5C6-B2B9F21614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2" authorId="0" shapeId="0" xr:uid="{5BD288DC-A03D-4FB1-9297-E0937E0EF4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2" authorId="0" shapeId="0" xr:uid="{E3CE8116-E793-4E97-8CFD-DBE0BA61BC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2" authorId="0" shapeId="0" xr:uid="{14AB3864-5456-4F1B-BCB0-46103577CA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2" authorId="0" shapeId="0" xr:uid="{2044F8BA-A28A-4771-AE25-17DAAAB26D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2" authorId="0" shapeId="0" xr:uid="{86704E19-5AC2-4990-A719-4E56A6A5E5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2" authorId="0" shapeId="0" xr:uid="{70056FCA-B39A-4C82-BFF3-89893F9D3A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2" authorId="0" shapeId="0" xr:uid="{D5FBE7CC-134F-4031-876E-2592CE0211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2" authorId="0" shapeId="0" xr:uid="{1EE0DF30-F658-49F2-AFED-2F08FD06E2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2" authorId="0" shapeId="0" xr:uid="{707DEB87-B3B4-4A14-8186-5EDC0D7CA3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2" authorId="0" shapeId="0" xr:uid="{C6152A1B-5443-4A58-B529-655672CD82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3" authorId="0" shapeId="0" xr:uid="{C5A2D23A-1F43-4640-903B-6715A96221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3" authorId="0" shapeId="0" xr:uid="{63D1F43F-E0D1-4841-A2C9-04153F28CB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3" authorId="0" shapeId="0" xr:uid="{D6CA21D1-2E3F-45E3-8FC5-85F4191622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3" authorId="0" shapeId="0" xr:uid="{A92E601A-5220-46CB-A06C-1E260955D3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3" authorId="0" shapeId="0" xr:uid="{B57DBDC3-C4B6-43BB-9970-E796437EBB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3" authorId="0" shapeId="0" xr:uid="{E6F17E53-759D-4993-8F2C-93AEAED63F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3" authorId="0" shapeId="0" xr:uid="{B068FCAF-081D-4DEB-90A2-948692B165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3" authorId="0" shapeId="0" xr:uid="{6C85EEBA-07DC-435D-9D32-4100C0E9E8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3" authorId="0" shapeId="0" xr:uid="{8DDFDA03-8469-45CC-B31E-66599D3BB1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3" authorId="0" shapeId="0" xr:uid="{5B918381-D10D-44C9-BA04-A0F11EBB8D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73" authorId="0" shapeId="0" xr:uid="{61F2BD89-CF85-4713-9527-A6FAB5F32C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73" authorId="0" shapeId="0" xr:uid="{FC7F1676-82B0-4E98-BAAE-380911A7E0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4" authorId="0" shapeId="0" xr:uid="{D1FB7082-22D3-4AF7-87E0-D724F6D559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4" authorId="0" shapeId="0" xr:uid="{F27E1BC1-1C71-40EB-B243-9AADCB7127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4" authorId="0" shapeId="0" xr:uid="{C20CC31E-FCC9-491B-98D8-D75ABC3264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4" authorId="0" shapeId="0" xr:uid="{5536F10E-2201-47AF-AF38-61348A4714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4" authorId="0" shapeId="0" xr:uid="{28770AB3-CE9D-4DEC-8DAF-3A92C3DDD6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4" authorId="0" shapeId="0" xr:uid="{670CC7C0-7A63-403A-B2EE-3785D8BEA0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4" authorId="0" shapeId="0" xr:uid="{67FBCB9D-0FB5-456F-89EB-4B2508B71E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4" authorId="0" shapeId="0" xr:uid="{27BBDB62-763E-4399-86BE-4D132F5811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4" authorId="0" shapeId="0" xr:uid="{4DE5DF8E-4E9C-488B-BD38-97F1FFC042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4" authorId="0" shapeId="0" xr:uid="{57EB3391-EE8D-43B8-B63E-7042EF362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4" authorId="0" shapeId="0" xr:uid="{41D101E4-83D7-449F-87B4-8193583051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4" authorId="0" shapeId="0" xr:uid="{B7164DDE-C740-45A1-85BA-9D7813DACB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5" authorId="0" shapeId="0" xr:uid="{A3257E6B-7BC0-4479-BEE4-42B40DEBA3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5" authorId="0" shapeId="0" xr:uid="{DBF988CB-9A42-4A51-8263-6DD1776106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5" authorId="0" shapeId="0" xr:uid="{3C33F35C-682F-4D41-B7B8-D78E1A44AC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5" authorId="0" shapeId="0" xr:uid="{F339BF95-8B8A-4B2E-BDE5-22CF6365BD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5" authorId="0" shapeId="0" xr:uid="{CA347D4C-BB54-461B-B683-36CC3ABC0D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5" authorId="0" shapeId="0" xr:uid="{2FB756FE-F9EC-4D9C-8224-FA095C104C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5" authorId="0" shapeId="0" xr:uid="{79D202A1-E256-4B17-9103-5184A68480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5" authorId="0" shapeId="0" xr:uid="{BC09E30E-3546-434A-9914-82002BC4C2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5" authorId="0" shapeId="0" xr:uid="{7726F914-BB92-44FB-A7B3-A787BBB444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5" authorId="0" shapeId="0" xr:uid="{1C5B27A7-B1BB-4083-8923-5BAD1F0C16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5" authorId="0" shapeId="0" xr:uid="{F2CB8742-79EC-49AF-860B-9A63F51ED1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5" authorId="0" shapeId="0" xr:uid="{3B88BAF5-083C-4928-A71F-B43735E395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6" authorId="0" shapeId="0" xr:uid="{EE6AA5FD-7530-49CC-9DB8-9E1EBC8EFC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6" authorId="0" shapeId="0" xr:uid="{3D3789FD-08A1-4E93-90CE-46B2E110A2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6" authorId="0" shapeId="0" xr:uid="{3F092B35-C1C3-47D4-92E6-863A04F3E7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6" authorId="0" shapeId="0" xr:uid="{5827C92F-A633-4CDC-B84B-A4021ABDA4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6" authorId="0" shapeId="0" xr:uid="{B2095C51-E698-45E9-948C-5ADFA611B2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6" authorId="0" shapeId="0" xr:uid="{52951DCA-BF22-48F3-85B8-B36D74A06D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6" authorId="0" shapeId="0" xr:uid="{2541078B-F269-4276-9EAA-950C868875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6" authorId="0" shapeId="0" xr:uid="{F8A22B91-403D-4436-8A88-08229151D5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6" authorId="0" shapeId="0" xr:uid="{39B21B53-85E7-4D59-BEE6-D7B4F1D24F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6" authorId="0" shapeId="0" xr:uid="{DC6E67E4-0279-458A-846C-FE2EA072AC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6" authorId="0" shapeId="0" xr:uid="{DA2EA1BF-550C-42EA-85FB-99E1530FDC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6" authorId="0" shapeId="0" xr:uid="{DCCE7F14-0C8F-4888-BA04-95246F0CFC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7" authorId="0" shapeId="0" xr:uid="{9FBCA6EF-E7DD-4C79-A853-13D8411C5D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7" authorId="0" shapeId="0" xr:uid="{051F76BC-7349-4359-9920-0B7807F389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7" authorId="0" shapeId="0" xr:uid="{77F231B9-4C49-4A12-A30C-EE9E0000E6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7" authorId="0" shapeId="0" xr:uid="{726156EF-EBE6-4D22-86B8-F1FA109AE0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7" authorId="0" shapeId="0" xr:uid="{EE864F62-C847-4DFC-853C-D4316B3066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7" authorId="0" shapeId="0" xr:uid="{49A988F4-5C54-4E65-83FC-22C40C26E5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7" authorId="0" shapeId="0" xr:uid="{495B4E7D-53EE-44B5-9CD0-73B7F7CB87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7" authorId="0" shapeId="0" xr:uid="{C341B5CA-A822-4759-9FB8-4776595534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7" authorId="0" shapeId="0" xr:uid="{8537D140-1E69-4D72-A310-2BA6ACA5B4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7" authorId="0" shapeId="0" xr:uid="{DC7CEE95-5D11-40A7-AF1D-9B5F2C48C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7" authorId="0" shapeId="0" xr:uid="{0144AC4A-DCB5-476E-8647-4205A4B23C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7" authorId="0" shapeId="0" xr:uid="{27E36AB0-0852-433D-A454-10E01A9976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8" authorId="0" shapeId="0" xr:uid="{55A36BE4-DE50-473B-9461-8766B66F2B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8" authorId="0" shapeId="0" xr:uid="{37D54680-5DA3-4731-B9B9-ABC6831B96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8" authorId="0" shapeId="0" xr:uid="{4A6FE474-1933-402B-A36A-A609A22953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8" authorId="0" shapeId="0" xr:uid="{A028F921-2F88-45F6-B0E9-8AA05F0538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8" authorId="0" shapeId="0" xr:uid="{D11164E2-5B81-410F-A30A-C757CEF862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8" authorId="0" shapeId="0" xr:uid="{C173F5E8-5A57-4AAD-89C8-46865BC982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8" authorId="0" shapeId="0" xr:uid="{E6E975AC-9822-423D-9A2D-65F8206F28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8" authorId="0" shapeId="0" xr:uid="{1DB6FEEC-AF55-4CEF-A871-9A8132436A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8" authorId="0" shapeId="0" xr:uid="{F489A0BB-0E52-4E94-993E-C12F6C223F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8" authorId="0" shapeId="0" xr:uid="{D19629D3-1D74-4476-9A98-08445F2996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8" authorId="0" shapeId="0" xr:uid="{C77F2941-512A-4BEA-8564-3EAC1368AE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8" authorId="0" shapeId="0" xr:uid="{A798BA2F-5F93-45BC-933E-3481040B0E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9" authorId="0" shapeId="0" xr:uid="{5201061B-4BB6-491C-AB53-BD77CE3681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9" authorId="0" shapeId="0" xr:uid="{F2A45D06-35EE-49D4-8F22-FD2BC101E2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9" authorId="0" shapeId="0" xr:uid="{85246A1E-74CD-4E05-BF39-A09532C25E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9" authorId="0" shapeId="0" xr:uid="{D1BF17BE-9069-4653-8EB9-D814CF3077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9" authorId="0" shapeId="0" xr:uid="{3DAC9024-6DA3-4D21-A001-3221295761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9" authorId="0" shapeId="0" xr:uid="{217D5B95-981A-4AB8-877D-45117DC407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79" authorId="0" shapeId="0" xr:uid="{7F24BAED-CEEF-4A87-8F43-18D8782667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79" authorId="0" shapeId="0" xr:uid="{B66A973E-C273-465D-B772-5FF2FFE92B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79" authorId="0" shapeId="0" xr:uid="{78A19D07-B3FF-4169-B8FB-A2B3021F00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79" authorId="0" shapeId="0" xr:uid="{83C2B7B3-2FF2-496B-A762-6C82F30513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79" authorId="0" shapeId="0" xr:uid="{D4AEF44D-6C25-4FCA-8A73-E03756AC76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79" authorId="0" shapeId="0" xr:uid="{80AF01AE-1BA4-45B2-9FCB-03620290B0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2" authorId="0" shapeId="0" xr:uid="{DDC6836B-1C64-496D-A3C4-65AFAB347E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2" authorId="0" shapeId="0" xr:uid="{4A80708A-1B17-4052-BBD9-EE77EC8300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2" authorId="0" shapeId="0" xr:uid="{DE7CC1AA-F497-4006-A9CA-D1BBEE3C20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2" authorId="0" shapeId="0" xr:uid="{3B7F8729-6FCD-4D08-A268-F80B544469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2" authorId="0" shapeId="0" xr:uid="{EF189CF0-7F15-4618-83DB-B9627CDE7A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2" authorId="0" shapeId="0" xr:uid="{DB8BD26F-B00E-467C-B96C-B93A282CB5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2" authorId="0" shapeId="0" xr:uid="{379928E8-74A1-4DB6-AE1B-B244675BD3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2" authorId="0" shapeId="0" xr:uid="{5D42E261-61B3-4FE5-8975-5F006C6A3D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2" authorId="0" shapeId="0" xr:uid="{B2D2B171-1D74-42A1-B8E3-DD946E23E3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2" authorId="0" shapeId="0" xr:uid="{7CB0DA27-7534-4AD0-AFFE-34E636EDB7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2" authorId="0" shapeId="0" xr:uid="{32D8E2A4-D362-4471-9D3C-1DE614F58A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2" authorId="0" shapeId="0" xr:uid="{692D09F5-1913-4CC2-9B86-33D0D924BF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3" authorId="0" shapeId="0" xr:uid="{C8202347-AA1B-405A-A869-C20707EDB6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3" authorId="0" shapeId="0" xr:uid="{6CE9A848-C834-4D52-BBA1-331EBEF8C2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3" authorId="0" shapeId="0" xr:uid="{57CFB887-9F07-4125-8286-057A69FE0F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3" authorId="0" shapeId="0" xr:uid="{F8284D75-F355-4381-AD8F-635F633670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3" authorId="0" shapeId="0" xr:uid="{5826E606-76CA-4358-BB1B-153511C810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3" authorId="0" shapeId="0" xr:uid="{CDCC8021-C5A4-4496-ABD1-E8678922B8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3" authorId="0" shapeId="0" xr:uid="{95DA346C-AFB4-4DC9-893A-5413FC7C0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3" authorId="0" shapeId="0" xr:uid="{39C11622-8059-462D-809C-42178CCA58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3" authorId="0" shapeId="0" xr:uid="{424FC99B-CB49-4FC1-9967-1B5C4F7D71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3" authorId="0" shapeId="0" xr:uid="{4C22DBB5-81C8-43A1-B1F2-153B2BE277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3" authorId="0" shapeId="0" xr:uid="{D58B9082-2F23-48B6-9C23-14C8F53118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3" authorId="0" shapeId="0" xr:uid="{8D526B79-9E6C-4D50-9155-C5DA11E0DF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4" authorId="0" shapeId="0" xr:uid="{7BFAF20D-7263-48E5-88AF-DF97753703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4" authorId="0" shapeId="0" xr:uid="{90C9E3AC-1525-4405-B7B2-4638282316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4" authorId="0" shapeId="0" xr:uid="{BB1C02DE-E704-4929-BB56-6A1D39A05A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4" authorId="0" shapeId="0" xr:uid="{2E7AC5AB-4ECA-4177-88F6-952F7F31AB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4" authorId="0" shapeId="0" xr:uid="{111DCACB-1364-4424-A9AE-1DC3861985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4" authorId="0" shapeId="0" xr:uid="{E7CD0539-4B52-4100-99B5-88DE9499C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4" authorId="0" shapeId="0" xr:uid="{A7125C07-2EBC-4FC6-8244-8FAC1115AD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4" authorId="0" shapeId="0" xr:uid="{5A580D59-DC5D-4290-8673-83D1F11F87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4" authorId="0" shapeId="0" xr:uid="{DC0A46D9-989F-4023-BED9-137748F14C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4" authorId="0" shapeId="0" xr:uid="{5823FFAE-0722-4BB3-8BF3-7406314475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84" authorId="0" shapeId="0" xr:uid="{2A5E63E7-4D0E-40A2-BE86-8FC9016506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84" authorId="0" shapeId="0" xr:uid="{829B3B23-F338-49CF-BA39-B69F2D9A12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5" authorId="0" shapeId="0" xr:uid="{C2E6DF31-FEF0-4B6E-ABCC-93C1195FE2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5" authorId="0" shapeId="0" xr:uid="{24E3E025-8E76-475F-9206-74D6C150B8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5" authorId="0" shapeId="0" xr:uid="{8CAAF351-2750-48DA-849A-F72AE5D2FD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5" authorId="0" shapeId="0" xr:uid="{581AC47A-6029-4929-A1DF-B3AB46062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5" authorId="0" shapeId="0" xr:uid="{17C749FE-A86C-4C75-BC59-9D43715A66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5" authorId="0" shapeId="0" xr:uid="{E3653219-736D-4992-BF00-F85B91EE1B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5" authorId="0" shapeId="0" xr:uid="{66587726-6B07-4AF1-B6AA-1D43CD17A9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5" authorId="0" shapeId="0" xr:uid="{39DA91DF-DE9B-443E-9CB8-07F996237D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5" authorId="0" shapeId="0" xr:uid="{2F74E347-DDA9-4FED-B2BC-856720CE6D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5" authorId="0" shapeId="0" xr:uid="{AC5A6E55-ABC6-482F-BB41-1B3BBFBB83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5" authorId="0" shapeId="0" xr:uid="{31977286-A50C-4632-82FD-08A4054115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5" authorId="0" shapeId="0" xr:uid="{337AE100-8A87-4413-B8CA-3FD70671E0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6" authorId="0" shapeId="0" xr:uid="{8CF4097A-BD0A-4803-BB6D-E62199F8E1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6" authorId="0" shapeId="0" xr:uid="{CFC30FEA-B304-4398-AF2C-795E819E0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6" authorId="0" shapeId="0" xr:uid="{53ECE88C-6722-41E6-9D09-0CDBD5E09F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6" authorId="0" shapeId="0" xr:uid="{055765AD-0C54-4DBC-A059-D9ECA754E5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6" authorId="0" shapeId="0" xr:uid="{40567F52-416E-48F9-9A5F-3C695F8B99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6" authorId="0" shapeId="0" xr:uid="{9E6E7217-05A2-4E48-AA0F-62675CFB6B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6" authorId="0" shapeId="0" xr:uid="{55246A83-871A-4F14-8664-BB3A71D900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6" authorId="0" shapeId="0" xr:uid="{7D9B4588-408E-4054-B997-463F423CC9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6" authorId="0" shapeId="0" xr:uid="{E3E3EC58-399E-4A3A-96F7-4A10D20182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6" authorId="0" shapeId="0" xr:uid="{3C8027E9-B168-45EA-B907-81C53EB58E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6" authorId="0" shapeId="0" xr:uid="{DC211293-328D-4848-816B-13A334DABF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6" authorId="0" shapeId="0" xr:uid="{F756FCAF-4396-42C7-98CA-838E3D8F97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7" authorId="0" shapeId="0" xr:uid="{29ECADD0-F606-4CCD-A665-0C3BCEC891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7" authorId="0" shapeId="0" xr:uid="{B1BC3E84-8E63-41A3-9721-2B5D51045D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7" authorId="0" shapeId="0" xr:uid="{BD279BD7-5BEB-4FA6-9E77-E7446F4A45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7" authorId="0" shapeId="0" xr:uid="{30CACC24-05B7-46BA-ADEF-2776AE8D4A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7" authorId="0" shapeId="0" xr:uid="{9DABBD65-D6FF-4F22-8C9E-8E94815397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7" authorId="0" shapeId="0" xr:uid="{1750BB32-2E86-48BA-A371-6D5AFE7DA1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7" authorId="0" shapeId="0" xr:uid="{ECC46392-270C-414A-9AE2-79C0C2F95C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7" authorId="0" shapeId="0" xr:uid="{F6B44F5E-7B62-4E72-A642-34C677F676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7" authorId="0" shapeId="0" xr:uid="{4CD340CE-D7CA-443B-9C6E-FB97C554CE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7" authorId="0" shapeId="0" xr:uid="{59FBBA49-2576-431A-8048-67A7144430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7" authorId="0" shapeId="0" xr:uid="{A29BD08B-21EE-4EDE-A9CF-9C9064F42B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7" authorId="0" shapeId="0" xr:uid="{FA9B8342-1BAE-4090-8E95-0C2E3905B5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8" authorId="0" shapeId="0" xr:uid="{B7089EBF-70BF-4197-B652-31965AA297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8" authorId="0" shapeId="0" xr:uid="{C2737492-EE62-4850-84C3-3290C87016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8" authorId="0" shapeId="0" xr:uid="{F3FF79A6-96FE-462C-B688-ED21A32216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8" authorId="0" shapeId="0" xr:uid="{22C675AE-E010-4E4F-8546-8D3ADF06B7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8" authorId="0" shapeId="0" xr:uid="{E290550D-1080-4E26-9CDC-0EA3AA5405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8" authorId="0" shapeId="0" xr:uid="{9D42D0B1-3509-4BA4-9169-13488FC93E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8" authorId="0" shapeId="0" xr:uid="{4BDE8795-72CC-4CAB-A140-AED694C088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8" authorId="0" shapeId="0" xr:uid="{C5C8171F-E803-4ACB-815F-7586E5EB83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8" authorId="0" shapeId="0" xr:uid="{23D5334B-F0D8-4ECB-B246-5AB3C05E83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8" authorId="0" shapeId="0" xr:uid="{8A6EF0AD-67D1-4BE1-9D0A-A6E97CEBD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8" authorId="0" shapeId="0" xr:uid="{654562A0-7073-4BAD-9615-3341B63FE4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8" authorId="0" shapeId="0" xr:uid="{1E097FA5-A2BA-4E0E-B657-8A3A87A692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9" authorId="0" shapeId="0" xr:uid="{0E9EDEFE-A33B-4B95-BDFE-84207E5624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9" authorId="0" shapeId="0" xr:uid="{C1665A76-9512-4D2E-9FC1-D2902E96A9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9" authorId="0" shapeId="0" xr:uid="{350AFD7E-5159-47E8-8585-8EAA76F980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9" authorId="0" shapeId="0" xr:uid="{7BEF9E20-3251-4114-97AF-6CFB49D5D1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9" authorId="0" shapeId="0" xr:uid="{A2849AAA-7575-4211-B39A-44A2154F96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9" authorId="0" shapeId="0" xr:uid="{1B1EB847-1073-4036-BDBA-4498362C67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89" authorId="0" shapeId="0" xr:uid="{E16AD914-F5EC-4CE2-80EE-93D6B025D0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89" authorId="0" shapeId="0" xr:uid="{A4C1B1E3-F1DF-4CEB-819E-154A1BC078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89" authorId="0" shapeId="0" xr:uid="{C6B77A6E-13FC-4132-83D7-A03B94FD77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89" authorId="0" shapeId="0" xr:uid="{2C304AC3-A742-4591-8D1A-B98CCC06A8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89" authorId="0" shapeId="0" xr:uid="{E5B7A0E7-B310-4103-914A-948678F51A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89" authorId="0" shapeId="0" xr:uid="{C1768390-3E1E-49E8-8797-DDF096B2C3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0" authorId="0" shapeId="0" xr:uid="{71916F0B-A34E-4E2F-BE47-BDFB931E4E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0" authorId="0" shapeId="0" xr:uid="{5C139A77-7758-49E9-AEB4-A223E963E7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0" authorId="0" shapeId="0" xr:uid="{B445F6C9-DC5D-4902-87CC-D1DBEF661C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0" authorId="0" shapeId="0" xr:uid="{6F214D3E-9ED6-4C7D-9127-30DCE613A7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0" authorId="0" shapeId="0" xr:uid="{A32984DC-0EEA-483A-B9CF-61E53D5F7D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0" authorId="0" shapeId="0" xr:uid="{DAB7078B-5E83-4CC5-8131-BB045D44E0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0" authorId="0" shapeId="0" xr:uid="{0740DE4B-7256-4DD1-8C26-8D2EB2C8FF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0" authorId="0" shapeId="0" xr:uid="{726F21EC-485B-4B26-956D-3A25EE7ED6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0" authorId="0" shapeId="0" xr:uid="{6A840677-61DA-41C4-BEAF-B19D13EB62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0" authorId="0" shapeId="0" xr:uid="{4923F015-3A46-4EF8-BE18-5350951050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0" authorId="0" shapeId="0" xr:uid="{772B267E-941A-4EAB-B1EE-1CE9F6016A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0" authorId="0" shapeId="0" xr:uid="{3FB3CF84-02E2-44A0-99B3-958471EA1B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3" authorId="0" shapeId="0" xr:uid="{7B3EED1F-5185-4707-8226-31D106D803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3" authorId="0" shapeId="0" xr:uid="{8821DB4D-24D1-45C2-8739-54D7AFDBB2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3" authorId="0" shapeId="0" xr:uid="{8A3CBB64-8CD8-4A4B-8CFC-28CB6651D8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3" authorId="0" shapeId="0" xr:uid="{BC9F2EA9-02CF-423B-A50D-A5EB882C68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3" authorId="0" shapeId="0" xr:uid="{1D092A8F-99D0-4166-9AAA-8AF5D81CDC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3" authorId="0" shapeId="0" xr:uid="{65BCB4FC-94D8-4848-A884-CA402EBB36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3" authorId="0" shapeId="0" xr:uid="{7B36105F-40DE-4D3F-8738-A76F0AE0C3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3" authorId="0" shapeId="0" xr:uid="{46A8491E-9845-40A8-9E09-5F587A9A8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3" authorId="0" shapeId="0" xr:uid="{26EC4334-BD07-4EDC-A57D-20CA6C7AA9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3" authorId="0" shapeId="0" xr:uid="{0593A3F3-8C7B-48D8-A597-572DA6785B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3" authorId="0" shapeId="0" xr:uid="{842EE80C-2BD0-4B16-A385-D9E51F6595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3" authorId="0" shapeId="0" xr:uid="{19B4BEBC-C07A-4F3D-9907-919D68C877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4" authorId="0" shapeId="0" xr:uid="{102205BF-E6AF-4514-95FC-63351D50EE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4" authorId="0" shapeId="0" xr:uid="{8CA88886-1E31-4D4E-8F25-9B259765A0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4" authorId="0" shapeId="0" xr:uid="{37CBF54E-9A57-4948-8373-33DF979FBA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4" authorId="0" shapeId="0" xr:uid="{22F67CE0-A3FC-4132-9BFE-56CA6F7EBA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4" authorId="0" shapeId="0" xr:uid="{AE91AF2D-6864-4F19-A6D8-E016FBF57C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4" authorId="0" shapeId="0" xr:uid="{B8F8E270-DF4C-4924-A2EC-A214383FD3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4" authorId="0" shapeId="0" xr:uid="{21A018E3-134F-4B32-9557-A6F36CCB59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4" authorId="0" shapeId="0" xr:uid="{396D11DC-9D8A-4F68-8F47-95BA3C2E58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4" authorId="0" shapeId="0" xr:uid="{9F0B317D-2421-494E-9BA2-23C84BA0A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4" authorId="0" shapeId="0" xr:uid="{BFB98CEE-D523-469E-9137-04072CE4A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4" authorId="0" shapeId="0" xr:uid="{4A0B2013-E13B-4B40-A745-7F3307EDAE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4" authorId="0" shapeId="0" xr:uid="{EC419A6D-B778-4CFB-A211-80DEA4F440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5" authorId="0" shapeId="0" xr:uid="{ABAEA11B-290E-4B6B-BE01-30E5442DC2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5" authorId="0" shapeId="0" xr:uid="{223A84B5-16B5-4316-B72F-A881E87A87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5" authorId="0" shapeId="0" xr:uid="{A0304985-3C4E-4182-9233-0C7C2EBA95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5" authorId="0" shapeId="0" xr:uid="{E87053F0-2661-4AAE-82A4-D4B72B9396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5" authorId="0" shapeId="0" xr:uid="{50B4E480-514F-4195-930F-BC9E29F487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5" authorId="0" shapeId="0" xr:uid="{F57FFF66-724D-4B27-A37A-1591460971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5" authorId="0" shapeId="0" xr:uid="{38643AA7-3BD6-44BE-86C1-B1743F097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5" authorId="0" shapeId="0" xr:uid="{D17DC5B0-4BDB-4DA6-B5D2-9468223A3D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5" authorId="0" shapeId="0" xr:uid="{2FE0833A-506E-4EA1-AC42-792E5B52DF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5" authorId="0" shapeId="0" xr:uid="{327CD23A-2FA5-4D9E-9729-AF813BB562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95" authorId="0" shapeId="0" xr:uid="{20DEC7DC-C36F-4E54-B145-F7D6EDAF4F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95" authorId="0" shapeId="0" xr:uid="{2F53F9AF-9758-4C24-9226-61A912F61E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6" authorId="0" shapeId="0" xr:uid="{0B6185F1-7FF3-4694-BE5E-E4CB5361C9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6" authorId="0" shapeId="0" xr:uid="{35B0062B-6EA4-44EB-861E-6EF07AE936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6" authorId="0" shapeId="0" xr:uid="{4D64DF6C-35A8-4369-9EBD-7141571FB4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6" authorId="0" shapeId="0" xr:uid="{1256292A-0F26-4864-A558-A2F7A8A526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6" authorId="0" shapeId="0" xr:uid="{03742909-2332-4DD5-9612-4296F08CEE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6" authorId="0" shapeId="0" xr:uid="{C9110C30-C27E-45F5-B22C-3DE403C0D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6" authorId="0" shapeId="0" xr:uid="{DDE86688-D2AF-4FEF-B2A8-17DD21319D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6" authorId="0" shapeId="0" xr:uid="{2CC46C6B-6584-4C13-8D13-BE5DAF81B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6" authorId="0" shapeId="0" xr:uid="{E09DB167-50A3-456C-8B34-8CCA6862B9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6" authorId="0" shapeId="0" xr:uid="{EFD84F1F-1987-4738-A150-99094F6994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6" authorId="0" shapeId="0" xr:uid="{46EBAD04-3483-456C-8616-B196557D98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6" authorId="0" shapeId="0" xr:uid="{50E06E5E-BD0C-4A35-8B40-18C52DA618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7" authorId="0" shapeId="0" xr:uid="{D4A3E389-78C4-46FE-B4CD-CFA5F0C332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7" authorId="0" shapeId="0" xr:uid="{0CEF0E0C-C918-4CDF-A9F2-72889BFD93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7" authorId="0" shapeId="0" xr:uid="{5C94DB2C-198D-472F-A61C-A415E38902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7" authorId="0" shapeId="0" xr:uid="{19E5BF16-6CEB-49C4-A9BB-E0A3A7E5C1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7" authorId="0" shapeId="0" xr:uid="{368B216C-64FF-40AC-A57B-95F4850F27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7" authorId="0" shapeId="0" xr:uid="{4A900332-DC52-4C88-8D66-930CE040C5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7" authorId="0" shapeId="0" xr:uid="{AAD86622-2A32-403A-B8F3-13E8FAEACC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7" authorId="0" shapeId="0" xr:uid="{D0C782E2-B3EB-4BFD-AAEC-56E49F0BBE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7" authorId="0" shapeId="0" xr:uid="{588529E8-9D2F-4B06-8D6F-10A268A246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7" authorId="0" shapeId="0" xr:uid="{C28BA7C2-7280-4A8D-A315-752BF3BBC7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7" authorId="0" shapeId="0" xr:uid="{7D30BDED-CD84-467B-BDBD-BE259E3B4D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7" authorId="0" shapeId="0" xr:uid="{000A5C51-90C4-4483-9B47-1F0BFA9830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8" authorId="0" shapeId="0" xr:uid="{441835E5-64F8-441C-824A-241A86804D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8" authorId="0" shapeId="0" xr:uid="{118A0429-E5B8-435B-AB33-D33F44DC3E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8" authorId="0" shapeId="0" xr:uid="{B79A24A8-0401-41FE-85A5-DB8B316302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8" authorId="0" shapeId="0" xr:uid="{1C167A69-942B-4B9F-A57E-93169559A1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8" authorId="0" shapeId="0" xr:uid="{67AA4564-8A15-4A3F-878A-A3FDE61956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8" authorId="0" shapeId="0" xr:uid="{496892DB-AD15-42C2-A0B6-27A8677625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8" authorId="0" shapeId="0" xr:uid="{FA2844D6-4461-4E50-A82E-89F867DE8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8" authorId="0" shapeId="0" xr:uid="{6A229403-EDB0-48D4-91DB-B3F0319A79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8" authorId="0" shapeId="0" xr:uid="{12D345DB-9236-4BEE-9BCE-5F5D1C7F8A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8" authorId="0" shapeId="0" xr:uid="{1FA1709F-02C1-48B1-9265-2BB907060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8" authorId="0" shapeId="0" xr:uid="{0C2DFF27-05D5-4641-93F8-80AFCF06A4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8" authorId="0" shapeId="0" xr:uid="{A4F82E03-DCDD-4E2F-903F-722453B172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9" authorId="0" shapeId="0" xr:uid="{912A0253-00DB-41B6-8CE3-12B56B4C9D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9" authorId="0" shapeId="0" xr:uid="{CEDA907F-9C7C-48F8-85D6-A614751DE6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9" authorId="0" shapeId="0" xr:uid="{5CC4D2E4-3B6E-4AEA-8352-336C7592AA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9" authorId="0" shapeId="0" xr:uid="{DC790EBF-9D3C-4C8C-BC8F-94E7104E7B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9" authorId="0" shapeId="0" xr:uid="{7579C400-3170-49A4-B674-B75EEC8829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9" authorId="0" shapeId="0" xr:uid="{55A82284-873F-485B-8CF1-71CADEEE75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99" authorId="0" shapeId="0" xr:uid="{042ADE2D-925C-47EF-ABA4-355CB1D892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99" authorId="0" shapeId="0" xr:uid="{CBF939BF-361E-4CBE-92F5-C306CB8788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99" authorId="0" shapeId="0" xr:uid="{D69A3A8D-D3BD-4139-9B4B-5828403176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99" authorId="0" shapeId="0" xr:uid="{D58ABCF0-2190-443C-A052-79EF6D5896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99" authorId="0" shapeId="0" xr:uid="{D9BD045F-6D74-47D5-BF08-30FBBB5064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99" authorId="0" shapeId="0" xr:uid="{912EE0C8-D6C1-4F28-A983-302C770326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0" authorId="0" shapeId="0" xr:uid="{361C4BF9-C1AC-481E-A548-C22897CE07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0" authorId="0" shapeId="0" xr:uid="{DFFF493D-8A2F-4B7E-BA2B-017F864ADB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0" authorId="0" shapeId="0" xr:uid="{2749022D-F4E4-4C03-89C1-AF9717F697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0" authorId="0" shapeId="0" xr:uid="{A1541FF0-D3A8-4621-A6DE-9E435E24C2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0" authorId="0" shapeId="0" xr:uid="{A67441B2-0D90-42FB-80B1-F0489C7063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0" authorId="0" shapeId="0" xr:uid="{CC157464-0259-4825-B998-F6EBA50B1D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0" authorId="0" shapeId="0" xr:uid="{5246718E-28C3-40D4-89A7-D803A8A776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0" authorId="0" shapeId="0" xr:uid="{1BB155E1-B9C2-4185-9F26-3023A70CBF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0" authorId="0" shapeId="0" xr:uid="{9C4F2312-3A0C-49E2-A853-E2BE79FB0C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0" authorId="0" shapeId="0" xr:uid="{ED0F2888-0A25-4665-AC29-C24134EB5E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0" authorId="0" shapeId="0" xr:uid="{04F6B3D9-DFF2-40B9-A956-AD805E33DE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0" authorId="0" shapeId="0" xr:uid="{67CFB6DE-D42E-426A-A789-4CB0BF4F31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1" authorId="0" shapeId="0" xr:uid="{E4D9B5AE-4489-4D5F-8B92-FCFF6A83A6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1" authorId="0" shapeId="0" xr:uid="{A9E64839-59DB-499F-B244-6E4DFD074A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1" authorId="0" shapeId="0" xr:uid="{C8A54CD6-30FA-479E-A16E-6077746C50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1" authorId="0" shapeId="0" xr:uid="{7D8BEE51-BF65-47C4-990F-89AAA40468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1" authorId="0" shapeId="0" xr:uid="{0FFED41D-709D-4E57-9BCA-3D278DF984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1" authorId="0" shapeId="0" xr:uid="{BC7CA492-836A-4323-80D7-70E1D546F0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1" authorId="0" shapeId="0" xr:uid="{75436FC8-8699-405D-82E8-1D2B9F7820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1" authorId="0" shapeId="0" xr:uid="{606A7882-6350-4422-9A23-8B3320A0A1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1" authorId="0" shapeId="0" xr:uid="{57F33E67-8D1F-4CA2-AE97-E3E10DF39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1" authorId="0" shapeId="0" xr:uid="{C065343D-E39D-4CE1-9772-2B786F0C84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1" authorId="0" shapeId="0" xr:uid="{BB25536B-60E0-4B32-87C1-82FD1151E9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1" authorId="0" shapeId="0" xr:uid="{BEF363B4-79C0-4C4C-B8DF-7D8775B8D0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4" authorId="0" shapeId="0" xr:uid="{822193F9-710E-47C7-8237-DDC790E9DC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4" authorId="0" shapeId="0" xr:uid="{6D283090-9AD1-4C0D-B3AF-9031855A7F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4" authorId="0" shapeId="0" xr:uid="{8FEBA8BD-EF43-469F-9EB6-9210966F3C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4" authorId="0" shapeId="0" xr:uid="{BC698BDA-EC34-4115-AE05-36DBECEF12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4" authorId="0" shapeId="0" xr:uid="{EC16CE34-03B5-4ABE-97F1-0541E4AFF9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4" authorId="0" shapeId="0" xr:uid="{354F6E87-08E1-48EE-8AFF-C12887F3E6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4" authorId="0" shapeId="0" xr:uid="{9E6938DB-98A7-4A18-A0D6-440F4D941A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4" authorId="0" shapeId="0" xr:uid="{300F30B1-7A53-4DF8-A56A-5DA6A63E1D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4" authorId="0" shapeId="0" xr:uid="{77BD512D-32F6-45FD-8F28-C957C63394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4" authorId="0" shapeId="0" xr:uid="{FA096A66-50A0-40AA-95E9-79131A347C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4" authorId="0" shapeId="0" xr:uid="{A47D7CA6-B908-4E8F-8A22-F483F08751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4" authorId="0" shapeId="0" xr:uid="{4BFEB010-1344-4669-AC2E-B1A06ED0D5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5" authorId="0" shapeId="0" xr:uid="{9ADEE8DA-E4FE-4499-B1B1-9D29658F01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5" authorId="0" shapeId="0" xr:uid="{6478C92F-40F8-4184-8FCA-DCB3BF4388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5" authorId="0" shapeId="0" xr:uid="{99D101CC-8294-450F-87D1-B4EDBB1199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5" authorId="0" shapeId="0" xr:uid="{D58DC7F4-4716-40B1-98D9-703C4224EA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5" authorId="0" shapeId="0" xr:uid="{660424BE-57F0-4BD1-A013-9EBB3AC786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5" authorId="0" shapeId="0" xr:uid="{5A6624ED-D878-46E1-8E47-BE915B07F0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5" authorId="0" shapeId="0" xr:uid="{5CAB42C5-B4DE-437A-80B6-8AFC8D2D7D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5" authorId="0" shapeId="0" xr:uid="{CB2DD768-67C9-4A38-BB40-32996D8127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5" authorId="0" shapeId="0" xr:uid="{0A477740-9B96-4011-9C3E-83F8D25271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5" authorId="0" shapeId="0" xr:uid="{48647EC6-1C7F-473E-894B-E9DFD1E457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5" authorId="0" shapeId="0" xr:uid="{23FE6D51-FE17-4A8D-AAC4-EC048E3172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5" authorId="0" shapeId="0" xr:uid="{990C5075-29A0-4AC7-A283-7D833ED0B6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6" authorId="0" shapeId="0" xr:uid="{329D43A1-3369-4A58-8139-A83C7C6369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6" authorId="0" shapeId="0" xr:uid="{D38DBB69-4572-435D-AA39-A7497EC9CD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6" authorId="0" shapeId="0" xr:uid="{7158C64F-BA68-4F11-BE43-4126D524B9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6" authorId="0" shapeId="0" xr:uid="{E645EF53-6798-4E53-A62A-52C60F6BC3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6" authorId="0" shapeId="0" xr:uid="{74A226FF-AA34-4990-9071-2E467F08C6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6" authorId="0" shapeId="0" xr:uid="{F5B114E3-3B59-4FF1-AD4F-76AD6A9B30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6" authorId="0" shapeId="0" xr:uid="{B1B51106-9080-421B-810B-6909B3B8F7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6" authorId="0" shapeId="0" xr:uid="{48642AF4-0F02-4E35-89DF-BC896C389F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6" authorId="0" shapeId="0" xr:uid="{538DEBB9-C8D2-490B-AF7F-DF8034B32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6" authorId="0" shapeId="0" xr:uid="{A847B35F-11B3-4CF4-B6F3-8BA392EABF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06" authorId="0" shapeId="0" xr:uid="{A5DB95B7-0B27-4025-B750-B2EAA0BDB0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06" authorId="0" shapeId="0" xr:uid="{EFE58748-45F4-4863-9FF1-A345CE5588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7" authorId="0" shapeId="0" xr:uid="{F4CAEF4A-A82B-467A-82BA-5679ACF405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7" authorId="0" shapeId="0" xr:uid="{0B179F4A-69FD-4D13-831E-4F19B8D5DB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7" authorId="0" shapeId="0" xr:uid="{3D90E54A-895B-421C-B294-4436622BA8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7" authorId="0" shapeId="0" xr:uid="{43ACDAB1-FF96-4421-8643-E1D2087E5A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7" authorId="0" shapeId="0" xr:uid="{11AD7364-6B75-40C4-A668-BF7920602B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7" authorId="0" shapeId="0" xr:uid="{DCAD04CA-7339-479F-B204-F82A682C49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7" authorId="0" shapeId="0" xr:uid="{485882E1-8F09-4F67-924C-B4BF543752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7" authorId="0" shapeId="0" xr:uid="{334520C9-3A72-4B3E-85F6-B71DEEECA1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7" authorId="0" shapeId="0" xr:uid="{C1522869-F6ED-421A-8360-A39F4DC42A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7" authorId="0" shapeId="0" xr:uid="{6D4556DB-72DC-4EC8-AD96-FD7F1DB698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7" authorId="0" shapeId="0" xr:uid="{D5DAEC0D-AF82-4A03-954A-49EDF19AFD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7" authorId="0" shapeId="0" xr:uid="{A0BEECCE-B6EF-4D56-859C-4E7A74F462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8" authorId="0" shapeId="0" xr:uid="{1C5BC359-BDDD-4844-AB36-B1B81642CB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8" authorId="0" shapeId="0" xr:uid="{7761EFAD-A901-4162-8315-168A719B8A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8" authorId="0" shapeId="0" xr:uid="{DD60050B-0F1B-40C3-8B4D-F3824C6C75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8" authorId="0" shapeId="0" xr:uid="{A998DE1D-E44A-48CC-8A3E-B37873FF94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8" authorId="0" shapeId="0" xr:uid="{DAD032C6-B934-4249-B0C9-C1DA0EF35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8" authorId="0" shapeId="0" xr:uid="{965323F8-E8A4-4162-A1EA-3FB42F5DDB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8" authorId="0" shapeId="0" xr:uid="{8B6148D3-3EA3-4A8A-BC18-F86202F122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8" authorId="0" shapeId="0" xr:uid="{B42C2EB6-2C8B-4922-9050-7717B01FEE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8" authorId="0" shapeId="0" xr:uid="{F45478BB-E86A-47FF-B355-DB8EF97922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8" authorId="0" shapeId="0" xr:uid="{6BC97C80-822B-4129-B965-84E6A8772F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8" authorId="0" shapeId="0" xr:uid="{22A8A10C-C839-4137-AB21-FF017090D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8" authorId="0" shapeId="0" xr:uid="{984375B5-56C7-4D23-BF0F-A5969C4E81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9" authorId="0" shapeId="0" xr:uid="{0A9B08A2-2517-4126-8F8E-F982975E03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9" authorId="0" shapeId="0" xr:uid="{B7503B32-F2C4-4F3C-ABCA-4C484E206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9" authorId="0" shapeId="0" xr:uid="{8E627EAA-10FC-454D-8B60-AB1C483991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9" authorId="0" shapeId="0" xr:uid="{6783E204-C75F-43A8-90F5-D79EDE0FB7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9" authorId="0" shapeId="0" xr:uid="{2683EE8E-D8D8-4670-A4E5-4477F20039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9" authorId="0" shapeId="0" xr:uid="{46109CAA-1F89-4B21-BD6A-E042FF79D7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09" authorId="0" shapeId="0" xr:uid="{F5B7D3C5-49BC-49A4-889E-8EDC5E82FF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09" authorId="0" shapeId="0" xr:uid="{EEA8D685-1940-4F57-BB3B-9F52CA7517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09" authorId="0" shapeId="0" xr:uid="{22C925B3-1FEA-4469-8BEF-B937AF8A84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09" authorId="0" shapeId="0" xr:uid="{C5AE2315-2B22-442B-9149-2E6C7FD8BE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09" authorId="0" shapeId="0" xr:uid="{1B66FD8D-4570-4A7F-8F32-98D326D73B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09" authorId="0" shapeId="0" xr:uid="{2E3B9A63-9CB6-484C-A8C1-CFA4A512BD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0" authorId="0" shapeId="0" xr:uid="{A7EC4DEE-A8A2-41E7-BED3-9F25E69BAF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0" authorId="0" shapeId="0" xr:uid="{6971855B-ED55-43C4-AF2D-7C81401EAA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0" authorId="0" shapeId="0" xr:uid="{804FDFD4-9720-48FD-B94A-8D0DB8B9F5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0" authorId="0" shapeId="0" xr:uid="{B6A83EA6-E598-46AC-B7BE-7AAA51E5B5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0" authorId="0" shapeId="0" xr:uid="{E65809E5-D71A-4994-A91E-903B1B3E69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0" authorId="0" shapeId="0" xr:uid="{AF33DA2B-15D4-48A3-9732-20E80E39EF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0" authorId="0" shapeId="0" xr:uid="{D6507FBD-3200-4B9B-A18F-880EF76C14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0" authorId="0" shapeId="0" xr:uid="{E04712D6-41ED-47CF-AE6C-76751737CE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0" authorId="0" shapeId="0" xr:uid="{C85643A4-BFCF-4240-A5A8-9584EBD230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0" authorId="0" shapeId="0" xr:uid="{3DB8BCFF-9093-478A-8A25-E58ECCF1D1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0" authorId="0" shapeId="0" xr:uid="{AD4B2ADB-C4DC-419B-921F-AA7C363544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0" authorId="0" shapeId="0" xr:uid="{60EE80DE-4C81-4EA4-85DB-552EDE4195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1" authorId="0" shapeId="0" xr:uid="{13272D46-CB2A-4D96-8548-7AA9370679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1" authorId="0" shapeId="0" xr:uid="{ADA60102-A51A-49C4-8A31-122BE280F6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1" authorId="0" shapeId="0" xr:uid="{D216A868-76AB-4E80-825D-10D197AF95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1" authorId="0" shapeId="0" xr:uid="{52843BF2-96BA-4C4F-B43A-785E1B4D5E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1" authorId="0" shapeId="0" xr:uid="{D0C27C14-8760-4EF9-A780-BB1A25AEAA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1" authorId="0" shapeId="0" xr:uid="{8ED405FA-943C-49D9-8C8E-5A546C1AEA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1" authorId="0" shapeId="0" xr:uid="{950660F1-579C-4DE8-B85B-BC8C842513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1" authorId="0" shapeId="0" xr:uid="{78497FC4-089C-45E2-B293-8A61F67C38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1" authorId="0" shapeId="0" xr:uid="{AE6980F3-D2D0-4D11-B54F-C005CEC81E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1" authorId="0" shapeId="0" xr:uid="{F8ACB406-32FE-4047-ACD6-994E9F37B4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1" authorId="0" shapeId="0" xr:uid="{4FE34275-26DB-4C38-AD6E-C8375F3DAA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1" authorId="0" shapeId="0" xr:uid="{E62B8B08-F4E6-4B82-840F-5855B6B21E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2" authorId="0" shapeId="0" xr:uid="{A9B3FE4A-22C3-442D-8AB6-F95E55BA63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2" authorId="0" shapeId="0" xr:uid="{338DC9B1-FEFB-411B-B9E7-37301C8874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2" authorId="0" shapeId="0" xr:uid="{8DC9A489-5287-48B8-91DD-533869D5BF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2" authorId="0" shapeId="0" xr:uid="{537E6B92-600A-470F-9802-11AC3150F1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2" authorId="0" shapeId="0" xr:uid="{FD45023C-322E-49B4-BCA3-915CF86EC5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2" authorId="0" shapeId="0" xr:uid="{B31E32B6-3E41-41E5-8F54-B407643885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12" authorId="0" shapeId="0" xr:uid="{D727A511-BF81-438C-9CE0-4413DADCEB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12" authorId="0" shapeId="0" xr:uid="{18D5DD03-0FA6-4E9B-9B60-FC1F912CF9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2" authorId="0" shapeId="0" xr:uid="{3C60AD0A-6737-47CD-BE35-AF0036C7C2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2" authorId="0" shapeId="0" xr:uid="{7C46C511-0C84-4F93-95F4-5CC06964A0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2" authorId="0" shapeId="0" xr:uid="{E588C670-43E6-4E4B-A446-0EC67D5A10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2" authorId="0" shapeId="0" xr:uid="{0D1B2851-8E7C-44CF-8EC2-95D4594127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5" authorId="0" shapeId="0" xr:uid="{8EE50597-BE2D-4878-9A99-ACCDB6C8FD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5" authorId="0" shapeId="0" xr:uid="{DCE08F35-6374-414B-8DB7-B55677E7F2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5" authorId="0" shapeId="0" xr:uid="{CDC2FFA5-8A6A-4550-BDB1-D8AD115FF6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5" authorId="0" shapeId="0" xr:uid="{B9E72B40-2720-4983-B251-103AEC3B11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5" authorId="0" shapeId="0" xr:uid="{94184B78-B1BE-48ED-B523-F02B286376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5" authorId="0" shapeId="0" xr:uid="{668939F4-FD61-4BB3-AE05-34206C2D63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5" authorId="0" shapeId="0" xr:uid="{18DD501D-301B-4B38-BD4A-FB08E7B5EC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5" authorId="0" shapeId="0" xr:uid="{93542936-ED6B-4101-BBD1-5CA13409A1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5" authorId="0" shapeId="0" xr:uid="{66BF43FB-BAC5-44B3-823E-DF61CCF6D9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5" authorId="0" shapeId="0" xr:uid="{EAC59E52-8999-4EFB-AE99-FA62C3CC4C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5" authorId="0" shapeId="0" xr:uid="{ECCAC5DE-963D-46E1-A6A1-EC8D93082F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5" authorId="0" shapeId="0" xr:uid="{A139CF7C-539C-47AE-BF1D-6084CF6B0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6" authorId="0" shapeId="0" xr:uid="{79FB3E5C-5721-469C-B44F-FD0218CCC6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6" authorId="0" shapeId="0" xr:uid="{1D6E024B-70C7-4295-BBD7-EA594E092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6" authorId="0" shapeId="0" xr:uid="{6779A25E-2FA0-4C5A-AFBA-35ECDAB11D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6" authorId="0" shapeId="0" xr:uid="{964D1AEC-7958-4046-87A5-EBD104F494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6" authorId="0" shapeId="0" xr:uid="{DF9CF709-0B73-4783-BAEF-77D6AD9876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6" authorId="0" shapeId="0" xr:uid="{E926A87E-9583-44E7-8719-DA90CC43CC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6" authorId="0" shapeId="0" xr:uid="{E07CAAB1-B344-410D-944E-2D83423018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6" authorId="0" shapeId="0" xr:uid="{55FF6D07-93C5-4B00-86A0-6B73E05FEB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6" authorId="0" shapeId="0" xr:uid="{47C68FCA-716F-48EF-A541-EF24B38463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6" authorId="0" shapeId="0" xr:uid="{89E7242F-3E3B-4AEE-9BDC-EBB14E0029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6" authorId="0" shapeId="0" xr:uid="{BD5D99C8-8304-49ED-B289-D9B979E3F1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6" authorId="0" shapeId="0" xr:uid="{0CD15ED7-C341-4C67-B301-2EC25FEA91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7" authorId="0" shapeId="0" xr:uid="{95A2840A-D07B-4615-B8E2-507B8F9FC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7" authorId="0" shapeId="0" xr:uid="{06CFBF94-916E-426D-98E9-D9649E3DCF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7" authorId="0" shapeId="0" xr:uid="{3205E062-BE85-4C77-8869-BE9824C749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7" authorId="0" shapeId="0" xr:uid="{CCE9F923-2D9C-463E-B060-171F01C5DE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7" authorId="0" shapeId="0" xr:uid="{29AF4B0F-7B6C-4CC4-A967-C328C53E45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7" authorId="0" shapeId="0" xr:uid="{4E6D59D6-38BB-4056-8148-0219D5B3D6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7" authorId="0" shapeId="0" xr:uid="{359C54EB-58BB-424B-B81D-76979CB038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7" authorId="0" shapeId="0" xr:uid="{3C3EA187-B250-49E4-B223-CA6E4F7DB9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7" authorId="0" shapeId="0" xr:uid="{AD0E5833-FBE2-481C-939B-70280501F1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7" authorId="0" shapeId="0" xr:uid="{38A5DC40-ED2C-42D7-9D06-41B529D1ED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17" authorId="0" shapeId="0" xr:uid="{DC0D558A-8808-43A6-AE47-14A84CE565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17" authorId="0" shapeId="0" xr:uid="{3BD96231-5101-41B7-A1AC-6236C47CB4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8" authorId="0" shapeId="0" xr:uid="{8D9174DC-33F4-4604-9374-057230711A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8" authorId="0" shapeId="0" xr:uid="{F7224C74-C9E7-4B6E-8AC1-72D6F60CF2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8" authorId="0" shapeId="0" xr:uid="{D63656FF-BBB5-4C0C-A670-5EDC010A01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8" authorId="0" shapeId="0" xr:uid="{F973B520-E953-46F4-B664-BED3F7ECF3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8" authorId="0" shapeId="0" xr:uid="{53D2EA5F-126F-4BD4-8D81-2B9E82C2AD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8" authorId="0" shapeId="0" xr:uid="{7A6A36C0-CCDF-4B45-A2E0-700DA8B05F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8" authorId="0" shapeId="0" xr:uid="{52169EE7-A205-459C-BB3B-05C52CE462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8" authorId="0" shapeId="0" xr:uid="{555834BB-A232-4785-9614-411839BCD4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8" authorId="0" shapeId="0" xr:uid="{5C00D239-A279-4E98-AC3E-4A91CA63EC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8" authorId="0" shapeId="0" xr:uid="{670D7A54-192C-48AC-A8A9-8C469367A4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8" authorId="0" shapeId="0" xr:uid="{EABF4301-9FC4-456C-95CA-4877EAB286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8" authorId="0" shapeId="0" xr:uid="{92F43406-88EF-444C-B3A8-E7D7A85654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9" authorId="0" shapeId="0" xr:uid="{470DCE4A-3726-4E29-B7EF-0F4F3D275B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9" authorId="0" shapeId="0" xr:uid="{98C5BC03-406D-453E-AADF-69A4196E99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9" authorId="0" shapeId="0" xr:uid="{CD4CC63B-A0EF-44FA-95AD-99FCB0180C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9" authorId="0" shapeId="0" xr:uid="{49A6CE08-E58B-4824-BD4A-E9FEC1B92B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9" authorId="0" shapeId="0" xr:uid="{72BFA461-6F1C-4618-B428-8227D35773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9" authorId="0" shapeId="0" xr:uid="{269C5C34-5809-4DBD-8024-C31704785C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9" authorId="0" shapeId="0" xr:uid="{7712D7E0-613A-4506-8840-5A465A7823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9" authorId="0" shapeId="0" xr:uid="{4D04298B-0492-4BEE-9596-1EF857C242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19" authorId="0" shapeId="0" xr:uid="{7858DFF7-CEEE-4A7F-8ABF-209F6D2E5A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19" authorId="0" shapeId="0" xr:uid="{7C834FD2-592E-4F7E-BF0E-6C303613BB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19" authorId="0" shapeId="0" xr:uid="{208A920D-E72C-467F-9E48-2B6941C8E7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19" authorId="0" shapeId="0" xr:uid="{D41C3D35-6BD3-4422-BB01-BF33F9178D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0" authorId="0" shapeId="0" xr:uid="{FF55BAE9-C5C6-4CB4-8A27-C3C5A7CF27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0" authorId="0" shapeId="0" xr:uid="{2BDCF4ED-BFB9-46B1-AE6B-361AFB4612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0" authorId="0" shapeId="0" xr:uid="{A3EA953D-5026-44D0-923E-A29A7E8290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0" authorId="0" shapeId="0" xr:uid="{144EAF43-CC77-4402-B579-DCDB87FEB6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0" authorId="0" shapeId="0" xr:uid="{A348D0A9-0FF7-4571-9099-923F9D371E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0" authorId="0" shapeId="0" xr:uid="{83E0D3D9-9640-4105-9786-A1ACED31A5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0" authorId="0" shapeId="0" xr:uid="{BD0C077D-719D-45AD-8B52-9300074FD1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0" authorId="0" shapeId="0" xr:uid="{BE0DEC3A-8EEE-4BB7-80C0-A11A04D310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0" authorId="0" shapeId="0" xr:uid="{48AD8999-ED15-4522-9B61-ED8E293E5D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0" authorId="0" shapeId="0" xr:uid="{F1B7CB07-436E-45F8-B0E2-CB019ACC30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0" authorId="0" shapeId="0" xr:uid="{70DBCBB9-7685-4625-B562-D42B9335D1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0" authorId="0" shapeId="0" xr:uid="{9F3FDAC0-3DE5-488C-8DC5-2862E2E89A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1" authorId="0" shapeId="0" xr:uid="{876727A5-15A2-4134-B602-7CE58553F6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1" authorId="0" shapeId="0" xr:uid="{6FF49312-4AD3-423F-96BF-748FE66DE9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1" authorId="0" shapeId="0" xr:uid="{F5A19829-3EA4-44A2-9A2E-CC57E218F7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1" authorId="0" shapeId="0" xr:uid="{E7276EEF-E855-45E3-8021-257479B408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1" authorId="0" shapeId="0" xr:uid="{436BE8C0-0512-4C29-8373-42C272BD1A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1" authorId="0" shapeId="0" xr:uid="{4DE321B1-0B1D-46F6-B9F0-75526CE084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1" authorId="0" shapeId="0" xr:uid="{979D668E-A390-40CB-81E2-6A794B066E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1" authorId="0" shapeId="0" xr:uid="{259DAB1F-B4AD-4437-99CF-4578408849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1" authorId="0" shapeId="0" xr:uid="{6499FE90-E99C-4C09-B0D5-C751FD7BC7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1" authorId="0" shapeId="0" xr:uid="{73766761-512F-4A22-9E4B-0B15A1E5C5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1" authorId="0" shapeId="0" xr:uid="{EA4C9F31-FC3F-4341-A001-A0D19FEA44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1" authorId="0" shapeId="0" xr:uid="{E52F440D-B58D-476E-BC21-AACFCDB8BA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2" authorId="0" shapeId="0" xr:uid="{4ED6AA51-5674-464B-81BE-35733EA8DA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2" authorId="0" shapeId="0" xr:uid="{02808B86-0064-4D71-8153-FCAB5DB52B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2" authorId="0" shapeId="0" xr:uid="{3903A1A2-2054-4A0F-AB11-DC840C894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2" authorId="0" shapeId="0" xr:uid="{A6592B1A-1CBB-4286-9B2A-9EA5653828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2" authorId="0" shapeId="0" xr:uid="{DFD025B2-3DDA-49A3-9EC4-8C618A24A1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2" authorId="0" shapeId="0" xr:uid="{BED64BD2-FB8A-4C70-94BE-89CD047346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2" authorId="0" shapeId="0" xr:uid="{49217189-1909-4CEE-8939-4677432233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2" authorId="0" shapeId="0" xr:uid="{69A2ED22-5E9A-41C5-921B-80E8BF4750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2" authorId="0" shapeId="0" xr:uid="{BD2C77FC-F77A-43B0-B354-8394D96BBD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2" authorId="0" shapeId="0" xr:uid="{45AA0C8C-747D-4B0A-868D-E210FC7081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2" authorId="0" shapeId="0" xr:uid="{B488186E-B7BE-4F09-A87A-93074F5712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2" authorId="0" shapeId="0" xr:uid="{84059A3F-0515-45EB-9CB7-C114F09539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3" authorId="0" shapeId="0" xr:uid="{2FE910CD-3372-44D6-925B-0EFF73D07F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3" authorId="0" shapeId="0" xr:uid="{EDC93BEE-8075-449D-B43A-94160FC86B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3" authorId="0" shapeId="0" xr:uid="{ACDDF150-013C-4FF6-9AF8-71EF929731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3" authorId="0" shapeId="0" xr:uid="{EE0467E4-3019-448A-9819-2894FCD49D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3" authorId="0" shapeId="0" xr:uid="{7DA9BACD-7B5F-46D0-A544-5AF1FEC479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3" authorId="0" shapeId="0" xr:uid="{A8E51D0C-CAE5-4AD7-985D-A5C6A8EF3F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23" authorId="0" shapeId="0" xr:uid="{B6A075A7-C044-45D2-8A50-5B66D8B3D0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23" authorId="0" shapeId="0" xr:uid="{EF6812E8-E0D1-4682-928A-4134D4C6EA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23" authorId="0" shapeId="0" xr:uid="{020379FC-1ED0-45FE-8009-F432189C40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23" authorId="0" shapeId="0" xr:uid="{07161C5C-A2AF-478C-AC06-243B453152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3" authorId="0" shapeId="0" xr:uid="{A0B1B69E-7B0A-4774-9F03-E0360E7A1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3" authorId="0" shapeId="0" xr:uid="{F9DDAD41-A8DC-4876-BD3F-0CE809DA37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6" authorId="0" shapeId="0" xr:uid="{9C3C41EC-8C4A-451F-9E18-CBDAA549F4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6" authorId="0" shapeId="0" xr:uid="{1B0EFC4F-E15A-46B5-AA59-0792A89C66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6" authorId="0" shapeId="0" xr:uid="{673BE01E-9C8F-4A6E-BBBB-73011B0C4D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6" authorId="0" shapeId="0" xr:uid="{90A5C661-6917-4DA9-AF7D-A302498849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6" authorId="0" shapeId="0" xr:uid="{1D754E02-48BA-4E65-A781-4A4FA40ED7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6" authorId="0" shapeId="0" xr:uid="{1CDBBE42-003B-4E6E-AD55-A8370A5181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6" authorId="0" shapeId="0" xr:uid="{405E8F93-3AA8-404C-BB32-879F62FF2D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6" authorId="0" shapeId="0" xr:uid="{C3936E1A-2D21-4636-9D36-591808F2F3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6" authorId="0" shapeId="0" xr:uid="{648DF7A5-A84D-4FC5-9AEA-7E9F8BE3EE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6" authorId="0" shapeId="0" xr:uid="{4F5760B1-1B6D-464A-80CB-639DD2EBF3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6" authorId="0" shapeId="0" xr:uid="{68338ED0-948B-4EF9-B6AF-6A03D12A46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6" authorId="0" shapeId="0" xr:uid="{6674D247-95C0-4D53-9ED5-01B541DCFB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7" authorId="0" shapeId="0" xr:uid="{6A23B562-6F16-421B-8FEB-B1D3AFE60D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7" authorId="0" shapeId="0" xr:uid="{A76A59B8-627E-4D11-A3E9-ECB57B36F2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7" authorId="0" shapeId="0" xr:uid="{4A195C6B-CCA1-48DE-BC0C-6B7D441279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7" authorId="0" shapeId="0" xr:uid="{96D70445-71A5-428C-8AB0-A67D9B1D2F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7" authorId="0" shapeId="0" xr:uid="{429E0B40-2E89-4D14-8B09-036002B425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7" authorId="0" shapeId="0" xr:uid="{BE352432-34EA-4064-82A2-35F245AD1B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7" authorId="0" shapeId="0" xr:uid="{45CDA6F6-DD20-432C-9620-7D4C14FFEF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7" authorId="0" shapeId="0" xr:uid="{1234385A-59C4-4B9F-8217-D574C2626F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7" authorId="0" shapeId="0" xr:uid="{18CC26C6-E7A0-46C3-8BCF-F205F474DD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7" authorId="0" shapeId="0" xr:uid="{1F65BE1F-1C8F-4207-A4F1-60985745F6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7" authorId="0" shapeId="0" xr:uid="{20FCE2E9-7291-4D36-9601-392A718BD5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7" authorId="0" shapeId="0" xr:uid="{98AAFEBE-470D-48C4-983D-D98E0A3DBF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8" authorId="0" shapeId="0" xr:uid="{E555D815-5CC7-4842-BB4E-A8139EDAAE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8" authorId="0" shapeId="0" xr:uid="{5DAABF1D-FFE8-4704-98BD-5D86BF2037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8" authorId="0" shapeId="0" xr:uid="{0F7E5EE0-3583-4A47-97D4-B229C1A2C9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8" authorId="0" shapeId="0" xr:uid="{41EB2BA1-5F9A-4EB8-9C1A-56399A694E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8" authorId="0" shapeId="0" xr:uid="{F6221F8D-85D9-4641-9F0C-59F6520D2F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8" authorId="0" shapeId="0" xr:uid="{6A2B5463-059E-440D-84C3-8FD487180F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8" authorId="0" shapeId="0" xr:uid="{E9FDC285-C98D-4D45-9E24-1156D04F31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8" authorId="0" shapeId="0" xr:uid="{C5D5284A-E1DA-4E74-BCBF-E5A994906E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8" authorId="0" shapeId="0" xr:uid="{4D5EB05C-5BBE-44E2-9EB4-29D97ADA2B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8" authorId="0" shapeId="0" xr:uid="{D9BEB1EA-A2D4-4C09-A0E2-E0222B472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28" authorId="0" shapeId="0" xr:uid="{2D22A72B-A9F4-452D-BFF6-CB3E0B198F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28" authorId="0" shapeId="0" xr:uid="{6C084B8F-3EBF-4CD7-B3CE-ED75588C74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9" authorId="0" shapeId="0" xr:uid="{A39D3FBB-7029-4961-B3E8-889B99C582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9" authorId="0" shapeId="0" xr:uid="{01998FAE-E891-4F67-87B4-C2402B735D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9" authorId="0" shapeId="0" xr:uid="{B13CA954-CC84-4591-9EB6-DC113EF5DA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9" authorId="0" shapeId="0" xr:uid="{E93690DF-BEC7-45B9-A4EB-9F36A2C91B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9" authorId="0" shapeId="0" xr:uid="{2924CAAA-1EF1-4B58-BB47-23B672458F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9" authorId="0" shapeId="0" xr:uid="{DCB0506C-55F0-4007-A5D2-E08443050A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9" authorId="0" shapeId="0" xr:uid="{E5BF25D3-CA14-478D-B27E-965C6E5BC3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9" authorId="0" shapeId="0" xr:uid="{350D1B84-11AD-4534-AC21-1DAFCD353A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9" authorId="0" shapeId="0" xr:uid="{DEDF1513-5740-47A6-8287-F82C86E85C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9" authorId="0" shapeId="0" xr:uid="{1922434D-D193-4507-BEDB-46544C2F0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29" authorId="0" shapeId="0" xr:uid="{0F14F127-0A6F-4685-9F9D-FB3AAD1184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29" authorId="0" shapeId="0" xr:uid="{E679DB73-4889-4279-873E-C7B24EB3AE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0" authorId="0" shapeId="0" xr:uid="{8C92D1D8-22D6-4F55-B507-986AA5DCF3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0" authorId="0" shapeId="0" xr:uid="{111CE1FB-2BD5-4A16-B263-8AA516734B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0" authorId="0" shapeId="0" xr:uid="{635DA2DB-9153-4EC7-BFD7-328738F655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0" authorId="0" shapeId="0" xr:uid="{EA251B67-1BBA-4D5E-BC76-93F335AFCE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0" authorId="0" shapeId="0" xr:uid="{B824DF41-BD00-462E-A481-0C771E9D7B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0" authorId="0" shapeId="0" xr:uid="{067B8C5B-4A09-4B93-A96F-CF97CD2B6A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0" authorId="0" shapeId="0" xr:uid="{B6F2CD6E-CD29-4664-9FD0-B234600CCD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0" authorId="0" shapeId="0" xr:uid="{760D5A0B-841F-4FE6-ABCF-E453E2D2B4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0" authorId="0" shapeId="0" xr:uid="{D6B0504B-10F6-4CBA-A869-C0B5A47882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0" authorId="0" shapeId="0" xr:uid="{D472D2CA-4CC3-4586-B934-B40FA74618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0" authorId="0" shapeId="0" xr:uid="{A8481BF4-7E32-47D5-A7B2-CDA6A7A157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0" authorId="0" shapeId="0" xr:uid="{0806EBE3-0776-466C-9EC8-CF60D6F9B6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1" authorId="0" shapeId="0" xr:uid="{EA9BFBEC-78AA-4FA0-BA5C-4022FA7257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1" authorId="0" shapeId="0" xr:uid="{71105D21-868A-4A80-A98D-5077C4C0FA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1" authorId="0" shapeId="0" xr:uid="{7F7823B8-F26D-473E-845D-9265CF3A62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1" authorId="0" shapeId="0" xr:uid="{76D1E3FA-3CF2-483B-A37C-18C110E82D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1" authorId="0" shapeId="0" xr:uid="{836EC69D-ECF7-48A3-9334-34FF9D1A0A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1" authorId="0" shapeId="0" xr:uid="{1742BEBE-FA20-48C1-9C46-2F5A6DC652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1" authorId="0" shapeId="0" xr:uid="{44443732-4C1D-4EE7-9F1D-0CCA3051B8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1" authorId="0" shapeId="0" xr:uid="{1B39985F-2BE2-4518-91DD-6541EB8384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1" authorId="0" shapeId="0" xr:uid="{0CACA70C-BE78-4BA0-AD18-977181F1F8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1" authorId="0" shapeId="0" xr:uid="{87EC80D1-67CF-4EE1-8925-2C21672F81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1" authorId="0" shapeId="0" xr:uid="{0FF8BEEC-B74F-450A-9170-50F7F1D8E1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1" authorId="0" shapeId="0" xr:uid="{4287F021-7F8D-45F8-854C-020BC4D0EE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2" authorId="0" shapeId="0" xr:uid="{7CE2A799-F2D1-42B0-AA8D-2F83D0FFB9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2" authorId="0" shapeId="0" xr:uid="{9A1E60E8-DDD6-496F-A732-1E799CDC2F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2" authorId="0" shapeId="0" xr:uid="{C36F470A-D8D6-4019-85AD-68C7A715CA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2" authorId="0" shapeId="0" xr:uid="{8E0AA506-C527-4AB0-AF5D-757729E7B3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2" authorId="0" shapeId="0" xr:uid="{D7F3B83F-3227-4FDD-B8EF-6EEB1659F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2" authorId="0" shapeId="0" xr:uid="{CD36BC6A-C185-447C-92A0-59B54888E9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2" authorId="0" shapeId="0" xr:uid="{9DC6E989-5E39-4310-B1DF-C0D210EE58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2" authorId="0" shapeId="0" xr:uid="{B872DDE2-40E4-40E1-94EF-3917B6FF3A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2" authorId="0" shapeId="0" xr:uid="{E97EFEF5-D46A-4696-8ABB-AB299C4A81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2" authorId="0" shapeId="0" xr:uid="{B8667F4B-18E7-43EA-81C4-9EC04A86F5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2" authorId="0" shapeId="0" xr:uid="{75AC5E43-7B36-427A-AC93-D219F66AF8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2" authorId="0" shapeId="0" xr:uid="{E671F78C-7BE9-41A5-BA4F-A46C8BB3A8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3" authorId="0" shapeId="0" xr:uid="{434AF9A2-17D9-446F-8F44-796A5C07D2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3" authorId="0" shapeId="0" xr:uid="{05FEC0F4-ACD2-48E6-AB2B-9DC91BA661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3" authorId="0" shapeId="0" xr:uid="{6A36F916-0D51-43F1-BF41-F8800EF634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3" authorId="0" shapeId="0" xr:uid="{7DBCF090-F9D4-4515-A6EF-C78024847F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3" authorId="0" shapeId="0" xr:uid="{047FB405-2792-4C77-B2C8-FB46A81198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3" authorId="0" shapeId="0" xr:uid="{CBFD1B08-F372-47B6-9BDA-8A78B2816C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3" authorId="0" shapeId="0" xr:uid="{622717AE-B128-44B3-9B84-82ACD9D1A6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3" authorId="0" shapeId="0" xr:uid="{66F4DB64-E1F6-4F0D-8B94-DAB666CF11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3" authorId="0" shapeId="0" xr:uid="{D7A293AE-F383-4A0B-9BBF-7E24AB610D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3" authorId="0" shapeId="0" xr:uid="{900924B9-9871-443F-BE06-23E4F54492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3" authorId="0" shapeId="0" xr:uid="{12B8E428-B15E-46D7-8560-EF47E72908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3" authorId="0" shapeId="0" xr:uid="{F9BF191E-0AAA-46BB-836F-026C849E29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4" authorId="0" shapeId="0" xr:uid="{8422A52A-CAD9-4BA9-BDFD-D0E0CF5C0A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4" authorId="0" shapeId="0" xr:uid="{367F65ED-A7A6-4519-A57D-58C2712DE1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4" authorId="0" shapeId="0" xr:uid="{BB36E158-DBE3-4DE4-A255-D0BEC3F17B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4" authorId="0" shapeId="0" xr:uid="{9483E901-8853-4959-88A6-7BDC7E8C85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4" authorId="0" shapeId="0" xr:uid="{93120E83-BE3C-4173-934A-6DADE9205A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4" authorId="0" shapeId="0" xr:uid="{0B47E995-D0BF-488F-A644-B56FDE15C6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34" authorId="0" shapeId="0" xr:uid="{0B64DC1E-BDDE-443B-BD31-E477D0B029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34" authorId="0" shapeId="0" xr:uid="{7BDF3013-6725-4348-9278-054F3AEA6B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34" authorId="0" shapeId="0" xr:uid="{63154B0B-355A-4DF3-8082-91A7BD05DA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34" authorId="0" shapeId="0" xr:uid="{C2FD2385-6685-4F0C-A33D-83915A7F5C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34" authorId="0" shapeId="0" xr:uid="{27BA91E2-E8EB-4AF3-BA52-65C85E0AE8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34" authorId="0" shapeId="0" xr:uid="{0D4735DE-3FD3-438D-A766-CA6077A184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7" authorId="0" shapeId="0" xr:uid="{FE9C9D8F-668F-4763-9A2C-E96B402996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7" authorId="0" shapeId="0" xr:uid="{7D2B2E27-D98E-4EA7-A8AD-4BFAAD1ECA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7" authorId="0" shapeId="0" xr:uid="{579169A5-3C96-4EF1-8159-E99038594F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7" authorId="0" shapeId="0" xr:uid="{A11D7EB9-2D19-4F70-8DB9-A59A4C27D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7" authorId="0" shapeId="0" xr:uid="{B14F5A46-D6A1-48AB-8B6D-C513703D14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7" authorId="0" shapeId="0" xr:uid="{04AC71FE-8826-4BC1-B603-3955B26F12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7" authorId="0" shapeId="0" xr:uid="{F1EA2B1D-5A1B-4CE0-AD5E-A27F828932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7" authorId="0" shapeId="0" xr:uid="{99732391-0ECC-46E4-B92D-0EAB8E8F50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7" authorId="0" shapeId="0" xr:uid="{D8A8538D-CF54-4CA5-B67A-128181DCBA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7" authorId="0" shapeId="0" xr:uid="{D9A62F41-F262-4ADD-811A-31F0CE5302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7" authorId="0" shapeId="0" xr:uid="{26AAA826-07F1-43CF-9282-44E2321C30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7" authorId="0" shapeId="0" xr:uid="{EB8A2331-4A83-43C7-91A0-EA4DCC93F4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8" authorId="0" shapeId="0" xr:uid="{473ECF3E-FEEF-40C0-BEDC-BA4A5F4858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8" authorId="0" shapeId="0" xr:uid="{F43099CB-4FEE-481E-92E5-50E805B646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8" authorId="0" shapeId="0" xr:uid="{62A92B45-A3A1-436B-B777-324AAE2326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8" authorId="0" shapeId="0" xr:uid="{ACF8C660-9331-4BD7-9648-907ABCD9E1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8" authorId="0" shapeId="0" xr:uid="{E6E99D0E-FE84-43A6-864C-7C06C0FA78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8" authorId="0" shapeId="0" xr:uid="{9647FA92-CCB5-4E20-8E3D-1508FD48EE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8" authorId="0" shapeId="0" xr:uid="{32853F7F-900E-4A5C-A1A6-E9DA63A443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8" authorId="0" shapeId="0" xr:uid="{00BBAA89-D468-4DD8-9ED2-DF221EED11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8" authorId="0" shapeId="0" xr:uid="{DCABF1FC-AD23-4A08-9A73-0CC4FFC90C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8" authorId="0" shapeId="0" xr:uid="{A0CB1549-0A42-4BFA-AD38-47BBE447D0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8" authorId="0" shapeId="0" xr:uid="{0DB1A38D-77FB-460E-9346-18D642FB88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8" authorId="0" shapeId="0" xr:uid="{6CB25A89-FFB3-4FF1-805C-B129BC1ECB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9" authorId="0" shapeId="0" xr:uid="{05B8A892-4A7E-4942-9C86-CCB5E81371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9" authorId="0" shapeId="0" xr:uid="{7B92AE93-E84A-41D8-B593-B111A043E1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9" authorId="0" shapeId="0" xr:uid="{291B6818-4AEC-49B4-B03C-30A139D869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9" authorId="0" shapeId="0" xr:uid="{B172FA95-26E4-4587-A5FF-07B5B56E1A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9" authorId="0" shapeId="0" xr:uid="{B7513DB0-9BF6-4850-89BA-1F2F5B1ADC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9" authorId="0" shapeId="0" xr:uid="{4E1C51BC-8C8E-4471-BC73-823DC088A8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9" authorId="0" shapeId="0" xr:uid="{A6079402-E56F-4183-B07E-62B06DF8B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9" authorId="0" shapeId="0" xr:uid="{4A90E4F5-3149-4AAF-9931-2CD34696B3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9" authorId="0" shapeId="0" xr:uid="{2EC017C6-BDF3-43F1-8FDB-4F15405438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9" authorId="0" shapeId="0" xr:uid="{54FF265C-C7D5-4E83-A9A3-E180A04512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39" authorId="0" shapeId="0" xr:uid="{5787AF9D-4E06-4480-9D05-5E5C635577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39" authorId="0" shapeId="0" xr:uid="{35DFF27D-CF92-4BDE-91D0-485886E146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0" authorId="0" shapeId="0" xr:uid="{EFB0E7D6-3B5E-4CFF-A28F-74586284C2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0" authorId="0" shapeId="0" xr:uid="{BA497A65-514B-4E3D-9D3A-BE93DCE5D2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0" authorId="0" shapeId="0" xr:uid="{02C23412-3F53-405E-AC98-D9A6741673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0" authorId="0" shapeId="0" xr:uid="{43DD8765-D50E-4AA9-B83D-D97A38054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0" authorId="0" shapeId="0" xr:uid="{7EA702E4-6A5E-46BF-98E5-05695F58E3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0" authorId="0" shapeId="0" xr:uid="{D5D8388A-7FD5-4EC6-96AD-6902673F30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0" authorId="0" shapeId="0" xr:uid="{9C59E0DB-9B1A-4BCB-9435-3BB0D05E8B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0" authorId="0" shapeId="0" xr:uid="{8010A895-47F9-4F52-A13A-E3B636134B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0" authorId="0" shapeId="0" xr:uid="{6C3F4FC0-1F1B-4990-9B44-5D2C0C3C87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0" authorId="0" shapeId="0" xr:uid="{F3555B53-9029-49CD-8235-52D985CFD6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0" authorId="0" shapeId="0" xr:uid="{448250FF-0D3A-413E-9649-CB1CC6F962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0" authorId="0" shapeId="0" xr:uid="{A08EAE25-D361-46C5-B8A3-72290191EA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1" authorId="0" shapeId="0" xr:uid="{2F4F7B02-CC4E-4920-8057-D4E0D22219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1" authorId="0" shapeId="0" xr:uid="{FAA6397E-7E37-4F73-B39A-FC9C62FC2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1" authorId="0" shapeId="0" xr:uid="{AD8F3A19-ACCD-4BC6-8933-2D64703A9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1" authorId="0" shapeId="0" xr:uid="{67ABE533-BCEB-4BD0-970A-DC07276BE0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1" authorId="0" shapeId="0" xr:uid="{05C071CE-FB2B-4F16-84A9-720CC6632F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1" authorId="0" shapeId="0" xr:uid="{5281BDCF-5FD3-450C-91E8-F319B34667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1" authorId="0" shapeId="0" xr:uid="{E8EDDA3A-BEF6-4C81-AF94-2839F7779C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1" authorId="0" shapeId="0" xr:uid="{666577C9-748F-4A61-A65B-F6FDBFA15F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1" authorId="0" shapeId="0" xr:uid="{FFD07682-ABA6-4D03-B377-FCAABDE22B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1" authorId="0" shapeId="0" xr:uid="{E1B57F9B-1A6F-40F8-91C5-502AD2D6C4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1" authorId="0" shapeId="0" xr:uid="{2C270CF5-48A8-42B8-8FCC-D4285ABA5D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1" authorId="0" shapeId="0" xr:uid="{2B9BEEB2-8555-420C-A1BD-37B67A3F10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2" authorId="0" shapeId="0" xr:uid="{36EF25D7-B4B9-4EDC-B909-17A126E0FC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2" authorId="0" shapeId="0" xr:uid="{151FCA4A-0AD0-4652-8F1F-C11E108956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2" authorId="0" shapeId="0" xr:uid="{FB9EF7C5-5089-4687-80F9-F999C1BC95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2" authorId="0" shapeId="0" xr:uid="{27FEC945-7CE9-4CE0-8382-EF6955776B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2" authorId="0" shapeId="0" xr:uid="{9DFE20AB-1E0B-4F8D-B5CA-080F351B71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2" authorId="0" shapeId="0" xr:uid="{9619DFF1-7D7F-44A7-BEA0-A62577995B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2" authorId="0" shapeId="0" xr:uid="{9BE6D23D-CCDB-4AD4-84A0-32342060C4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2" authorId="0" shapeId="0" xr:uid="{A5A319EA-AEE1-4EEC-A3E4-D56D56C782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2" authorId="0" shapeId="0" xr:uid="{4614CABD-D14E-4745-BD87-F79629DB49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2" authorId="0" shapeId="0" xr:uid="{A6A1A424-0607-423D-9784-3BFC2D2B21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2" authorId="0" shapeId="0" xr:uid="{CE0B64D9-60CE-4CCC-99D0-6A84AC64BC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2" authorId="0" shapeId="0" xr:uid="{32109BDB-D32F-4F9E-BE3D-4B4F24A159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3" authorId="0" shapeId="0" xr:uid="{68D21D80-C6C2-4CA2-95AD-EBBF7DF927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3" authorId="0" shapeId="0" xr:uid="{276FBE3D-C689-4B15-8C30-DA674D3BED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3" authorId="0" shapeId="0" xr:uid="{511F4819-3546-47E2-8037-CCD2744813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3" authorId="0" shapeId="0" xr:uid="{D1E3C4C5-0EFB-4445-9BB5-719EDCBDD7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3" authorId="0" shapeId="0" xr:uid="{FB19FA5D-A5D2-4CF2-8F27-6F7BF64EC7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3" authorId="0" shapeId="0" xr:uid="{77A2692F-A1B6-425A-8D3E-A45C0F3474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3" authorId="0" shapeId="0" xr:uid="{4DA044A9-AD1C-47E6-8FF7-46E63DA686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3" authorId="0" shapeId="0" xr:uid="{04F41EEB-277F-42B3-97EF-E6B759F9FD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3" authorId="0" shapeId="0" xr:uid="{785BDD5E-B5E6-4056-A204-B02CFB5AAE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3" authorId="0" shapeId="0" xr:uid="{2F400F76-119F-42F1-860F-3145FB985B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3" authorId="0" shapeId="0" xr:uid="{03A9E5BE-CAD3-4A86-AE68-7F53951840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3" authorId="0" shapeId="0" xr:uid="{252B91D4-FCEB-4296-A4D9-9945F0FDAC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4" authorId="0" shapeId="0" xr:uid="{C812A8F6-637E-4947-94F4-EF4409AABA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4" authorId="0" shapeId="0" xr:uid="{E725C67C-041D-4415-BEB7-B64BF635B6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4" authorId="0" shapeId="0" xr:uid="{E53F0531-8A8C-4327-88F1-FCABC35336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4" authorId="0" shapeId="0" xr:uid="{B0B5DCD1-DCD1-4A37-9518-95E371A836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4" authorId="0" shapeId="0" xr:uid="{194C833C-D4D8-4BA0-BCB5-F6E7DC3320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4" authorId="0" shapeId="0" xr:uid="{EE7387F6-1B67-4BCE-80D5-4483DB0174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4" authorId="0" shapeId="0" xr:uid="{F58AE2D9-DA90-47AF-B094-8823732CC0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4" authorId="0" shapeId="0" xr:uid="{AECA0310-8DCE-4291-9D42-ACCF0D7807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4" authorId="0" shapeId="0" xr:uid="{38E8E01E-70B5-4E42-8FA8-C1797E6D39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4" authorId="0" shapeId="0" xr:uid="{D8F014CE-6C28-4809-8834-A9DD7D37E0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4" authorId="0" shapeId="0" xr:uid="{E0924C63-B640-4FC1-A272-F486D205E9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4" authorId="0" shapeId="0" xr:uid="{FD388BFE-B67B-48D5-9BF5-4B2F8758C3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5" authorId="0" shapeId="0" xr:uid="{57306461-1FDA-4FFB-821F-CD21A840C1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5" authorId="0" shapeId="0" xr:uid="{AE2460F3-751F-48B5-B8D0-ABC81D48CE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5" authorId="0" shapeId="0" xr:uid="{E37A880A-2D59-4C00-A25A-D08C30174D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5" authorId="0" shapeId="0" xr:uid="{DA2C6389-B633-4604-85A9-95C3D0A743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5" authorId="0" shapeId="0" xr:uid="{CD09F4BC-9A12-4FF7-B01D-00F20BDB46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5" authorId="0" shapeId="0" xr:uid="{92F190C2-47E3-4166-9CE0-B807C3BF60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45" authorId="0" shapeId="0" xr:uid="{32DD0099-4CA1-484D-BDEF-E087191339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45" authorId="0" shapeId="0" xr:uid="{CD064B69-9508-4A60-B375-E9C9130B6E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45" authorId="0" shapeId="0" xr:uid="{CEF5B8E6-0283-4B8C-B085-0BEC642D6A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45" authorId="0" shapeId="0" xr:uid="{AA6B806A-8A0F-443B-AA37-2A80C0EDB7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45" authorId="0" shapeId="0" xr:uid="{85289567-095B-4FE9-9F00-9CF2886126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45" authorId="0" shapeId="0" xr:uid="{3F8595D9-7F89-426C-82CC-3BE04588D8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8" authorId="0" shapeId="0" xr:uid="{2110D56E-BE9B-4B1E-9F09-80D224357A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8" authorId="0" shapeId="0" xr:uid="{1F9304FB-7298-4576-964C-B7A1E459AD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8" authorId="0" shapeId="0" xr:uid="{D22C2994-FB50-4C17-B1A8-AA2B30C7A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8" authorId="0" shapeId="0" xr:uid="{60EB2539-A424-416F-B5AE-27815A4875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8" authorId="0" shapeId="0" xr:uid="{1743AD94-0E41-4115-82EE-2A16899944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8" authorId="0" shapeId="0" xr:uid="{54F62265-6261-4A5E-AA60-B3E5CCD1F5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8" authorId="0" shapeId="0" xr:uid="{DBCD3B0A-F316-4878-A6A8-A0B554E807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8" authorId="0" shapeId="0" xr:uid="{FD96654E-B923-4332-A1A4-1BC8FCAB99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8" authorId="0" shapeId="0" xr:uid="{A3F93DD9-A503-414E-A336-A2EA796FB4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8" authorId="0" shapeId="0" xr:uid="{51B0F80E-CB3C-4FF7-801D-70EC195E08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8" authorId="0" shapeId="0" xr:uid="{1F20567D-66BE-40A6-AD91-B15B43371B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8" authorId="0" shapeId="0" xr:uid="{905D63D8-904D-42AC-A8D0-E04F44B99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9" authorId="0" shapeId="0" xr:uid="{F0B622F7-881B-4AB0-B4D2-1298523241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9" authorId="0" shapeId="0" xr:uid="{41F96645-78E2-458B-867B-17EC21A0E7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9" authorId="0" shapeId="0" xr:uid="{2F1036C9-D841-43B2-B453-280C8D7A1A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9" authorId="0" shapeId="0" xr:uid="{4B0EB4B6-7113-4310-B399-BD2985E42E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9" authorId="0" shapeId="0" xr:uid="{C7BFAB36-3DF6-41DC-8C24-B3BBB6BF07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9" authorId="0" shapeId="0" xr:uid="{A72A150B-3F6B-4C8C-849D-8C656227AC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9" authorId="0" shapeId="0" xr:uid="{54E60060-F267-4118-90E8-4ED130B7C0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9" authorId="0" shapeId="0" xr:uid="{AD6F7B31-601A-44DE-83F8-5AE42AD7C1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9" authorId="0" shapeId="0" xr:uid="{8ECCF173-503D-492B-82FB-7F342EF07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9" authorId="0" shapeId="0" xr:uid="{0B5AF51C-1024-42C5-8842-619D7AFAE9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49" authorId="0" shapeId="0" xr:uid="{CCF6C125-2884-4F2F-B65B-10A2BF9A7D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49" authorId="0" shapeId="0" xr:uid="{097A8989-BBFA-4CE6-AFE4-9FBF8886B1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0" authorId="0" shapeId="0" xr:uid="{62CA19EC-2528-4C76-B0A3-EF666F9A58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0" authorId="0" shapeId="0" xr:uid="{6293D446-8604-4E3E-A01B-A2DE7CA85C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0" authorId="0" shapeId="0" xr:uid="{D7D03E69-EE31-481F-B50C-53BA0E6C2D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0" authorId="0" shapeId="0" xr:uid="{470515AC-0B91-4A80-B301-71F7E95293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0" authorId="0" shapeId="0" xr:uid="{D7702CF9-F235-4472-A5AA-488DC72FD4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0" authorId="0" shapeId="0" xr:uid="{52192DF3-0715-4C88-A9D7-DEB972F2FF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0" authorId="0" shapeId="0" xr:uid="{EF017F4F-2192-40C8-BE33-667EA047D8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0" authorId="0" shapeId="0" xr:uid="{45EE86C0-A615-4D38-9543-DDAC26EC45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0" authorId="0" shapeId="0" xr:uid="{A4BF3500-7C3B-4AB3-A2A2-FC8086B41C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0" authorId="0" shapeId="0" xr:uid="{8A59362C-EBF4-4787-BDB7-6E1C9C4508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0" authorId="0" shapeId="0" xr:uid="{E4EFDCD0-15FB-4C3A-9C29-3969360BBE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0" authorId="0" shapeId="0" xr:uid="{D07549C7-C6A6-4A71-966F-3A1B15F27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1" authorId="0" shapeId="0" xr:uid="{4ABB9B4F-5F5A-4924-9DFA-FC0CAEA0D4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1" authorId="0" shapeId="0" xr:uid="{0979B4B9-6E43-4BA5-BE27-2367BCEC62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1" authorId="0" shapeId="0" xr:uid="{28D6303A-800B-4D9D-8715-86A2BF3278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1" authorId="0" shapeId="0" xr:uid="{86AB2F93-DD0F-45AB-81F3-19CC8A5E9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1" authorId="0" shapeId="0" xr:uid="{5668E513-301D-4F14-B63E-81BA75679D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1" authorId="0" shapeId="0" xr:uid="{00982778-DAC6-4885-A7A0-9064E5F2A3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1" authorId="0" shapeId="0" xr:uid="{D5808992-59A5-43DC-8FD1-F8D5E6A702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1" authorId="0" shapeId="0" xr:uid="{B17EC3E7-D3AD-4DE4-AF82-3B6785DAEA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1" authorId="0" shapeId="0" xr:uid="{DA559E7B-8965-4222-A077-4C4215148D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1" authorId="0" shapeId="0" xr:uid="{2EA0E239-C6FE-4687-BC1A-7CBDABEC7F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1" authorId="0" shapeId="0" xr:uid="{8A82BB8A-4CC7-40CD-94CB-54B6619A21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1" authorId="0" shapeId="0" xr:uid="{85D92C01-4B35-4C94-AD19-4853F7EA88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2" authorId="0" shapeId="0" xr:uid="{49E80B5D-DFB4-4107-8297-E766F7B7AD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2" authorId="0" shapeId="0" xr:uid="{3FAB2052-6779-4372-8401-2B79E6B22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2" authorId="0" shapeId="0" xr:uid="{341C198E-ACA5-4C27-85F5-AF27552B2B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2" authorId="0" shapeId="0" xr:uid="{BC3CF382-CB31-4321-872E-C5F7D2E354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2" authorId="0" shapeId="0" xr:uid="{4F7A9106-E7A9-46F0-A484-48DD6C39F3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2" authorId="0" shapeId="0" xr:uid="{6E0A2E68-3903-40A3-90AB-68263E7FA2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2" authorId="0" shapeId="0" xr:uid="{A4164505-CD1E-42FE-970A-E970578348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2" authorId="0" shapeId="0" xr:uid="{2F05D3D9-7EC1-4A4C-A5D5-9117ED5D33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2" authorId="0" shapeId="0" xr:uid="{794D8FC0-4F81-47FB-BB9B-C85627C8EE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2" authorId="0" shapeId="0" xr:uid="{E1F601D3-F8BE-46CB-A27D-784E6D3FA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2" authorId="0" shapeId="0" xr:uid="{4FE56019-9959-4CFD-93C9-5DD4AC11C3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2" authorId="0" shapeId="0" xr:uid="{EE8A9371-3929-4C11-A603-3909DF1CEB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3" authorId="0" shapeId="0" xr:uid="{A1665F55-562B-4311-84C2-CA3E7E25EE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3" authorId="0" shapeId="0" xr:uid="{5E80ECB5-44C3-470B-BB6A-33891E78E1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3" authorId="0" shapeId="0" xr:uid="{E6016123-5443-4F8E-8A8F-641D172700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3" authorId="0" shapeId="0" xr:uid="{DF998FFE-4ADE-47D1-8BFA-12543A92BD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3" authorId="0" shapeId="0" xr:uid="{000580E8-971C-4292-AF5A-53B481C8A6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3" authorId="0" shapeId="0" xr:uid="{0AE5C849-F2A8-4AED-8998-CF80E3B1F7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3" authorId="0" shapeId="0" xr:uid="{3E9074AC-EEFB-4DC7-A20A-389728D4A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3" authorId="0" shapeId="0" xr:uid="{5456D6F0-5ED4-47CE-87EC-C898F04EB5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3" authorId="0" shapeId="0" xr:uid="{E97F2DC4-18AC-4AAF-9E40-AA760C67D1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3" authorId="0" shapeId="0" xr:uid="{E02CD3BD-3E40-42B1-9D80-CC5939F041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3" authorId="0" shapeId="0" xr:uid="{3CF6D18D-97F2-4C23-AEDA-94F3ADB941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3" authorId="0" shapeId="0" xr:uid="{8DC91237-0D80-4980-BBB2-34AF6DD781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4" authorId="0" shapeId="0" xr:uid="{5B95963E-C0A3-4430-92AB-18A005EAD6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4" authorId="0" shapeId="0" xr:uid="{7F1A52C3-10C4-4EFA-AD7E-0FCF05DB6F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4" authorId="0" shapeId="0" xr:uid="{4C166755-2621-40FB-8E2A-25B9F8D307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4" authorId="0" shapeId="0" xr:uid="{D140A5D7-BE93-4F4D-BF6F-65C6D0090D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4" authorId="0" shapeId="0" xr:uid="{FEC21CED-BA4E-4AFB-9C11-BD33FA4F96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4" authorId="0" shapeId="0" xr:uid="{AD9C5894-254C-4724-BF62-D97D1E3BB8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4" authorId="0" shapeId="0" xr:uid="{6F0C5AC8-DB8E-4E56-A46B-52BE987E6D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4" authorId="0" shapeId="0" xr:uid="{FFC28D46-86BB-4F7A-AFF9-63DA9299C8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4" authorId="0" shapeId="0" xr:uid="{722249E9-91C0-47C3-8AA9-30BF73CC4B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4" authorId="0" shapeId="0" xr:uid="{5ED4EE04-63B2-488E-BCFE-E4D110D4AA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4" authorId="0" shapeId="0" xr:uid="{FEE52685-E181-49B6-AA74-842CE83869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4" authorId="0" shapeId="0" xr:uid="{0BCCFE4C-7AC1-483A-B07D-E2544EA3DE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5" authorId="0" shapeId="0" xr:uid="{E7B68980-9041-4731-9387-528A76BC6E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5" authorId="0" shapeId="0" xr:uid="{FBE561EA-F8BA-4781-9292-BCED96995D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5" authorId="0" shapeId="0" xr:uid="{A46BF4D3-379A-4A23-926F-AE8B2B4831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5" authorId="0" shapeId="0" xr:uid="{4F4491CF-9EF8-4D59-9530-5A500E514A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5" authorId="0" shapeId="0" xr:uid="{883075A1-111F-4399-88A1-98F84726DD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5" authorId="0" shapeId="0" xr:uid="{B21CD17E-705D-4A69-A867-A4236BCB42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5" authorId="0" shapeId="0" xr:uid="{55CCCC5E-DDCF-4537-A526-A68D63E498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5" authorId="0" shapeId="0" xr:uid="{118A2155-179B-4BF7-B66C-17C19C2847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5" authorId="0" shapeId="0" xr:uid="{39CF720D-4E6D-46C2-A38F-A102380A60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5" authorId="0" shapeId="0" xr:uid="{E995DF2B-65FA-471B-9083-8411C7E616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5" authorId="0" shapeId="0" xr:uid="{426D119C-3938-4078-B8E8-523093A5A8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5" authorId="0" shapeId="0" xr:uid="{B56751E3-08D9-40E3-9E91-1A3182A859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6" authorId="0" shapeId="0" xr:uid="{43CD4F64-AC3D-4431-99CA-E7F782BF0B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6" authorId="0" shapeId="0" xr:uid="{6A616AD4-8237-4DB5-8250-BF49C2F3C1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6" authorId="0" shapeId="0" xr:uid="{5BB4E6BF-A9BC-46DF-B95D-C1F9CEBD35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6" authorId="0" shapeId="0" xr:uid="{93EC9298-3100-44C3-AC0C-E6D3924267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6" authorId="0" shapeId="0" xr:uid="{A737E49C-3767-4EED-8747-736562D90D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6" authorId="0" shapeId="0" xr:uid="{011172FC-23DB-4AEA-9D6F-F0AD6B9DF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56" authorId="0" shapeId="0" xr:uid="{2C4F1C2E-DB86-4554-A0E3-EFEDDD2C1B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56" authorId="0" shapeId="0" xr:uid="{8EC527F8-45E1-4A06-BA14-B767558761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56" authorId="0" shapeId="0" xr:uid="{AFB866AC-451C-4CD8-A9F2-E11E062A24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56" authorId="0" shapeId="0" xr:uid="{7D0D724C-0123-4E8F-B5FD-07AB98F98A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56" authorId="0" shapeId="0" xr:uid="{5FC1FBD2-8700-459C-82F3-5EDD4FE06B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56" authorId="0" shapeId="0" xr:uid="{09B46173-EFAE-42B9-A68F-A2DE5C6629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9" authorId="0" shapeId="0" xr:uid="{8A9F0415-40B8-44A6-A6E5-2936F62A70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59" authorId="0" shapeId="0" xr:uid="{6DB71D39-D708-4C4F-940D-2F48B57209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59" authorId="0" shapeId="0" xr:uid="{E4D04537-1ABA-4B8B-93D4-13AA80B319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59" authorId="0" shapeId="0" xr:uid="{221726E1-C698-4812-AD76-FF174B4537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59" authorId="0" shapeId="0" xr:uid="{BB0EB999-D733-4AB1-AEB4-BC4A1A0461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9" authorId="0" shapeId="0" xr:uid="{F681C7F2-B837-45DD-A1DF-F15E9641F1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9" authorId="0" shapeId="0" xr:uid="{20219DAA-644E-4A02-B267-461B55EA29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9" authorId="0" shapeId="0" xr:uid="{50DACC1E-E9D7-4B89-80D6-1929E5363C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9" authorId="0" shapeId="0" xr:uid="{03F6C4F9-238E-4755-98D1-DA61427CBB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9" authorId="0" shapeId="0" xr:uid="{FB3BFD99-4DE6-4947-B5C2-090B76FF30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59" authorId="0" shapeId="0" xr:uid="{CF0FD0D5-4A74-4AE9-B5D2-86BCE91699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59" authorId="0" shapeId="0" xr:uid="{3D1F6EB5-BFD0-419F-AE6A-983DEB564F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0" authorId="0" shapeId="0" xr:uid="{63A33FA2-171C-4028-8F92-1C7BA3E567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0" authorId="0" shapeId="0" xr:uid="{AE9D2603-1F31-4134-9983-D9B93018F5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0" authorId="0" shapeId="0" xr:uid="{7F3A94E4-3926-45F0-BCED-BB01FF4CF5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0" authorId="0" shapeId="0" xr:uid="{BE387F21-A685-41E7-A581-85427B781B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0" authorId="0" shapeId="0" xr:uid="{C2FF61F1-7533-49C9-8D1E-CAAF999F2A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0" authorId="0" shapeId="0" xr:uid="{E43CD384-A1D4-4857-998E-D458AECAD7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0" authorId="0" shapeId="0" xr:uid="{3F97DACA-8276-44D2-A855-F1D24E34EE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0" authorId="0" shapeId="0" xr:uid="{C7AF878B-A44E-4162-8FDB-BB5E9D1E9E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0" authorId="0" shapeId="0" xr:uid="{8CC071DF-A467-4228-B388-7F943C7F3D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0" authorId="0" shapeId="0" xr:uid="{62290351-55FF-43E6-B99F-40E63E957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0" authorId="0" shapeId="0" xr:uid="{4A3840F3-4E6B-4150-9D23-C7677060AC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0" authorId="0" shapeId="0" xr:uid="{946D9106-6A90-4545-B56A-C74FA27433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1" authorId="0" shapeId="0" xr:uid="{BF53F459-3035-492B-BE9A-74EC868237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1" authorId="0" shapeId="0" xr:uid="{58BB3759-6D56-4BA6-8570-600A1FF9C1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1" authorId="0" shapeId="0" xr:uid="{A7DB8C90-83F7-4479-ACBB-3BFFA40F69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1" authorId="0" shapeId="0" xr:uid="{658AE50B-4771-4D38-9E94-F91B4B69B8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1" authorId="0" shapeId="0" xr:uid="{D604E066-EC1E-47CA-9D11-B808416CDA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1" authorId="0" shapeId="0" xr:uid="{A3B3017A-7C85-487A-AECB-D8FA400D0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1" authorId="0" shapeId="0" xr:uid="{1FA670F8-CFC3-442E-9D5B-CFD1131D3E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1" authorId="0" shapeId="0" xr:uid="{274E5010-5328-4249-8B3D-E240750BBB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1" authorId="0" shapeId="0" xr:uid="{DDE71E26-7716-4014-91F6-17D87F33CC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1" authorId="0" shapeId="0" xr:uid="{BC13235C-B2F2-48A5-B6ED-1E20D78BDA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61" authorId="0" shapeId="0" xr:uid="{DCB3BA76-F06C-44A8-85A6-010E6C5B07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61" authorId="0" shapeId="0" xr:uid="{D013DBC9-85CD-43AD-BB12-CF57CE69C1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2" authorId="0" shapeId="0" xr:uid="{15B96025-45E9-4152-84A5-8647DBEB3E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2" authorId="0" shapeId="0" xr:uid="{6AC51874-2154-47EA-96AE-CD49255188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2" authorId="0" shapeId="0" xr:uid="{3A3BA50A-F4F3-4277-A9A5-BB516E78CC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2" authorId="0" shapeId="0" xr:uid="{41C40EAD-3655-4780-8311-F344D56D57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2" authorId="0" shapeId="0" xr:uid="{E0D27677-CD4A-4E70-9E9A-AFD54C00B5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2" authorId="0" shapeId="0" xr:uid="{347FCBB6-086A-4794-B9BC-E8594ABDA9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2" authorId="0" shapeId="0" xr:uid="{0699A13E-54C3-4656-8932-C7028AE285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2" authorId="0" shapeId="0" xr:uid="{65535B14-EDB3-4947-9FB8-0EAB950CD1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2" authorId="0" shapeId="0" xr:uid="{65160D39-16B6-43C6-A456-A2C2A51D71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2" authorId="0" shapeId="0" xr:uid="{A2E20EB6-D30E-4689-923E-FEDEA5FF99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2" authorId="0" shapeId="0" xr:uid="{546CD11F-34C0-4562-919C-96C709F892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2" authorId="0" shapeId="0" xr:uid="{41F6C45F-902B-437A-A7FD-C590A77749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3" authorId="0" shapeId="0" xr:uid="{93AF687E-0069-4EE6-81B1-FCECDF191D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3" authorId="0" shapeId="0" xr:uid="{C49B3CD8-53D2-4B34-81FC-DAFA0A010E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3" authorId="0" shapeId="0" xr:uid="{4941DD68-54F2-4492-8958-1E51434FFB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3" authorId="0" shapeId="0" xr:uid="{43E0B2E4-8E35-4E87-951D-AB1798C8E5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3" authorId="0" shapeId="0" xr:uid="{21789C9D-DA7C-4DBA-9AF1-D0B08A9D7E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3" authorId="0" shapeId="0" xr:uid="{32FE6B9E-61EB-438D-8267-C237572039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3" authorId="0" shapeId="0" xr:uid="{9C707DC8-6FFF-4E2A-A60B-6D0D52A66C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3" authorId="0" shapeId="0" xr:uid="{4F8A3420-5F97-45CD-8B5A-41C17D3D36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3" authorId="0" shapeId="0" xr:uid="{2597C356-8552-46D5-B0B3-C89D5BE189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3" authorId="0" shapeId="0" xr:uid="{7C90B6AC-B4D0-4F74-9D03-107AFFE27A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3" authorId="0" shapeId="0" xr:uid="{DA216A1D-96A3-4EE5-B939-2C6AAF14B5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3" authorId="0" shapeId="0" xr:uid="{C641839D-61D7-4D71-9F29-4EBDF29A1A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4" authorId="0" shapeId="0" xr:uid="{C2FA18F9-85B4-4E6A-95F5-5D7C495092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4" authorId="0" shapeId="0" xr:uid="{34F82A83-489E-4B8A-81DF-F8E008A9ED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4" authorId="0" shapeId="0" xr:uid="{00EEC692-465F-4517-981D-530FED7298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4" authorId="0" shapeId="0" xr:uid="{DA7F0F0A-CFFD-463F-9482-1726C075A4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4" authorId="0" shapeId="0" xr:uid="{762A3508-6CF2-4911-877C-7B54B1A029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4" authorId="0" shapeId="0" xr:uid="{E298E7CD-F8BA-4B24-B5F3-0232C916B3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4" authorId="0" shapeId="0" xr:uid="{5975407C-F594-4BE3-920F-458B2546FB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4" authorId="0" shapeId="0" xr:uid="{6B393709-E5D6-4900-8D37-E64FF71087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4" authorId="0" shapeId="0" xr:uid="{B93B04D0-7A20-4031-8D52-5859981357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4" authorId="0" shapeId="0" xr:uid="{361E11E5-6A19-41D2-84B1-DB58222A54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4" authorId="0" shapeId="0" xr:uid="{667BD30B-36E6-4A6D-86AB-FC0A9EDADC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4" authorId="0" shapeId="0" xr:uid="{1FFD76C4-B2B5-46F5-8C6E-1090CB0ECD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5" authorId="0" shapeId="0" xr:uid="{3017EC3B-CB01-4902-AA2E-84BB1E0045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5" authorId="0" shapeId="0" xr:uid="{A76C368F-F0DC-4F63-871D-2CF3DC3136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5" authorId="0" shapeId="0" xr:uid="{FB205E70-952A-4D13-BAD6-C42A2F1856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5" authorId="0" shapeId="0" xr:uid="{802F63D2-0311-42EB-B49C-CDF0B15C80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5" authorId="0" shapeId="0" xr:uid="{FA8687E6-1D1F-4BA6-9981-7BBCC57BE2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5" authorId="0" shapeId="0" xr:uid="{833DBF62-22BA-4CFC-B596-2625BEBF67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5" authorId="0" shapeId="0" xr:uid="{6FD788C7-BA9A-4F62-ACFC-5A5CCB2215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5" authorId="0" shapeId="0" xr:uid="{DCCD35BF-1BF9-4EF8-85D3-27A6DF33DD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5" authorId="0" shapeId="0" xr:uid="{64EF67BC-6CE3-495E-A7EE-1B0AEC09BF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5" authorId="0" shapeId="0" xr:uid="{86A2807F-6203-4520-95E7-632E61F508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5" authorId="0" shapeId="0" xr:uid="{8CB5F243-57B1-48A5-BB00-AE18467505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5" authorId="0" shapeId="0" xr:uid="{3CE66FA5-40B7-447C-BC9B-71DFABD233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6" authorId="0" shapeId="0" xr:uid="{D7243544-C96B-411A-9ED6-D464DB2CB0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66" authorId="0" shapeId="0" xr:uid="{8E898890-0C2F-4273-A305-DA132583A2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6" authorId="0" shapeId="0" xr:uid="{BEB8EBFF-EE8A-4501-88E6-AE7DD784C3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6" authorId="0" shapeId="0" xr:uid="{A68797D2-DA94-4F77-88D3-043488DC7F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6" authorId="0" shapeId="0" xr:uid="{5911D557-9E38-4207-9782-808A6E593F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6" authorId="0" shapeId="0" xr:uid="{EEAA0B91-B2C2-42AA-A778-78A17A417C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6" authorId="0" shapeId="0" xr:uid="{30089DEF-85C3-459E-94C8-761049D630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6" authorId="0" shapeId="0" xr:uid="{DB2414C2-D381-452E-B905-8777EAD23E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6" authorId="0" shapeId="0" xr:uid="{E50AD38A-358F-4EB2-8AA8-5E8255E707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6" authorId="0" shapeId="0" xr:uid="{3E87DB57-2C52-4DA0-9713-CB2DCD3011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6" authorId="0" shapeId="0" xr:uid="{FA0EFAA5-3CA9-46D0-BBAA-72C29D03F2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6" authorId="0" shapeId="0" xr:uid="{345A8037-EF26-4A63-AAD4-B9A9F3290C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7" authorId="0" shapeId="0" xr:uid="{EB439C8E-6120-4DFC-8D81-2DDB10A765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7" authorId="0" shapeId="0" xr:uid="{C3F429B9-80F3-4E63-9662-14153FB6FB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7" authorId="0" shapeId="0" xr:uid="{E8EA6D37-C576-40E0-A17A-279DE3244C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7" authorId="0" shapeId="0" xr:uid="{F80DDB0F-C45B-4121-BCC8-CD90C9091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7" authorId="0" shapeId="0" xr:uid="{F975B332-4A02-42A8-A52B-09DD5D8E3F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7" authorId="0" shapeId="0" xr:uid="{F57EEF38-DE75-4B0E-B0DD-614ABC5589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67" authorId="0" shapeId="0" xr:uid="{0749AD39-CEA7-4BE2-82B8-0FCB113182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67" authorId="0" shapeId="0" xr:uid="{C3A3A584-A5B5-4B0D-9E67-2E9A90EA4A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67" authorId="0" shapeId="0" xr:uid="{F7F56CF4-D1CF-4EBD-BFBA-712C2A708E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67" authorId="0" shapeId="0" xr:uid="{23E1014C-951A-40F3-A54B-C76AB77CAE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67" authorId="0" shapeId="0" xr:uid="{904C0930-BB18-4234-8923-17420CF99A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67" authorId="0" shapeId="0" xr:uid="{D530A3C8-E6FE-447E-B61C-D70581D4E9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0" authorId="0" shapeId="0" xr:uid="{CB4BFE3E-A99F-4F2D-A625-FA747B1866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0" authorId="0" shapeId="0" xr:uid="{AE85FA3F-9A2E-49BF-8FB0-382EE7FA33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0" authorId="0" shapeId="0" xr:uid="{102E47B3-A780-48BE-8296-A0070F3076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0" authorId="0" shapeId="0" xr:uid="{CE77C5D7-8DD4-47B4-80E1-05777559C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0" authorId="0" shapeId="0" xr:uid="{86FEF3FF-C60C-40B8-BB1B-9027DE940F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0" authorId="0" shapeId="0" xr:uid="{DE0DC1EC-ED07-4A67-8664-4F0DDCAA9B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0" authorId="0" shapeId="0" xr:uid="{5C14F33E-7F3F-487A-810B-D1A7316BF0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0" authorId="0" shapeId="0" xr:uid="{6D959949-9C3F-4FF3-8720-58127DFAEF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0" authorId="0" shapeId="0" xr:uid="{E1D2751E-1981-4C6B-990F-1C3B008EEA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0" authorId="0" shapeId="0" xr:uid="{A046AD12-4287-4959-8FBF-4C53F13599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0" authorId="0" shapeId="0" xr:uid="{B0D95F71-31FF-4DAB-83E2-52EB994943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0" authorId="0" shapeId="0" xr:uid="{DCA4DFF6-5BBF-4BA1-87EC-23D7051371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1" authorId="0" shapeId="0" xr:uid="{A87DB4EC-C381-4BC9-A6EC-26F7EE30DC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1" authorId="0" shapeId="0" xr:uid="{0DB147EE-7E93-41B4-943E-263B44920C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1" authorId="0" shapeId="0" xr:uid="{36AB5C9F-F537-4767-B0F0-A7B8A1C104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1" authorId="0" shapeId="0" xr:uid="{0FD95001-179B-46A3-B79F-6C11191835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1" authorId="0" shapeId="0" xr:uid="{B6CECBD1-142C-4205-B505-8CBA518936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1" authorId="0" shapeId="0" xr:uid="{42A8CBBE-66DE-49A3-AE45-3C38589351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1" authorId="0" shapeId="0" xr:uid="{096FBEAF-3733-4611-8F67-DD30559833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1" authorId="0" shapeId="0" xr:uid="{A43611A1-E71A-49E9-AB75-C7941A35DA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1" authorId="0" shapeId="0" xr:uid="{5F5033AD-09F3-43A7-8146-9883AD1134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1" authorId="0" shapeId="0" xr:uid="{B37537BE-A509-4606-9142-C19183E4F2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1" authorId="0" shapeId="0" xr:uid="{02C9C2EA-ACF1-4DD6-868C-3349D87AEF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1" authorId="0" shapeId="0" xr:uid="{2A796F9D-8B5E-43DB-800A-34D47FFB0D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2" authorId="0" shapeId="0" xr:uid="{29C14827-73FA-4A89-897B-F9A207D0C2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2" authorId="0" shapeId="0" xr:uid="{25095B33-4961-4462-AF71-2B41CDBD8B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2" authorId="0" shapeId="0" xr:uid="{7819AEC7-5456-4BE3-A132-FD3AB80AFC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2" authorId="0" shapeId="0" xr:uid="{57F3404C-1E3D-4F52-AB56-E863DD69C4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2" authorId="0" shapeId="0" xr:uid="{EB594CE2-A478-435B-81AB-AD11A49DDC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2" authorId="0" shapeId="0" xr:uid="{2FD773A1-C39A-445E-B6DE-50BD8BF1B4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2" authorId="0" shapeId="0" xr:uid="{D6EE8E99-4840-43BD-A4D8-30736409E7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2" authorId="0" shapeId="0" xr:uid="{BFC1F7D6-3D9D-4690-A9FC-026AD04691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2" authorId="0" shapeId="0" xr:uid="{3418C9AC-C6B7-4F45-9546-CFC7279704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2" authorId="0" shapeId="0" xr:uid="{BF5B6B9A-27C9-46B9-B645-F6368004B2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72" authorId="0" shapeId="0" xr:uid="{FFFADC77-F442-42F1-8891-305DA0B298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72" authorId="0" shapeId="0" xr:uid="{D3288163-FB0C-454A-91E9-A34295440A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3" authorId="0" shapeId="0" xr:uid="{B768BB9B-2D05-4D9C-8563-C14A0C7887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3" authorId="0" shapeId="0" xr:uid="{C4BF41BE-D743-4982-B78F-1AAF4D093E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3" authorId="0" shapeId="0" xr:uid="{9CF4DF1F-60CF-4F3B-85FB-322D038FCD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3" authorId="0" shapeId="0" xr:uid="{EC037879-BE7C-441E-8498-391A3B5B11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3" authorId="0" shapeId="0" xr:uid="{BB20F201-CFE5-4B04-B8BC-3F199E9743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3" authorId="0" shapeId="0" xr:uid="{E19D7E1B-F6EE-4C8B-9A59-07AC6F6D08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3" authorId="0" shapeId="0" xr:uid="{03E09D5B-7581-4A03-B0A1-AA4F1D01AD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3" authorId="0" shapeId="0" xr:uid="{6F8D6E1F-2635-4A33-86E6-0DC72FB0BB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3" authorId="0" shapeId="0" xr:uid="{17B26293-2566-468E-BC45-8B6C11C510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3" authorId="0" shapeId="0" xr:uid="{28504091-E6F2-40D3-B140-00641D3DCC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3" authorId="0" shapeId="0" xr:uid="{4F128B29-B0D8-486A-A29C-CA9794C066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3" authorId="0" shapeId="0" xr:uid="{8C88D7ED-28C5-4B59-BC68-698EDC3420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4" authorId="0" shapeId="0" xr:uid="{4B42B4E0-3B81-4E60-97A8-CE2BB58BA3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4" authorId="0" shapeId="0" xr:uid="{DB6AA805-DA67-4E14-A714-9575FDE0C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4" authorId="0" shapeId="0" xr:uid="{3BD03D00-4805-4BED-A593-B0D7727F97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4" authorId="0" shapeId="0" xr:uid="{A250F18A-1196-495D-B0A9-4563007034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4" authorId="0" shapeId="0" xr:uid="{0B7D059D-0616-413A-BC1F-0D7673F59C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4" authorId="0" shapeId="0" xr:uid="{499A8ADB-DC1B-4C8C-9B92-095F80F074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4" authorId="0" shapeId="0" xr:uid="{8F468626-3C61-43DC-9B88-3FC58D553D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4" authorId="0" shapeId="0" xr:uid="{36286000-3FF0-43A3-82CC-A571D1A3A1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4" authorId="0" shapeId="0" xr:uid="{49588BF5-121E-4FAC-9BAF-AF04257BE1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4" authorId="0" shapeId="0" xr:uid="{DF18C17F-D9F6-45DF-8586-DBC2B25779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4" authorId="0" shapeId="0" xr:uid="{02F94E10-EAB9-4974-9C5E-300FEB9773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4" authorId="0" shapeId="0" xr:uid="{3B24056F-5FB4-40B5-815A-A4D50545F1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5" authorId="0" shapeId="0" xr:uid="{4BE67EBD-A2FB-4570-81A2-17B409202A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5" authorId="0" shapeId="0" xr:uid="{BF192296-4441-448A-98E5-1B0012E918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5" authorId="0" shapeId="0" xr:uid="{5DEE0E81-D6B9-47EC-BE5D-3EDF3F3FF5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5" authorId="0" shapeId="0" xr:uid="{D6BE03C7-50B5-4BF0-89F1-8C2AA96CDE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5" authorId="0" shapeId="0" xr:uid="{75FEFF9A-C7CA-479E-B4E5-023CE55CEC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75" authorId="0" shapeId="0" xr:uid="{2D9D8BF0-0445-4FA1-BFC3-218534274E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5" authorId="0" shapeId="0" xr:uid="{EACE868C-B9C5-43F9-9CAC-A49EF8FF83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5" authorId="0" shapeId="0" xr:uid="{337BC910-452D-4C3F-8EE6-1E23A57CD3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5" authorId="0" shapeId="0" xr:uid="{1A508C3C-5343-4F7B-B775-7924FCB7F9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5" authorId="0" shapeId="0" xr:uid="{D66D385D-CFC3-46E6-8F98-BAF8C3934D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5" authorId="0" shapeId="0" xr:uid="{E4DA37ED-6863-4873-81CC-7D2552818B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5" authorId="0" shapeId="0" xr:uid="{FA26450A-C61C-4C67-8571-8DE1EA0059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6" authorId="0" shapeId="0" xr:uid="{37F64372-3242-4CF2-A490-BB09D2263E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6" authorId="0" shapeId="0" xr:uid="{C050B8CE-23B5-4273-B73F-5513D3143F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6" authorId="0" shapeId="0" xr:uid="{43719ED1-A96F-4B02-8A2C-E9D7FD7DBD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6" authorId="0" shapeId="0" xr:uid="{476745C7-1419-453C-93AE-84334384AD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6" authorId="0" shapeId="0" xr:uid="{0D9E7C32-9AC8-459F-BC02-7384B73AC6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6" authorId="0" shapeId="0" xr:uid="{79A7D1D4-7550-4436-9348-A65560D79A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6" authorId="0" shapeId="0" xr:uid="{D7CDDEF1-85B9-4F0F-B85F-101FE755DD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6" authorId="0" shapeId="0" xr:uid="{1769585D-1E0F-449F-8465-5AD553BCA7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6" authorId="0" shapeId="0" xr:uid="{76D47F1C-640E-49F4-B189-44848F34D2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6" authorId="0" shapeId="0" xr:uid="{B83DE4BD-E1DA-43FE-853B-9EB260F431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6" authorId="0" shapeId="0" xr:uid="{CA36FFF3-9050-4BD0-AA4D-3F6A9A9F8C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6" authorId="0" shapeId="0" xr:uid="{20C8F7A2-9CE1-4711-9345-0BE1242183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7" authorId="0" shapeId="0" xr:uid="{874F4F1E-93F2-4EE1-A9EC-8D85052CBF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7" authorId="0" shapeId="0" xr:uid="{C991B890-1870-4DBB-A028-4D980A3B5C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7" authorId="0" shapeId="0" xr:uid="{3FAD86DD-E995-4BA2-948E-7675A54496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7" authorId="0" shapeId="0" xr:uid="{C09D66C6-8461-48F7-9BA7-0DAEDA4791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7" authorId="0" shapeId="0" xr:uid="{AD29947C-477D-4A08-AD51-0684F7E645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7" authorId="0" shapeId="0" xr:uid="{7E514161-D8C7-4BBC-A6CD-204DE6C9A5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7" authorId="0" shapeId="0" xr:uid="{1D3A72E1-3B64-48F3-A288-7821C04062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7" authorId="0" shapeId="0" xr:uid="{8FD9722F-68AB-4003-A2E1-DB2008088F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7" authorId="0" shapeId="0" xr:uid="{C5C274DB-B428-4E95-884F-22221D597D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7" authorId="0" shapeId="0" xr:uid="{E5BC9C08-5E91-4984-BB7D-5A06A29949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7" authorId="0" shapeId="0" xr:uid="{EB1B78D5-30C6-4B58-AFDB-8A54FAD2E5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7" authorId="0" shapeId="0" xr:uid="{CC6A7825-2542-42B6-B771-D35A38C84C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8" authorId="0" shapeId="0" xr:uid="{603E75D5-16AE-419C-9AC7-A7E400B911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8" authorId="0" shapeId="0" xr:uid="{F6EB07F8-B599-40E6-B4D1-3A53AC5A88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8" authorId="0" shapeId="0" xr:uid="{7F409273-B8BE-4B1B-B168-1FEFCFB9C8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8" authorId="0" shapeId="0" xr:uid="{3ED660B0-77CE-48FB-B37D-D82AE4088F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8" authorId="0" shapeId="0" xr:uid="{449CD333-ED80-4B55-8843-72B10ECDA9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8" authorId="0" shapeId="0" xr:uid="{7FE2598E-81B3-4062-BD26-6F57754E7E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78" authorId="0" shapeId="0" xr:uid="{0725480D-56BF-4847-A074-3128A4D449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78" authorId="0" shapeId="0" xr:uid="{146E63A2-DE03-475E-8A0F-FC86A12B0A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78" authorId="0" shapeId="0" xr:uid="{67CDE978-537E-4CD5-A4AF-A29298AEFA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78" authorId="0" shapeId="0" xr:uid="{3F5FFD26-542A-49C6-B9B6-631B0218CF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78" authorId="0" shapeId="0" xr:uid="{EF14294A-FEE6-40A2-915F-7EBE264E92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78" authorId="0" shapeId="0" xr:uid="{F9680409-B906-48AC-8EFF-C10A46D53B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1" authorId="0" shapeId="0" xr:uid="{EDAC482B-962F-4F18-A7BA-750EA5D11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1" authorId="0" shapeId="0" xr:uid="{031A53B5-0F68-45B9-AF2C-0B2E968816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1" authorId="0" shapeId="0" xr:uid="{4CB3B34D-504E-43C6-8BF7-8B81DBC54D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1" authorId="0" shapeId="0" xr:uid="{26AB3AC3-5D6E-4EF4-B3AD-A0B4916A59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1" authorId="0" shapeId="0" xr:uid="{FDB22DA8-D57F-43AB-B7A2-D7A6483BC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1" authorId="0" shapeId="0" xr:uid="{04DDAE6E-5BC7-47E6-9577-B9C6CF580C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1" authorId="0" shapeId="0" xr:uid="{5468F495-C4D7-4289-B9F2-D48F4E086B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1" authorId="0" shapeId="0" xr:uid="{7A7DB8E3-CA81-4C65-B25C-ECB00F7197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1" authorId="0" shapeId="0" xr:uid="{8174F88F-AAED-4C68-90E5-2B3B07CF15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1" authorId="0" shapeId="0" xr:uid="{4225B364-D404-4EBA-B141-A19DA1D3BC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1" authorId="0" shapeId="0" xr:uid="{9EAB296B-3FFA-4DF3-B597-7088C4061E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1" authorId="0" shapeId="0" xr:uid="{EC33EA7D-36DB-4199-8DA3-A89D9149747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2" authorId="0" shapeId="0" xr:uid="{B574E79F-79AE-476A-ADAE-278FC5BB4D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2" authorId="0" shapeId="0" xr:uid="{C7E4C7BF-9C55-4BC3-A3CB-9B37E6FE70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2" authorId="0" shapeId="0" xr:uid="{99ADA1BC-998E-4E97-B5D7-56299C88E4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2" authorId="0" shapeId="0" xr:uid="{6566B3E1-A36F-448C-ACB1-E0F1D58EA0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2" authorId="0" shapeId="0" xr:uid="{04A93FEC-91C5-4CA2-8A35-FDA2CDC7EB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2" authorId="0" shapeId="0" xr:uid="{11345E9E-1870-4A84-99D4-5AA7F16C0C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2" authorId="0" shapeId="0" xr:uid="{55DD0ECB-726B-4189-ACBD-3AD6A3467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2" authorId="0" shapeId="0" xr:uid="{49C6E08B-55C9-4340-B338-2631144D25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2" authorId="0" shapeId="0" xr:uid="{B90E9A3E-B66D-4FBB-9397-A3B5F8516B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2" authorId="0" shapeId="0" xr:uid="{DEE48930-B616-4B20-8938-2742D51357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2" authorId="0" shapeId="0" xr:uid="{B4E49F1E-1AE6-423E-BBFA-CB217066AD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2" authorId="0" shapeId="0" xr:uid="{5C2EEE7D-B7DA-44A0-AF59-D751922824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3" authorId="0" shapeId="0" xr:uid="{4494D1A9-9B9C-40C2-B6DE-7F375817E0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3" authorId="0" shapeId="0" xr:uid="{8CECA808-1D17-4ECB-9F9E-DE76F1EC18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3" authorId="0" shapeId="0" xr:uid="{FC7071BA-2D82-4C2E-A0E1-01522D811F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3" authorId="0" shapeId="0" xr:uid="{6D35675D-5814-4B43-AB73-FEFFDBFCC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3" authorId="0" shapeId="0" xr:uid="{B9873F72-3A20-4F44-95AF-122B9F23BE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3" authorId="0" shapeId="0" xr:uid="{8891A2D6-C0D9-4D8E-A211-D4B1C6816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3" authorId="0" shapeId="0" xr:uid="{E464BE29-DEFF-4BA3-A17E-CBC1B5F8E6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3" authorId="0" shapeId="0" xr:uid="{E59E3BB4-BA86-4884-99F6-5A1A6C2C64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3" authorId="0" shapeId="0" xr:uid="{DA323133-4DD9-425E-84D6-F9D312F3C3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3" authorId="0" shapeId="0" xr:uid="{0164517D-91FE-486C-B95B-EF551AE107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83" authorId="0" shapeId="0" xr:uid="{0C013E2B-71C0-4963-827D-90728C412B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83" authorId="0" shapeId="0" xr:uid="{A5B05B2D-403E-40D6-AA8E-B46B6CD2A8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4" authorId="0" shapeId="0" xr:uid="{36556CC9-56D2-47B8-AB25-F4226A0833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4" authorId="0" shapeId="0" xr:uid="{ED3D266C-34F1-4212-8E13-C238951E59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4" authorId="0" shapeId="0" xr:uid="{4C5CC5C1-E21D-4C9B-AD69-CABC56BCC2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4" authorId="0" shapeId="0" xr:uid="{DE5AFB47-7112-46D5-BC7B-D7E7C2F077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4" authorId="0" shapeId="0" xr:uid="{E19D1910-D725-4B66-8D22-F4A5DF4BF9A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4" authorId="0" shapeId="0" xr:uid="{FD440791-7E39-4445-A441-B72955D79F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4" authorId="0" shapeId="0" xr:uid="{4857E227-17BC-499A-9658-CA26DEAFFA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4" authorId="0" shapeId="0" xr:uid="{D55648B8-3930-489E-ABAE-4BE7AC0821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4" authorId="0" shapeId="0" xr:uid="{C760ED35-5BE5-432B-900F-7BCD14BB18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4" authorId="0" shapeId="0" xr:uid="{C5CF2EDC-AFE9-4DDF-920C-8C70647ED6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4" authorId="0" shapeId="0" xr:uid="{8E3D935F-0380-44EE-A539-6B442BDC01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4" authorId="0" shapeId="0" xr:uid="{78737D77-8F5C-41F1-A5E2-D891019933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5" authorId="0" shapeId="0" xr:uid="{0B0DF4A5-7BFB-4CF6-9C88-A68475A1F6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5" authorId="0" shapeId="0" xr:uid="{A821AEF6-32FB-4E99-BA9F-3FCBB30789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5" authorId="0" shapeId="0" xr:uid="{0C0B5E2D-1558-4FD9-BBE8-48EE695458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5" authorId="0" shapeId="0" xr:uid="{0ACB0F3A-6860-436A-96BD-F119602D04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5" authorId="0" shapeId="0" xr:uid="{E4CE2FB8-C4CF-4E39-BF69-FF4142F889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5" authorId="0" shapeId="0" xr:uid="{8F0FEDAE-716F-435C-AF8F-4F112996BB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5" authorId="0" shapeId="0" xr:uid="{AEA2FBE2-F0A3-478B-BA9F-4FA02E27DA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5" authorId="0" shapeId="0" xr:uid="{F4761DCE-56DC-489B-8B17-8809650A9F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5" authorId="0" shapeId="0" xr:uid="{19D7E352-1007-4DDF-8AA8-65EFC9AFC3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5" authorId="0" shapeId="0" xr:uid="{59E58163-BA2C-4BEF-AC06-2CEA188456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5" authorId="0" shapeId="0" xr:uid="{1A59D331-AC0B-41EA-ABFB-46935DD1F4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5" authorId="0" shapeId="0" xr:uid="{95D1E838-CAD9-4DDA-B7C6-3C94D86258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6" authorId="0" shapeId="0" xr:uid="{E8C5876E-6828-4A2B-A8EC-17A55CA4DC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6" authorId="0" shapeId="0" xr:uid="{E698D3E8-4F98-46FF-8B69-6754B7A396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6" authorId="0" shapeId="0" xr:uid="{D5EE36C7-493D-4EFE-8A59-EE9DA8D1B1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6" authorId="0" shapeId="0" xr:uid="{90930101-B6CF-404F-8AFB-CC4B2D7CDB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6" authorId="0" shapeId="0" xr:uid="{14A2C46F-4979-4103-8D04-C6DF25D6EA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6" authorId="0" shapeId="0" xr:uid="{22AAEAFE-D9BF-4103-8BFE-8628B664BF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6" authorId="0" shapeId="0" xr:uid="{E403F7D7-A74C-48F9-B307-0E6958C1A7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6" authorId="0" shapeId="0" xr:uid="{EB02C4A3-67CE-44FB-B502-EA26E9F379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6" authorId="0" shapeId="0" xr:uid="{989914F2-B13D-4D5A-9813-7CD069D9AC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6" authorId="0" shapeId="0" xr:uid="{09AB55AA-4C03-4B62-BBF3-BED0E1C473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6" authorId="0" shapeId="0" xr:uid="{4C810A86-D8DE-4AA1-93D0-AF82B4490A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6" authorId="0" shapeId="0" xr:uid="{54D86DB2-FD0C-4ECB-96B3-679883688A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7" authorId="0" shapeId="0" xr:uid="{5E0C2C0C-4611-4223-947E-629F6115E5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7" authorId="0" shapeId="0" xr:uid="{D485DA85-8C11-49FA-8E6C-D70FC241AB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87" authorId="0" shapeId="0" xr:uid="{D8A019DD-07AA-4B9F-B83A-61BAEB1462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7" authorId="0" shapeId="0" xr:uid="{505A2EDF-E029-475F-994D-5F738A80A8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7" authorId="0" shapeId="0" xr:uid="{5FCE85D5-B1BA-4680-A52D-A635FA17E4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7" authorId="0" shapeId="0" xr:uid="{F672E28C-1E7F-4686-92AF-84C5CA42F7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7" authorId="0" shapeId="0" xr:uid="{40A4D0C2-9761-4BDF-B39D-B454BB23ED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7" authorId="0" shapeId="0" xr:uid="{368C732D-D0AE-43BD-9460-6834878C6B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7" authorId="0" shapeId="0" xr:uid="{1E3566C6-202B-4D8B-A630-99524A6431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7" authorId="0" shapeId="0" xr:uid="{F1678A0A-8D2F-4FE0-87BE-91FD529376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7" authorId="0" shapeId="0" xr:uid="{D3EC0D83-B70A-43AD-9109-32DFCF6D5C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7" authorId="0" shapeId="0" xr:uid="{F79FE7B6-9DB6-48A8-A5D4-6E233FFF3C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8" authorId="0" shapeId="0" xr:uid="{8934CF73-676D-4A63-97F8-304B17A545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8" authorId="0" shapeId="0" xr:uid="{90B7055D-1645-4DE3-A73E-0D83A34BE5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8" authorId="0" shapeId="0" xr:uid="{9EF1354E-822A-4CB5-8E7E-7872BF42A4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8" authorId="0" shapeId="0" xr:uid="{6BD852B6-3C42-4C35-A1E3-FAE61FE409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8" authorId="0" shapeId="0" xr:uid="{18D73FB3-B44E-477D-A088-A6ED19E192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8" authorId="0" shapeId="0" xr:uid="{358BA571-D84E-4CCC-98E9-E7100F8C5D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8" authorId="0" shapeId="0" xr:uid="{ABF9DD35-E8B3-47D1-ABB7-807C50F185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8" authorId="0" shapeId="0" xr:uid="{DD9B3FAE-FC1C-4D6E-99A6-D80D2C6B21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8" authorId="0" shapeId="0" xr:uid="{4F7A9DFE-813A-4926-A563-BE19503F6D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8" authorId="0" shapeId="0" xr:uid="{20E3CE37-0054-45FD-A05A-55401ABDB3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8" authorId="0" shapeId="0" xr:uid="{1DE33FFD-371B-445B-8B99-ADC8D4B9D5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8" authorId="0" shapeId="0" xr:uid="{5B869DC7-3EA3-45F6-8F88-55AEEA2155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9" authorId="0" shapeId="0" xr:uid="{D03AE4C8-1CC3-4003-A66E-BF8F292A26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9" authorId="0" shapeId="0" xr:uid="{A9B14D77-8E3A-4C55-BEA5-E778C8AAF9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9" authorId="0" shapeId="0" xr:uid="{6B082E8D-E815-475B-8850-A6BDA22636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9" authorId="0" shapeId="0" xr:uid="{9FA14287-060A-4B03-8C2A-35F813982F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9" authorId="0" shapeId="0" xr:uid="{77F6428E-B643-4B67-98D8-3309B004A3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9" authorId="0" shapeId="0" xr:uid="{E56DB514-CFEC-45F9-8EB7-AA973D0A5E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89" authorId="0" shapeId="0" xr:uid="{C5C8B7FD-9933-4E66-8155-9C3001B706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89" authorId="0" shapeId="0" xr:uid="{EE09AA47-83E7-47CC-A9FE-FAFD5F782A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89" authorId="0" shapeId="0" xr:uid="{3E1FA74E-1B0A-4795-9F81-192136676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89" authorId="0" shapeId="0" xr:uid="{A2D51DA4-94CE-4962-AAC2-4893A099B1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89" authorId="0" shapeId="0" xr:uid="{C4A57F60-A648-4D8B-8828-42E6C2866C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89" authorId="0" shapeId="0" xr:uid="{4C3D37B8-0745-485B-A558-0D6D56E53F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2" authorId="0" shapeId="0" xr:uid="{8CC289C6-DCAB-44E6-AE80-9337C64D36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2" authorId="0" shapeId="0" xr:uid="{A38E10AB-A633-4384-B423-56A0134FD9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2" authorId="0" shapeId="0" xr:uid="{F69CF589-31A1-4DF9-9887-7F107EE228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2" authorId="0" shapeId="0" xr:uid="{DD354B3D-210A-4CDF-804C-0C2BA1470A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2" authorId="0" shapeId="0" xr:uid="{BF08B0EC-F041-43DF-A428-FFD33EFDAD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2" authorId="0" shapeId="0" xr:uid="{5E26D27F-4871-4545-BC68-19C1D09286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2" authorId="0" shapeId="0" xr:uid="{E5A6E0D3-85B7-4EFC-8346-96490EA57A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2" authorId="0" shapeId="0" xr:uid="{59D618AE-1A4D-42FA-8C68-2B66A2604F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2" authorId="0" shapeId="0" xr:uid="{CC23F9FA-8250-4064-8C99-4AD085213B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2" authorId="0" shapeId="0" xr:uid="{BD6E5056-0500-4876-AD7C-FAD30EFF18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2" authorId="0" shapeId="0" xr:uid="{190F5521-70F9-4EC5-B1F2-0DE42C4831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2" authorId="0" shapeId="0" xr:uid="{0347CCC5-0E8D-499A-9461-B6958BCB78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3" authorId="0" shapeId="0" xr:uid="{39AB60FC-D1C6-43E3-AB57-8271E9AE78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3" authorId="0" shapeId="0" xr:uid="{E4BE4EBC-4FDF-4298-B85D-2245AAD9A0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3" authorId="0" shapeId="0" xr:uid="{4ADB1723-AF8C-4EE0-946D-6AD052D98B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3" authorId="0" shapeId="0" xr:uid="{697BF30E-40B2-4AF8-AB65-AE93C2E9C9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3" authorId="0" shapeId="0" xr:uid="{4DACC692-0833-49C8-9004-F2DB0D4337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3" authorId="0" shapeId="0" xr:uid="{93970B8A-14F3-41FD-8E04-54884F2B08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3" authorId="0" shapeId="0" xr:uid="{612F03B4-0286-448A-8014-BB35E39113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3" authorId="0" shapeId="0" xr:uid="{6CC28D68-8738-43DA-9135-56CECEA16E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3" authorId="0" shapeId="0" xr:uid="{F28EBBD9-3C57-43DF-9E8A-DF50EBDAA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3" authorId="0" shapeId="0" xr:uid="{68FE6EEC-911D-47C8-99C7-D6E97D36E0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3" authorId="0" shapeId="0" xr:uid="{3738C510-EA50-48CC-8775-71FBCF0702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3" authorId="0" shapeId="0" xr:uid="{E76B0226-0F7F-4B22-BE0A-7B112E05AF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4" authorId="0" shapeId="0" xr:uid="{297BA62F-D05A-463C-9CCA-6E1E2D5D96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4" authorId="0" shapeId="0" xr:uid="{C5E0F056-06FA-4264-AC1D-87F1F75B08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4" authorId="0" shapeId="0" xr:uid="{8AF4BEED-8B21-4DAE-BC94-EE4A425168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4" authorId="0" shapeId="0" xr:uid="{FA97238A-77F6-4043-B9CD-36EDE7F449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4" authorId="0" shapeId="0" xr:uid="{7B91BA4E-81E6-4BA2-A927-5A1D51DD14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4" authorId="0" shapeId="0" xr:uid="{B61EAD33-6E25-4AD9-B89A-1DC9A48105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4" authorId="0" shapeId="0" xr:uid="{05D5700B-8CF7-46A1-9C4D-F814CB32A5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4" authorId="0" shapeId="0" xr:uid="{C1EE9571-071F-4EB8-8A2A-82869A2E63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4" authorId="0" shapeId="0" xr:uid="{E08EC4A8-20E8-4A14-A728-8E3D0AA135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4" authorId="0" shapeId="0" xr:uid="{921052E8-9A6C-4F37-A532-3D12B79D5B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194" authorId="0" shapeId="0" xr:uid="{0B96B505-A074-426B-B2B4-DCA72DE500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194" authorId="0" shapeId="0" xr:uid="{8C5AD86F-415E-4029-8FF3-EFB32FAE19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5" authorId="0" shapeId="0" xr:uid="{B5E05B7D-25DF-44E9-8445-2AA8E60EA9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5" authorId="0" shapeId="0" xr:uid="{9434A709-0FF4-4D40-902C-55F7FF539E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5" authorId="0" shapeId="0" xr:uid="{48A1B4EF-BC7E-4097-958B-00E422F51F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5" authorId="0" shapeId="0" xr:uid="{C632D795-31D1-42B5-A02E-A05039C8A2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5" authorId="0" shapeId="0" xr:uid="{6352045B-6973-443F-A64A-7383E1419D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5" authorId="0" shapeId="0" xr:uid="{AA35C4E7-5E38-441C-A0AC-2612746E3D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5" authorId="0" shapeId="0" xr:uid="{A89F223E-3743-4B2F-A983-49D1B44FF9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5" authorId="0" shapeId="0" xr:uid="{B4A3EBA1-9F3E-4A21-9DA7-B7E3C94C4C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5" authorId="0" shapeId="0" xr:uid="{695885FC-5009-4619-82DA-EE934BBC71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5" authorId="0" shapeId="0" xr:uid="{6993E96B-1FCA-4A20-81E3-4DD2001B95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5" authorId="0" shapeId="0" xr:uid="{EE561E17-6ED9-450F-8526-C627D79B7D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5" authorId="0" shapeId="0" xr:uid="{89B924FB-CB89-4910-BB8E-4DB34D175A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6" authorId="0" shapeId="0" xr:uid="{C582EC7F-DDA8-446D-9950-57C95A5945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6" authorId="0" shapeId="0" xr:uid="{B2C806F8-5E82-475E-8664-8C26E4C1F1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6" authorId="0" shapeId="0" xr:uid="{54B7A1E9-CBC5-4DCD-9D97-36EA0700AE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6" authorId="0" shapeId="0" xr:uid="{F7CF7FA6-CC56-4C7D-98F3-87E70C9797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6" authorId="0" shapeId="0" xr:uid="{896B7E9A-BE51-41A1-9351-37A5A67C7F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6" authorId="0" shapeId="0" xr:uid="{7CB0CC54-5BF2-40FB-B421-1676564897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6" authorId="0" shapeId="0" xr:uid="{611D859A-A90C-4D52-AFC6-BC389DA3B0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6" authorId="0" shapeId="0" xr:uid="{0A773EDB-18C6-465B-9AEC-FA85F8AA29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6" authorId="0" shapeId="0" xr:uid="{DDAB871C-1431-4430-BF8F-2855C180F8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6" authorId="0" shapeId="0" xr:uid="{D56C04F5-8CB0-424B-A1D0-81028348F2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6" authorId="0" shapeId="0" xr:uid="{5968E316-E779-4FEB-B291-09DECECDDD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6" authorId="0" shapeId="0" xr:uid="{97462624-7301-409C-B129-8E1E3CFE5E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7" authorId="0" shapeId="0" xr:uid="{F7DE5018-5011-4A00-B9F0-E99FCFBEBF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7" authorId="0" shapeId="0" xr:uid="{2C33A374-422E-4FE3-9D1B-8A5FCFE00D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7" authorId="0" shapeId="0" xr:uid="{30D8B98E-7BFE-4D71-BE11-EF106E2628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7" authorId="0" shapeId="0" xr:uid="{94C26BD3-31F6-41C3-AD34-DFE9A1DAFD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7" authorId="0" shapeId="0" xr:uid="{91BE80C0-CB56-4473-8852-F4CF1167C1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7" authorId="0" shapeId="0" xr:uid="{AF59DE6C-9150-4EE6-8EDF-CE1C3002DF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7" authorId="0" shapeId="0" xr:uid="{EB74BBE0-1951-41E2-96D7-AA3F3EC842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7" authorId="0" shapeId="0" xr:uid="{F7B26D4E-0234-48F2-A039-39530FB408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7" authorId="0" shapeId="0" xr:uid="{927BB92B-D90E-48C5-8349-03B0801DB9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7" authorId="0" shapeId="0" xr:uid="{E0CD61F2-A4F9-45A7-8497-248A662B64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7" authorId="0" shapeId="0" xr:uid="{4B5E3411-819A-41CF-BF9D-34AA2E1F00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7" authorId="0" shapeId="0" xr:uid="{AB24E195-06FD-4C75-A0F6-1E89777AA5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8" authorId="0" shapeId="0" xr:uid="{09B33EDE-0A45-42D9-91B6-64DD5B3136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8" authorId="0" shapeId="0" xr:uid="{00F2F0C4-76C9-4017-883B-3EAB6CDAF9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8" authorId="0" shapeId="0" xr:uid="{504D680B-AE49-4A24-9A9C-454032F227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8" authorId="0" shapeId="0" xr:uid="{E6D57A70-D06A-44D4-AAA5-AEE026E128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8" authorId="0" shapeId="0" xr:uid="{65EDEA12-317D-46B2-9571-035E029AF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8" authorId="0" shapeId="0" xr:uid="{F2711592-8FA0-4662-A4D6-1239C3B197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8" authorId="0" shapeId="0" xr:uid="{79A8732F-A315-4EB5-92B6-E27DAE5D59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8" authorId="0" shapeId="0" xr:uid="{8C069D06-2EDF-48A1-88FD-EEF2F0ABAA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8" authorId="0" shapeId="0" xr:uid="{518BAEDD-5D84-4AD1-8F9F-4C130734ED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8" authorId="0" shapeId="0" xr:uid="{B9F4AA3B-5E49-497F-A069-F8CAAB999C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8" authorId="0" shapeId="0" xr:uid="{BD71C575-658F-4D8C-8FF5-EC10882C7C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8" authorId="0" shapeId="0" xr:uid="{E361B4A0-1986-4CD7-8E2D-735B4D5013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9" authorId="0" shapeId="0" xr:uid="{7D83800D-437D-418C-847E-27FCB6AAAE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9" authorId="0" shapeId="0" xr:uid="{E0C59939-C2D3-443A-A5DD-22F61810F4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9" authorId="0" shapeId="0" xr:uid="{5E045E60-9837-42B3-AFA2-47AC18D266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9" authorId="0" shapeId="0" xr:uid="{037DF5CA-ED58-48AA-BA14-511F99015D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9" authorId="0" shapeId="0" xr:uid="{5E09834E-27D2-47C3-8D10-D8E4BDD46E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9" authorId="0" shapeId="0" xr:uid="{79D4DD83-59E4-4160-8D2A-AB27652A1C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199" authorId="0" shapeId="0" xr:uid="{3F00A464-D922-4EFB-92AC-BFFCF9BA5F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199" authorId="0" shapeId="0" xr:uid="{88C778C6-097F-4057-A30E-304ED57863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199" authorId="0" shapeId="0" xr:uid="{510F29EB-4F16-4E7B-B09E-B6752C1C02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199" authorId="0" shapeId="0" xr:uid="{1DF5FC24-8DDF-44FE-B430-CA9FB37E29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199" authorId="0" shapeId="0" xr:uid="{E8752FBD-49A7-4A86-860B-C0AD9339F6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199" authorId="0" shapeId="0" xr:uid="{8739131A-7F32-4E10-AA1A-D1CB19E807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0" authorId="0" shapeId="0" xr:uid="{3265C89B-0C18-42CF-B08F-ED46CC84BD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0" authorId="0" shapeId="0" xr:uid="{032FD484-8756-4DA5-9ECE-15857E70B6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0" authorId="0" shapeId="0" xr:uid="{C72BD59F-F97D-4BFE-8B10-4312D86CBE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0" authorId="0" shapeId="0" xr:uid="{1AACCD8C-4CC4-4B7A-8931-8FB4CA2345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0" authorId="0" shapeId="0" xr:uid="{A84EC391-8B1D-4AA7-B548-C7BF6F7E5E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0" authorId="0" shapeId="0" xr:uid="{6EAD8DEE-67F4-4C89-A784-A71E5A84D0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0" authorId="0" shapeId="0" xr:uid="{8D86E82D-8E62-4BB9-97C6-D3AFBF56F4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00" authorId="0" shapeId="0" xr:uid="{9B9F26FA-EA93-4926-B8DA-85E2999F8A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00" authorId="0" shapeId="0" xr:uid="{D3510135-EA3A-4CA8-BC56-819EDD003B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00" authorId="0" shapeId="0" xr:uid="{DBE13661-3624-4618-B823-FA129099A7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0" authorId="0" shapeId="0" xr:uid="{6DC1BED2-BE17-4E6C-9676-4442E384A1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0" authorId="0" shapeId="0" xr:uid="{3EA27BB7-F5C4-4AED-904E-8C9D14F87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3" authorId="0" shapeId="0" xr:uid="{C08BDD57-37C5-489F-9F60-0190D57B55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3" authorId="0" shapeId="0" xr:uid="{C39C4D01-C78E-4DC7-BFF0-20C1CCB57A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3" authorId="0" shapeId="0" xr:uid="{B61062E0-7D34-4246-9ECA-273DDADDF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3" authorId="0" shapeId="0" xr:uid="{8972E1F3-1D08-4C79-87D0-2D4801F6E0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3" authorId="0" shapeId="0" xr:uid="{4C829903-0ACC-4FF1-88FF-31B46E214A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3" authorId="0" shapeId="0" xr:uid="{F4E46F11-640B-40A2-83B5-AD6DBDCFEE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3" authorId="0" shapeId="0" xr:uid="{CB626CC2-CC7D-4E87-B9D8-BF19CF82A1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3" authorId="0" shapeId="0" xr:uid="{A4E5596C-8F63-40B7-A210-C00120AA82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3" authorId="0" shapeId="0" xr:uid="{701A4BE2-8970-4B95-8B51-E59B25AAE1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3" authorId="0" shapeId="0" xr:uid="{9FB783BD-B0F5-4117-846D-5B5756C135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3" authorId="0" shapeId="0" xr:uid="{D5FD0001-7561-4270-B3D2-204E2D4114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3" authorId="0" shapeId="0" xr:uid="{691C5076-22CB-4C3F-BA6B-D7C7E055F2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4" authorId="0" shapeId="0" xr:uid="{D267D43B-F6FD-4043-89FB-11BA0B4830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4" authorId="0" shapeId="0" xr:uid="{9A64D505-B6B0-462E-8398-7A63B9511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4" authorId="0" shapeId="0" xr:uid="{ED61D0F1-F6A1-4010-A4EE-ADCAEAF7E0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4" authorId="0" shapeId="0" xr:uid="{921E5BDB-406A-4F6F-9E9A-C0C2164349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4" authorId="0" shapeId="0" xr:uid="{54841C1D-DA7A-47CB-AC93-4934793BD4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4" authorId="0" shapeId="0" xr:uid="{0732CAA4-06E5-4C5F-B5E5-2F2C03576C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4" authorId="0" shapeId="0" xr:uid="{27B8FE22-6FB6-4B26-9FF8-8EE77A15E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4" authorId="0" shapeId="0" xr:uid="{D1D55471-6ED1-41A6-8F01-79CCDE31A6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4" authorId="0" shapeId="0" xr:uid="{B4FF3DFA-21CD-4567-B9F0-3E587FB24B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4" authorId="0" shapeId="0" xr:uid="{D0DB9828-5DB5-4D2A-B570-0DD187A2F7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4" authorId="0" shapeId="0" xr:uid="{85D7B7AA-F07F-42FF-A232-A931D92EB5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4" authorId="0" shapeId="0" xr:uid="{5186464B-290B-4177-BBDB-0ED6DC7DD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5" authorId="0" shapeId="0" xr:uid="{73812496-3EA6-4960-8360-AA53BF4F30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5" authorId="0" shapeId="0" xr:uid="{9A5E4BD0-617E-4D47-98F5-CCD7C60494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5" authorId="0" shapeId="0" xr:uid="{65C8A018-F6E2-48CB-8EEE-5DE9840763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5" authorId="0" shapeId="0" xr:uid="{1581C765-AF78-4075-A6A1-FDC6DEF1BD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5" authorId="0" shapeId="0" xr:uid="{E091C563-9DC2-4941-95B8-F56F45C650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5" authorId="0" shapeId="0" xr:uid="{210EF33A-AB26-4ED3-8E8C-11F4347096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5" authorId="0" shapeId="0" xr:uid="{44D28602-9B6D-430C-8EC9-E9BF70A949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5" authorId="0" shapeId="0" xr:uid="{99529D58-3AFC-457B-AE54-427232F67E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5" authorId="0" shapeId="0" xr:uid="{AAFBEDF0-E9EA-451B-9F3D-4758738661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5" authorId="0" shapeId="0" xr:uid="{E908EF7D-50A7-4260-9EDA-52A784D7B1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L205" authorId="0" shapeId="0" xr:uid="{5E17D4C1-1DCC-4F92-B6BC-93FA66686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M205" authorId="0" shapeId="0" xr:uid="{39925589-9057-4E27-A056-907079DD56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6" authorId="0" shapeId="0" xr:uid="{69F18E5D-5935-4BE3-97FE-F66115E75C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6" authorId="0" shapeId="0" xr:uid="{9B3DD338-FFE8-4E44-A9E5-0EA4CFD67E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6" authorId="0" shapeId="0" xr:uid="{694E37BD-848E-4AD1-AF61-6795FA40DF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6" authorId="0" shapeId="0" xr:uid="{BE3D2004-6728-4C13-B1F8-BE11EEDFC3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6" authorId="0" shapeId="0" xr:uid="{0B6250E7-00C5-4852-8401-B93E243F72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6" authorId="0" shapeId="0" xr:uid="{FB501BE9-FA85-4669-BBDF-97F9DCB4C9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6" authorId="0" shapeId="0" xr:uid="{7BEC19DB-9C4E-4469-B2E0-51E1188D1C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6" authorId="0" shapeId="0" xr:uid="{69278E36-BEC0-44BA-9DFE-27CF02EC11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6" authorId="0" shapeId="0" xr:uid="{C8F60E2D-62DD-4BBA-AB1F-08DFCA0244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6" authorId="0" shapeId="0" xr:uid="{3F957392-F134-4E8F-847D-6782C360AD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6" authorId="0" shapeId="0" xr:uid="{C7BCF917-7F70-4D7A-8F20-9E1D293323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6" authorId="0" shapeId="0" xr:uid="{557F3E5A-4C6B-4F75-8185-7D9C38A2C0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7" authorId="0" shapeId="0" xr:uid="{8BBE8779-D156-4721-B504-B840567B01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7" authorId="0" shapeId="0" xr:uid="{1377150D-EB93-455A-A084-7FA1598B48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7" authorId="0" shapeId="0" xr:uid="{57160F2B-1CC9-4098-BF80-D7DE0D1DC6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7" authorId="0" shapeId="0" xr:uid="{AD15CBD7-6410-410F-A13D-C8B46CF68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7" authorId="0" shapeId="0" xr:uid="{D4A10B02-4327-40E6-87DF-61ABBD468B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7" authorId="0" shapeId="0" xr:uid="{DC7052B4-1B06-484A-AC7B-CCAEFEDF9B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7" authorId="0" shapeId="0" xr:uid="{1EEDBB62-0889-4241-AC63-12511E5BBC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7" authorId="0" shapeId="0" xr:uid="{34B09F4D-26A4-46D5-B3F2-730EB555B9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07" authorId="0" shapeId="0" xr:uid="{4FB9A4DB-0F30-4EDC-96D0-296692F13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07" authorId="0" shapeId="0" xr:uid="{F675962B-BF3B-4C32-A854-0E3B4C6330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7" authorId="0" shapeId="0" xr:uid="{8966A64E-03BC-40A1-BB82-6F5D05D981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7" authorId="0" shapeId="0" xr:uid="{4AEE8C9A-E1B2-4751-943B-29D48E1BDA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8" authorId="0" shapeId="0" xr:uid="{1514A1FA-3D56-405C-A1FB-1C1815D7A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8" authorId="0" shapeId="0" xr:uid="{78A1541A-7E4B-4589-B60F-06BD806499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8" authorId="0" shapeId="0" xr:uid="{17349E79-E2B7-44AC-AE02-232C8EFA00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8" authorId="0" shapeId="0" xr:uid="{71267982-23A9-47FB-8E43-55EF32448A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8" authorId="0" shapeId="0" xr:uid="{AF79B42B-88AA-442A-BC2D-2B1B810140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8" authorId="0" shapeId="0" xr:uid="{6D098E11-EE18-427F-9762-66B926D22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8" authorId="0" shapeId="0" xr:uid="{EBCDDA89-2744-4840-B40B-83B1D1B4E5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08" authorId="0" shapeId="0" xr:uid="{15944B36-AB91-4FC3-8CA5-B4D7AA8F75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08" authorId="0" shapeId="0" xr:uid="{6228CC64-8F7C-4B5C-A2E4-A083440852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08" authorId="0" shapeId="0" xr:uid="{C7E9674A-1480-4B56-AAC4-E77F255FC4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8" authorId="0" shapeId="0" xr:uid="{ACE9CF4B-049A-40CA-8C0E-A838BB4693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8" authorId="0" shapeId="0" xr:uid="{121EB4E4-AAC3-4F3C-86DC-9E747368C2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9" authorId="0" shapeId="0" xr:uid="{06562820-A995-4BBA-B8AB-A87961174C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9" authorId="0" shapeId="0" xr:uid="{B72F6735-E94C-4E09-AE92-B1D418D91C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9" authorId="0" shapeId="0" xr:uid="{99B831E0-9B31-47AB-AB47-CCACFDC5AD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9" authorId="0" shapeId="0" xr:uid="{8AD5B57F-AC0C-4F20-BD36-1998F3261F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9" authorId="0" shapeId="0" xr:uid="{0FAF9FAB-5DEB-49FC-AE4B-72FE720C74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9" authorId="0" shapeId="0" xr:uid="{87EF0A03-1CE9-4591-B9B1-4B42277093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09" authorId="0" shapeId="0" xr:uid="{AE5C61E2-EB10-4DCA-89B6-40782F6919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09" authorId="0" shapeId="0" xr:uid="{E13A2BDA-212E-4F22-931E-500447A156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09" authorId="0" shapeId="0" xr:uid="{626F6D09-B300-4414-9F6F-D5DF4B11DD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09" authorId="0" shapeId="0" xr:uid="{5D7B3DD6-D561-4949-AC78-C98F995A62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09" authorId="0" shapeId="0" xr:uid="{3066FE4B-7F7F-4612-8E8B-24EC256D52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09" authorId="0" shapeId="0" xr:uid="{4AE5DDF1-5746-48CE-A4D3-A1F2132202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0" authorId="0" shapeId="0" xr:uid="{B94340C6-AE5B-48E6-BBAA-2DCC5B3CCB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10" authorId="0" shapeId="0" xr:uid="{ECED5015-9F0A-4A29-B760-75A687270B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0" authorId="0" shapeId="0" xr:uid="{7F0A121F-4B36-4693-9432-0DEBB7DA60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0" authorId="0" shapeId="0" xr:uid="{B4F01F3D-87B5-4EC9-92B7-4C440A9266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0" authorId="0" shapeId="0" xr:uid="{BF873B9C-B5BF-48AD-B704-01CC8FD036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0" authorId="0" shapeId="0" xr:uid="{0EF3744F-6D10-4F26-8CF6-3B9ED5939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0" authorId="0" shapeId="0" xr:uid="{6C311A76-1D31-40EF-89B0-A16CFF1850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0" authorId="0" shapeId="0" xr:uid="{43277245-8CDF-4CE4-A9FB-C422827B73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0" authorId="0" shapeId="0" xr:uid="{B156BBB4-7987-4067-955A-659854F207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0" authorId="0" shapeId="0" xr:uid="{9CFA231A-FF10-442B-BE0F-EDC2E25F34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0" authorId="0" shapeId="0" xr:uid="{60ACA2B4-0221-43FA-AA66-A2AFB7A90E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10" authorId="0" shapeId="0" xr:uid="{96690FF1-EFE3-4515-9908-072A730762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1" authorId="0" shapeId="0" xr:uid="{9CCE6B06-FB32-4C34-A06E-25A54F3700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1" authorId="0" shapeId="0" xr:uid="{643CC919-90E5-46CB-9374-284F3D78A7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1" authorId="0" shapeId="0" xr:uid="{4FCEE165-C3B8-46EE-8245-EE8D4D456F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1" authorId="0" shapeId="0" xr:uid="{5CA77F28-D5D0-4E3D-A078-6C559D36AC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1" authorId="0" shapeId="0" xr:uid="{D81592D7-84B5-4699-880F-7433954560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1" authorId="0" shapeId="0" xr:uid="{494F406F-792F-4131-B858-36097F580A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H211" authorId="0" shapeId="0" xr:uid="{4F3B3AD7-B34A-4140-8A67-E7601A44FB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I211" authorId="0" shapeId="0" xr:uid="{A18C56CD-583B-4F76-8886-706EF13570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J211" authorId="0" shapeId="0" xr:uid="{9A9ADB9A-C327-4024-B59E-46609CD54B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K211" authorId="0" shapeId="0" xr:uid="{C469808C-BE1F-4818-8A79-D991C7E8D0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L211" authorId="0" shapeId="0" xr:uid="{A7447A13-F921-498F-B076-3098D65824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M211" authorId="0" shapeId="0" xr:uid="{72EF6688-58D5-4E74-A335-E4448729D2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<sst xmlns="http://schemas.openxmlformats.org/spreadsheetml/2006/main" count="1443" uniqueCount="198">
  <si>
    <t>Distribution centers</t>
  </si>
  <si>
    <t>Customer Locations</t>
  </si>
  <si>
    <t>Sangvi</t>
  </si>
  <si>
    <t>Rai</t>
  </si>
  <si>
    <t>Gokul</t>
  </si>
  <si>
    <t>Chennai</t>
  </si>
  <si>
    <t>Mysore</t>
  </si>
  <si>
    <t>Hyderabad</t>
  </si>
  <si>
    <t>Haryana</t>
  </si>
  <si>
    <t>Tirupathi</t>
  </si>
  <si>
    <t>Bangalore</t>
  </si>
  <si>
    <t>Total Distributed</t>
  </si>
  <si>
    <t>Truck Capacity</t>
  </si>
  <si>
    <t>Weekly Demand</t>
  </si>
  <si>
    <t>Capacity</t>
  </si>
  <si>
    <t>&gt;=</t>
  </si>
  <si>
    <t>&lt;=</t>
  </si>
  <si>
    <t>Objective function</t>
  </si>
  <si>
    <t>Minimize total shipping cost</t>
  </si>
  <si>
    <t>No. of trucks</t>
  </si>
  <si>
    <t>Total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</si>
  <si>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</si>
  <si>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</si>
  <si>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</si>
  <si>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</si>
  <si>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</si>
  <si>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</si>
  <si>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</si>
  <si>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</si>
  <si>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</si>
  <si>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</si>
  <si>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</si>
  <si>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</si>
  <si>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</si>
  <si>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</si>
  <si>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</si>
  <si>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</si>
  <si>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</si>
  <si>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</si>
  <si>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Sangvi Bangalore</t>
  </si>
  <si>
    <t>Sangvi Mysore</t>
  </si>
  <si>
    <t>Sangvi Chennai</t>
  </si>
  <si>
    <t>Sangvi Hyderabad</t>
  </si>
  <si>
    <t>Sangvi Haryana</t>
  </si>
  <si>
    <t>Sangvi Tirupathi</t>
  </si>
  <si>
    <t>Rai Bangalore</t>
  </si>
  <si>
    <t>Rai Mysore</t>
  </si>
  <si>
    <t>Rai Chennai</t>
  </si>
  <si>
    <t>Rai Hyderabad</t>
  </si>
  <si>
    <t>Rai Haryana</t>
  </si>
  <si>
    <t>Rai Tirupathi</t>
  </si>
  <si>
    <t>Gokul Bangalore</t>
  </si>
  <si>
    <t>Gokul Mysore</t>
  </si>
  <si>
    <t>Gokul Chennai</t>
  </si>
  <si>
    <t>Gokul Hyderabad</t>
  </si>
  <si>
    <t>Gokul Haryana</t>
  </si>
  <si>
    <t>Gokul Tirupathi</t>
  </si>
  <si>
    <t>Total Bangalore</t>
  </si>
  <si>
    <t>Total Mysore</t>
  </si>
  <si>
    <t>Total Chennai</t>
  </si>
  <si>
    <t>Total Hyderabad</t>
  </si>
  <si>
    <t>Total Haryana</t>
  </si>
  <si>
    <t>Total Tirupathi</t>
  </si>
  <si>
    <t>Sangvi Total Distributed</t>
  </si>
  <si>
    <t>Rai Total Distributed</t>
  </si>
  <si>
    <t>Gokul Total Distributed</t>
  </si>
  <si>
    <t>Data for chart</t>
  </si>
  <si>
    <t>$M$13</t>
  </si>
  <si>
    <t>$D$13:$I$15</t>
  </si>
  <si>
    <t>Input</t>
  </si>
  <si>
    <t>Not feasible</t>
  </si>
  <si>
    <t/>
  </si>
  <si>
    <t>$M$15</t>
  </si>
  <si>
    <t>Input1</t>
  </si>
  <si>
    <t>Input2</t>
  </si>
  <si>
    <t>Output</t>
  </si>
  <si>
    <t>Weeks</t>
  </si>
  <si>
    <t>Hyderabaad</t>
  </si>
  <si>
    <t>Created By Version</t>
  </si>
  <si>
    <t>8.2.1</t>
  </si>
  <si>
    <t>Required Version</t>
  </si>
  <si>
    <t>5.0.0</t>
  </si>
  <si>
    <t>Recommended Version</t>
  </si>
  <si>
    <t>Modified By Version</t>
  </si>
  <si>
    <t>Count</t>
  </si>
  <si>
    <t>GUID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</si>
  <si>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</si>
  <si>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</si>
  <si>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</si>
  <si>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</si>
  <si>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</si>
  <si>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</si>
  <si>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</si>
  <si>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</si>
  <si>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</si>
  <si>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</si>
  <si>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</si>
  <si>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</si>
  <si>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</si>
  <si>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FIT_B314B_96D80</t>
  </si>
  <si>
    <t>F1	0	0	-1E+300	1E+300	1	0	0	0	0	1	25	BetaGeneral	Binomial	Expon	ExtValue	Gamma	Geomet	IntUniform	InvGauss	Logistic	LogLogistic	Lognorm	NegBin	Normal	Pareto	Pearson5	Pearson6	Pert	Poisson	Triang	Uniform	Weibull	ExtValueMin	Laplace	Levy	Kumaraswamy	0	1	-1	1	0	1	0	0	0</t>
  </si>
  <si>
    <t>GF1_rK0qDwEAEwBkAQwjACcANQBtAIEAggCQAJ4APgFgAVoBKwD//wAAAAAAAAEEAAAAAAAAAAABGkZpdCBDb21wYXJpc29uIGZvciBDaGVubmFpARhSaXNrTm9ybWFsKDg1MjM2NCw1MjY2NCkBARAAAgABClN0YXRpc3RpY3MDAQEA/wEBAQEBAAEBAQAEAAAAAQEBAQEAAQEBAAQAAAAKvQAB0QAA5gAA8QAA/AAABwEAEgEAHQEAKAEAMwEAEgAFSW5wdXQAAAD/AAD/AQEAAgATAAZOb3JtYWwAAQD/3BQ8AQAAAgAJAAAAAk8BAAACAAkAAAADjAEAAAIACQAAAARMAQAAAgAJAAAABTkBAAACAAkAAAAGTgEAAAIACQAAAAcjAQAAAgAJAAAACCkBAAACAAkAAAAJYAEAAAIARgFQAQEBAwGamZmZmZmpPwAAZmZmZmZm7j8AAAUAAQEBAAEBAQA=</t>
  </si>
  <si>
    <t xml:space="preserve">0	8								</t>
  </si>
  <si>
    <t>F1	FALSE	1000	.95</t>
  </si>
  <si>
    <t>FIT_2FE7B_ABFDC</t>
  </si>
  <si>
    <t>Chennai 2</t>
  </si>
  <si>
    <t>GF1_rK0qDwEAEwBmAQwjACcANQBvAIMAhACSAKAAQAFiAVwBKwD//wAAAAAAAAEEAAAAAAAAAAABHEZpdCBDb21wYXJpc29uIGZvciBDaGVubmFpIDIBGFJpc2tOb3JtYWwoODUyMzY0LDUyNjY0KQEBEAACAAEKU3RhdGlzdGljcwMBAQD/AQEBAQEAAQEBAAQAAAABAQEBAQABAQEABAAAAAq/AAHTAADoAADzAAD+AAAJAQAUAQAfAQAqAQA1AQASAAVJbnB1dAAAAP8AAP8BAQACABMABk5vcm1hbAABAP/cFDwBAAACAAkAAAACTwEAAAIACQAAAAOMAQAAAgAJAAAABEwBAAACAAkAAAAFOQEAAAIACQAAAAZOAQAAAgAJAAAAByMBAAACAAkAAAAIKQEAAAIACQAAAAlgAQAAAgBIAVIBAQEDAZqZmZmZmak/AABmZmZmZmbuPwAABQABAQEAAQEBAA==</t>
  </si>
  <si>
    <t>FIT_9B8ED_DCC1D</t>
  </si>
  <si>
    <t>GF1_rK0qDwEAEwBjAQwjACcANQBsAIAAgQCPAJ0APQFfAVkBKwD//wAAAAAAAAEEAAAAAAAAAAABGUZpdCBDb21wYXJpc29uIGZvciBNeXNvcmUBGFJpc2tOb3JtYWwoNzU1MDQyLDMyODExKQEBEAACAAEKU3RhdGlzdGljcwMBAQD/AQEBAQEAAQEBAAQAAAABAQEBAQABAQEABAAAAAq8AAHQAADlAADwAAD7AAAGAQARAQAcAQAnAQAyAQASAAVJbnB1dAAAAP8AAP8BAQACABMABk5vcm1hbAABAP/cFDwBAAACAAkAAAACTwEAAAIACQAAAAOMAQAAAgAJAAAABEwBAAACAAkAAAAFOQEAAAIACQAAAAZOAQAAAgAJAAAAByMBAAACAAkAAAAIKQEAAAIACQAAAAlgAQAAAgBFAU8BAQEDAZqZmZmZmak/AABmZmZmZmbuPwAABQABAQEAAQEBAA==</t>
  </si>
  <si>
    <t>FIT_914EB_F0183</t>
  </si>
  <si>
    <t>GF1_rK0qDwEAEwBnAQwjACcANQBwAIQAhQCTAKEAQQFjAV0BKwD//wAAAAAAAAEEAAAAAAAAAAABHUZpdCBDb21wYXJpc29uIGZvciBIeWRlcmFiYWFkARhSaXNrTm9ybWFsKDY0OTI1OCw0MjQ5NykBARAAAgABClN0YXRpc3RpY3MDAQEA/wEBAQEBAAEBAQAEAAAAAQEBAQEAAQEBAAQAAAAKwAAB1AAA6QAA9AAA/wAACgEAFQEAIAEAKwEANgEAEgAFSW5wdXQAAAD/AAD/AQEAAgATAAZOb3JtYWwAAQD/3BQ8AQAAAgAJAAAAAk8BAAACAAkAAAADjAEAAAIACQAAAARMAQAAAgAJAAAABTkBAAACAAkAAAAGTgEAAAIACQAAAAcjAQAAAgAJAAAACCkBAAACAAkAAAAJYAEAAAIASQFTAQEBAwGamZmZmZmpPwAAZmZmZmZm7j8AAAUAAQEBAAEBAQA=</t>
  </si>
  <si>
    <t>FIT_980E3_B2282</t>
  </si>
  <si>
    <t>GF1_rK0qDwEAEwBkAQwjACcANQBtAIEAggCQAJ4APgFgAVoBKwD//wAAAAAAAAEEAAAAAAAAAAABGkZpdCBDb21wYXJpc29uIGZvciBIYXJ5YW5hARhSaXNrTm9ybWFsKDQ0NzI4OSwyNzQxMSkBARAAAgABClN0YXRpc3RpY3MDAQEA/wEBAQEBAAEBAQAEAAAAAQEBAQEAAQEBAAQAAAAKvQAB0QAA5gAA8QAA/AAABwEAEgEAHQEAKAEAMwEAEgAFSW5wdXQAAAD/AAD/AQEAAgATAAZOb3JtYWwAAQD/3BQ8AQAAAgAJAAAAAk8BAAACAAkAAAADjAEAAAIACQAAAARMAQAAAgAJAAAABTkBAAACAAkAAAAGTgEAAAIACQAAAAcjAQAAAgAJAAAACCkBAAACAAkAAAAJYAEAAAIARgFQAQEBAwGamZmZmZmpPwAAZmZmZmZm7j8AAAUAAQEBAAEBAQA=</t>
  </si>
  <si>
    <t>FIT_52F9_3C6B3</t>
  </si>
  <si>
    <t>GF1_rK0qDwEAEwBmAQwjACcANQBvAIMAhACSAKAAQAFiAVwBKwD//wAAAAAAAAEEAAAAAAAAAAABHEZpdCBDb21wYXJpc29uIGZvciBUaXJ1cGF0aGkBGFJpc2tOb3JtYWwoMzU1MDYzLDEzODc2KQEBEAACAAEKU3RhdGlzdGljcwMBAQD/AQEBAQEAAQEBAAQAAAABAQEBAQABAQEABAAAAAq/AAHTAADoAADzAAD+AAAJAQAUAQAfAQAqAQA1AQASAAVJbnB1dAAAAP8AAP8BAQACABMABk5vcm1hbAABAP/cFDwBAAACAAkAAAACTwEAAAIACQAAAAOMAQAAAgAJAAAABEwBAAACAAkAAAAFOQEAAAIACQAAAAZOAQAAAgAJAAAAByMBAAACAAkAAAAIKQEAAAIACQAAAAlgAQAAAgBIAVIBAQEDAZqZmZmZmak/AABmZmZmZmbuPwAABQABAQEAAQEBAA==</t>
  </si>
  <si>
    <t>Worksheet: [Project- Distribution model at Heritage- Draft 1.xlsx]Optimization Model</t>
  </si>
  <si>
    <t>Shipping Cost per truck of 3000 litre capacity, in $</t>
  </si>
  <si>
    <t>Objective Coefficients:</t>
  </si>
  <si>
    <t>Report Created: 13-03-2022 15:58:10</t>
  </si>
  <si>
    <t>$D$21</t>
  </si>
  <si>
    <t>$E$21</t>
  </si>
  <si>
    <t>$F$21</t>
  </si>
  <si>
    <t>$G$21</t>
  </si>
  <si>
    <t>$H$21</t>
  </si>
  <si>
    <t>$I$21</t>
  </si>
  <si>
    <t>$D$22</t>
  </si>
  <si>
    <t>$E$22</t>
  </si>
  <si>
    <t>$F$22</t>
  </si>
  <si>
    <t>$G$22</t>
  </si>
  <si>
    <t>$H$22</t>
  </si>
  <si>
    <t>$I$22</t>
  </si>
  <si>
    <t>$D$23</t>
  </si>
  <si>
    <t>$E$23</t>
  </si>
  <si>
    <t>$F$23</t>
  </si>
  <si>
    <t>$G$23</t>
  </si>
  <si>
    <t>$H$23</t>
  </si>
  <si>
    <t>$I$23</t>
  </si>
  <si>
    <t>$D$25</t>
  </si>
  <si>
    <t>$E$25</t>
  </si>
  <si>
    <t>$F$25</t>
  </si>
  <si>
    <t>$G$25</t>
  </si>
  <si>
    <t>$H$25</t>
  </si>
  <si>
    <t>$I$25</t>
  </si>
  <si>
    <t>$K$21</t>
  </si>
  <si>
    <t>$K$22</t>
  </si>
  <si>
    <t>$K$23</t>
  </si>
  <si>
    <t>Shipping Cost per litre of milk (=Cost per truck/truck capacity), in $</t>
  </si>
  <si>
    <t>Decision Variables (quantity of milk in litres)</t>
  </si>
  <si>
    <t>Quantity of milk in litres</t>
  </si>
  <si>
    <t>Decision Variables</t>
  </si>
  <si>
    <t>100-400</t>
  </si>
  <si>
    <t>litres</t>
  </si>
  <si>
    <t>Distributing/Shipping Cost per truck, $</t>
  </si>
  <si>
    <t>Worksheet: [Project- Distribution model at Heritage- Draft 1.xlsx]Optimization model 2</t>
  </si>
  <si>
    <t>Report Created: 13-03-2022 23:01:06</t>
  </si>
  <si>
    <t>$D$24</t>
  </si>
  <si>
    <t>$E$24</t>
  </si>
  <si>
    <t>$F$24</t>
  </si>
  <si>
    <t>$G$24</t>
  </si>
  <si>
    <t>$H$24</t>
  </si>
  <si>
    <t>$I$24</t>
  </si>
  <si>
    <t>$D$26</t>
  </si>
  <si>
    <t>$E$26</t>
  </si>
  <si>
    <t>$F$26</t>
  </si>
  <si>
    <t>$G$26</t>
  </si>
  <si>
    <t>$H$26</t>
  </si>
  <si>
    <t>$I$26</t>
  </si>
  <si>
    <t>$J$23</t>
  </si>
  <si>
    <t>$J$24</t>
  </si>
  <si>
    <t>$J$25</t>
  </si>
  <si>
    <t>$D$39,$D$21:$I$23</t>
  </si>
  <si>
    <t>Oneway analysis for Solver model in Optimization Model worksheet</t>
  </si>
  <si>
    <t>capacity of Sangvi (cell $M$21) values along side, output cell(s) along top</t>
  </si>
  <si>
    <t>$D$39</t>
  </si>
  <si>
    <t>$M$23</t>
  </si>
  <si>
    <t>capacity of Gokul</t>
  </si>
  <si>
    <t>capacity of Gokul (cell $M$23) values along side, output cell(s) along top</t>
  </si>
  <si>
    <t>$D$27</t>
  </si>
  <si>
    <t>$I$27</t>
  </si>
  <si>
    <t>demand for Mysore</t>
  </si>
  <si>
    <t>demand for Tirupathi</t>
  </si>
  <si>
    <t>Twoway analysis for Solver model in Optimization Model worksheet</t>
  </si>
  <si>
    <t>demand for Mysore (cell $D$27) values along side, demand for Tirupathi (cell $I$27) values along top, output cell in corner</t>
  </si>
  <si>
    <t>Output and demand for Mysore value for chart</t>
  </si>
  <si>
    <t>demand for Mysore value</t>
  </si>
  <si>
    <t>Output and demand for Tirupathi value for chart</t>
  </si>
  <si>
    <t>demand for Tirupathi value</t>
  </si>
  <si>
    <t xml:space="preserve">Explanation: </t>
  </si>
  <si>
    <t>E</t>
  </si>
  <si>
    <t>F</t>
  </si>
  <si>
    <t>G</t>
  </si>
  <si>
    <t>I</t>
  </si>
  <si>
    <t>H</t>
  </si>
  <si>
    <t>d23</t>
  </si>
  <si>
    <t>D</t>
  </si>
  <si>
    <t>bengaluru</t>
  </si>
  <si>
    <t>y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</si>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</sst>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2" borderId="0" xfId="0" applyFill="1" applyAlignment="1">
      <alignment horizontal="right" textRotation="90"/>
    </xf>
    <xf numFmtId="0" fontId="4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7" fillId="0" borderId="0" xfId="0" applyFont="1"/>
    <xf numFmtId="0" fontId="0" fillId="0" borderId="22" xfId="0" applyBorder="1" applyAlignment="1">
      <alignment horizontal="center"/>
    </xf>
    <xf numFmtId="0" fontId="0" fillId="0" borderId="24" xfId="0" applyBorder="1"/>
    <xf numFmtId="0" fontId="1" fillId="0" borderId="25" xfId="0" applyFont="1" applyBorder="1"/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1" xfId="0" applyBorder="1"/>
    <xf numFmtId="0" fontId="0" fillId="0" borderId="38" xfId="0" applyBorder="1"/>
    <xf numFmtId="0" fontId="6" fillId="0" borderId="0" xfId="0" applyFont="1"/>
    <xf numFmtId="0" fontId="0" fillId="0" borderId="35" xfId="0" applyBorder="1"/>
    <xf numFmtId="0" fontId="0" fillId="0" borderId="31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3" xfId="0" applyFill="1" applyBorder="1"/>
    <xf numFmtId="0" fontId="0" fillId="3" borderId="6" xfId="0" applyFill="1" applyBorder="1"/>
    <xf numFmtId="0" fontId="0" fillId="0" borderId="0" xfId="0" applyAlignment="1">
      <alignment horizontal="right"/>
    </xf>
    <xf numFmtId="0" fontId="0" fillId="4" borderId="0" xfId="0" applyFill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/>
    <xf numFmtId="0" fontId="0" fillId="0" borderId="48" xfId="0" applyBorder="1"/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5" borderId="0" xfId="0" applyFill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STS_1!$V$1</c:f>
          <c:strCache>
            <c:ptCount val="1"/>
            <c:pt idx="0">
              <c:v>Sensitivity of $D$39 to capacity of Sangvi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STS_1!$A$5:$A$35</c:f>
              <c:numCache>
                <c:formatCode>General</c:formatCode>
                <c:ptCount val="31"/>
                <c:pt idx="0">
                  <c:v>500000</c:v>
                </c:pt>
                <c:pt idx="1">
                  <c:v>550000</c:v>
                </c:pt>
                <c:pt idx="2">
                  <c:v>600000</c:v>
                </c:pt>
                <c:pt idx="3">
                  <c:v>650000</c:v>
                </c:pt>
                <c:pt idx="4">
                  <c:v>700000</c:v>
                </c:pt>
                <c:pt idx="5">
                  <c:v>750000</c:v>
                </c:pt>
                <c:pt idx="6">
                  <c:v>800000</c:v>
                </c:pt>
                <c:pt idx="7">
                  <c:v>850000</c:v>
                </c:pt>
                <c:pt idx="8">
                  <c:v>900000</c:v>
                </c:pt>
                <c:pt idx="9">
                  <c:v>950000</c:v>
                </c:pt>
                <c:pt idx="10">
                  <c:v>1000000</c:v>
                </c:pt>
                <c:pt idx="11">
                  <c:v>1050000</c:v>
                </c:pt>
                <c:pt idx="12">
                  <c:v>1100000</c:v>
                </c:pt>
                <c:pt idx="13">
                  <c:v>1150000</c:v>
                </c:pt>
                <c:pt idx="14">
                  <c:v>1200000</c:v>
                </c:pt>
                <c:pt idx="15">
                  <c:v>1250000</c:v>
                </c:pt>
                <c:pt idx="16">
                  <c:v>1300000</c:v>
                </c:pt>
                <c:pt idx="17">
                  <c:v>1350000</c:v>
                </c:pt>
                <c:pt idx="18">
                  <c:v>1400000</c:v>
                </c:pt>
                <c:pt idx="19">
                  <c:v>1450000</c:v>
                </c:pt>
                <c:pt idx="20">
                  <c:v>1500000</c:v>
                </c:pt>
                <c:pt idx="21">
                  <c:v>1550000</c:v>
                </c:pt>
                <c:pt idx="22">
                  <c:v>1600000</c:v>
                </c:pt>
                <c:pt idx="23">
                  <c:v>1650000</c:v>
                </c:pt>
                <c:pt idx="24">
                  <c:v>1700000</c:v>
                </c:pt>
                <c:pt idx="25">
                  <c:v>1750000</c:v>
                </c:pt>
                <c:pt idx="26">
                  <c:v>1800000</c:v>
                </c:pt>
                <c:pt idx="27">
                  <c:v>1850000</c:v>
                </c:pt>
                <c:pt idx="28">
                  <c:v>1900000</c:v>
                </c:pt>
                <c:pt idx="29">
                  <c:v>1950000</c:v>
                </c:pt>
                <c:pt idx="30">
                  <c:v>2000000</c:v>
                </c:pt>
              </c:numCache>
            </c:numRef>
          </c:cat>
          <c:val>
            <c:numRef>
              <c:f>STS_1!$V$5:$V$35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180503.36</c:v>
                </c:pt>
                <c:pt idx="18">
                  <c:v>180303.35999999999</c:v>
                </c:pt>
                <c:pt idx="19">
                  <c:v>180103.35999999996</c:v>
                </c:pt>
                <c:pt idx="20">
                  <c:v>179903.35999999999</c:v>
                </c:pt>
                <c:pt idx="21">
                  <c:v>179703.36</c:v>
                </c:pt>
                <c:pt idx="22">
                  <c:v>179503.35999999999</c:v>
                </c:pt>
                <c:pt idx="23">
                  <c:v>179449.42399999997</c:v>
                </c:pt>
                <c:pt idx="24">
                  <c:v>179449.42399999997</c:v>
                </c:pt>
                <c:pt idx="25">
                  <c:v>179449.42399999997</c:v>
                </c:pt>
                <c:pt idx="26">
                  <c:v>179449.42399999997</c:v>
                </c:pt>
                <c:pt idx="27">
                  <c:v>179449.42399999997</c:v>
                </c:pt>
                <c:pt idx="28">
                  <c:v>179449.42399999997</c:v>
                </c:pt>
                <c:pt idx="29">
                  <c:v>179449.42399999997</c:v>
                </c:pt>
                <c:pt idx="30">
                  <c:v>179449.42399999997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C-4325-8E69-9BAED4C47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304927"/>
        <c:axId val="1584303263"/>
      </c:lineChart>
      <c:catAx>
        <c:axId val="1584304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capacity of Sangvi ($M$21)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303263"/>
        <c:crosses val="autoZero"/>
        <c:auto val="1"/>
        <c:lblAlgn val="ctr"/>
        <c:lblOffset val="100"/>
        <c:noMultiLvlLbl val="0"/>
      </c:catAx>
      <c:valAx>
        <c:axId val="158430326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30492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STS_2!$V$1</c:f>
          <c:strCache>
            <c:ptCount val="1"/>
            <c:pt idx="0">
              <c:v>Sensitivity of $D$39 to capacity of Gokul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STS_2!$A$5:$A$35</c:f>
              <c:numCache>
                <c:formatCode>General</c:formatCode>
                <c:ptCount val="31"/>
                <c:pt idx="0">
                  <c:v>500000</c:v>
                </c:pt>
                <c:pt idx="1">
                  <c:v>550000</c:v>
                </c:pt>
                <c:pt idx="2">
                  <c:v>600000</c:v>
                </c:pt>
                <c:pt idx="3">
                  <c:v>650000</c:v>
                </c:pt>
                <c:pt idx="4">
                  <c:v>700000</c:v>
                </c:pt>
                <c:pt idx="5">
                  <c:v>750000</c:v>
                </c:pt>
                <c:pt idx="6">
                  <c:v>800000</c:v>
                </c:pt>
                <c:pt idx="7">
                  <c:v>850000</c:v>
                </c:pt>
                <c:pt idx="8">
                  <c:v>900000</c:v>
                </c:pt>
                <c:pt idx="9">
                  <c:v>950000</c:v>
                </c:pt>
                <c:pt idx="10">
                  <c:v>1000000</c:v>
                </c:pt>
                <c:pt idx="11">
                  <c:v>1050000</c:v>
                </c:pt>
                <c:pt idx="12">
                  <c:v>1100000</c:v>
                </c:pt>
                <c:pt idx="13">
                  <c:v>1150000</c:v>
                </c:pt>
                <c:pt idx="14">
                  <c:v>1200000</c:v>
                </c:pt>
                <c:pt idx="15">
                  <c:v>1250000</c:v>
                </c:pt>
                <c:pt idx="16">
                  <c:v>1300000</c:v>
                </c:pt>
                <c:pt idx="17">
                  <c:v>1350000</c:v>
                </c:pt>
                <c:pt idx="18">
                  <c:v>1400000</c:v>
                </c:pt>
                <c:pt idx="19">
                  <c:v>1450000</c:v>
                </c:pt>
                <c:pt idx="20">
                  <c:v>1500000</c:v>
                </c:pt>
                <c:pt idx="21">
                  <c:v>1550000</c:v>
                </c:pt>
                <c:pt idx="22">
                  <c:v>1600000</c:v>
                </c:pt>
                <c:pt idx="23">
                  <c:v>1650000</c:v>
                </c:pt>
                <c:pt idx="24">
                  <c:v>1700000</c:v>
                </c:pt>
                <c:pt idx="25">
                  <c:v>1750000</c:v>
                </c:pt>
                <c:pt idx="26">
                  <c:v>1800000</c:v>
                </c:pt>
                <c:pt idx="27">
                  <c:v>1850000</c:v>
                </c:pt>
                <c:pt idx="28">
                  <c:v>1900000</c:v>
                </c:pt>
                <c:pt idx="29">
                  <c:v>1950000</c:v>
                </c:pt>
                <c:pt idx="30">
                  <c:v>2000000</c:v>
                </c:pt>
              </c:numCache>
            </c:numRef>
          </c:cat>
          <c:val>
            <c:numRef>
              <c:f>STS_2!$V$5:$V$35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181570.02666666664</c:v>
                </c:pt>
                <c:pt idx="4">
                  <c:v>180303.35999999999</c:v>
                </c:pt>
                <c:pt idx="5">
                  <c:v>179036.6933333333</c:v>
                </c:pt>
                <c:pt idx="6">
                  <c:v>177770.02666666667</c:v>
                </c:pt>
                <c:pt idx="7">
                  <c:v>176503.36</c:v>
                </c:pt>
                <c:pt idx="8">
                  <c:v>175236.69333333333</c:v>
                </c:pt>
                <c:pt idx="9">
                  <c:v>174116.09066666669</c:v>
                </c:pt>
                <c:pt idx="10">
                  <c:v>173049.424</c:v>
                </c:pt>
                <c:pt idx="11">
                  <c:v>171982.75733333334</c:v>
                </c:pt>
                <c:pt idx="12">
                  <c:v>170916.09066666669</c:v>
                </c:pt>
                <c:pt idx="13">
                  <c:v>169849.424</c:v>
                </c:pt>
                <c:pt idx="14">
                  <c:v>168782.75733333334</c:v>
                </c:pt>
                <c:pt idx="15">
                  <c:v>168710.67199999999</c:v>
                </c:pt>
                <c:pt idx="16">
                  <c:v>168710.67199999999</c:v>
                </c:pt>
                <c:pt idx="17">
                  <c:v>168710.67199999999</c:v>
                </c:pt>
                <c:pt idx="18">
                  <c:v>168710.67199999999</c:v>
                </c:pt>
                <c:pt idx="19">
                  <c:v>168710.67199999999</c:v>
                </c:pt>
                <c:pt idx="20">
                  <c:v>168710.67199999999</c:v>
                </c:pt>
                <c:pt idx="21">
                  <c:v>168710.67199999999</c:v>
                </c:pt>
                <c:pt idx="22">
                  <c:v>168710.67199999999</c:v>
                </c:pt>
                <c:pt idx="23">
                  <c:v>168710.67199999999</c:v>
                </c:pt>
                <c:pt idx="24">
                  <c:v>168710.67199999999</c:v>
                </c:pt>
                <c:pt idx="25">
                  <c:v>168710.67199999999</c:v>
                </c:pt>
                <c:pt idx="26">
                  <c:v>168710.67199999999</c:v>
                </c:pt>
                <c:pt idx="27">
                  <c:v>168710.67199999999</c:v>
                </c:pt>
                <c:pt idx="28">
                  <c:v>168710.67199999999</c:v>
                </c:pt>
                <c:pt idx="29">
                  <c:v>168710.67199999999</c:v>
                </c:pt>
                <c:pt idx="30">
                  <c:v>168710.67199999999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34-47F7-8F56-BDB1601B3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431999"/>
        <c:axId val="1469425343"/>
      </c:lineChart>
      <c:catAx>
        <c:axId val="1469431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capacity of Gokul ($M$23)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425343"/>
        <c:crosses val="autoZero"/>
        <c:auto val="1"/>
        <c:lblAlgn val="ctr"/>
        <c:lblOffset val="100"/>
        <c:noMultiLvlLbl val="0"/>
      </c:catAx>
      <c:valAx>
        <c:axId val="14694253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43199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STS_3!$O$1</c:f>
          <c:strCache>
            <c:ptCount val="1"/>
            <c:pt idx="0">
              <c:v>Sensitivity of $D$39 to demand for Tirupathi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STS_3!$B$4:$M$4</c:f>
              <c:numCache>
                <c:formatCode>General</c:formatCode>
                <c:ptCount val="12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</c:numCache>
            </c:numRef>
          </c:cat>
          <c:val>
            <c:numRef>
              <c:f>STS_3!$O$5:$O$16</c:f>
              <c:numCache>
                <c:formatCode>General</c:formatCode>
                <c:ptCount val="12"/>
                <c:pt idx="0">
                  <c:v>131811.30799999999</c:v>
                </c:pt>
                <c:pt idx="1">
                  <c:v>134027.97466666668</c:v>
                </c:pt>
                <c:pt idx="2">
                  <c:v>136244.64133333333</c:v>
                </c:pt>
                <c:pt idx="3">
                  <c:v>138461.30800000002</c:v>
                </c:pt>
                <c:pt idx="4">
                  <c:v>140677.97466666668</c:v>
                </c:pt>
                <c:pt idx="5">
                  <c:v>142894.64133333333</c:v>
                </c:pt>
                <c:pt idx="6">
                  <c:v>145111.30800000002</c:v>
                </c:pt>
                <c:pt idx="7">
                  <c:v>147327.97466666668</c:v>
                </c:pt>
                <c:pt idx="8">
                  <c:v>149544.64133333333</c:v>
                </c:pt>
                <c:pt idx="9">
                  <c:v>151778.508</c:v>
                </c:pt>
                <c:pt idx="10">
                  <c:v>154195.17466666666</c:v>
                </c:pt>
                <c:pt idx="11">
                  <c:v>156611.84133333334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6-469F-BDEF-781C0BC5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949551"/>
        <c:axId val="1821949135"/>
      </c:lineChart>
      <c:catAx>
        <c:axId val="182194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demand for Tirupathi ($I$27)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1949135"/>
        <c:crosses val="autoZero"/>
        <c:auto val="1"/>
        <c:lblAlgn val="ctr"/>
        <c:lblOffset val="100"/>
        <c:noMultiLvlLbl val="0"/>
      </c:catAx>
      <c:valAx>
        <c:axId val="182194913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9495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STS_3!$S$1</c:f>
          <c:strCache>
            <c:ptCount val="1"/>
            <c:pt idx="0">
              <c:v>Sensitivity of $D$39 to demand for Mysore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STS_3!$A$5:$A$13</c:f>
              <c:numCache>
                <c:formatCode>General</c:formatCode>
                <c:ptCount val="9"/>
                <c:pt idx="0">
                  <c:v>200000</c:v>
                </c:pt>
                <c:pt idx="1">
                  <c:v>300000</c:v>
                </c:pt>
                <c:pt idx="2">
                  <c:v>400000</c:v>
                </c:pt>
                <c:pt idx="3">
                  <c:v>500000</c:v>
                </c:pt>
                <c:pt idx="4">
                  <c:v>600000</c:v>
                </c:pt>
                <c:pt idx="5">
                  <c:v>700000</c:v>
                </c:pt>
                <c:pt idx="6">
                  <c:v>800000</c:v>
                </c:pt>
                <c:pt idx="7">
                  <c:v>900000</c:v>
                </c:pt>
                <c:pt idx="8">
                  <c:v>1000000</c:v>
                </c:pt>
              </c:numCache>
            </c:numRef>
          </c:cat>
          <c:val>
            <c:numRef>
              <c:f>STS_3!$S$5:$S$13</c:f>
              <c:numCache>
                <c:formatCode>General</c:formatCode>
                <c:ptCount val="9"/>
                <c:pt idx="0">
                  <c:v>131811.30799999999</c:v>
                </c:pt>
                <c:pt idx="1">
                  <c:v>141444.64133333333</c:v>
                </c:pt>
                <c:pt idx="2">
                  <c:v>151077.97466666668</c:v>
                </c:pt>
                <c:pt idx="3">
                  <c:v>160711.30799999999</c:v>
                </c:pt>
                <c:pt idx="4">
                  <c:v>170344.64133333333</c:v>
                </c:pt>
                <c:pt idx="5">
                  <c:v>180195.17466666669</c:v>
                </c:pt>
                <c:pt idx="6">
                  <c:v>190228.508</c:v>
                </c:pt>
                <c:pt idx="7">
                  <c:v>200261.84133333334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6-4FD5-9388-FECC783E0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953295"/>
        <c:axId val="1821949967"/>
      </c:lineChart>
      <c:catAx>
        <c:axId val="182195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demand for Mysore ($D$27)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1949967"/>
        <c:crosses val="autoZero"/>
        <c:auto val="1"/>
        <c:lblAlgn val="ctr"/>
        <c:lblOffset val="100"/>
        <c:noMultiLvlLbl val="0"/>
      </c:catAx>
      <c:valAx>
        <c:axId val="18219499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95329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421341</xdr:colOff>
      <xdr:row>9</xdr:row>
      <xdr:rowOff>3137</xdr:rowOff>
    </xdr:from>
    <xdr:to>
      <xdr:col>30</xdr:col>
      <xdr:colOff>421341</xdr:colOff>
      <xdr:row>24</xdr:row>
      <xdr:rowOff>113851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C2E98739-E377-4263-85B8-F6F4DFE1B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3</xdr:row>
      <xdr:rowOff>22860</xdr:rowOff>
    </xdr:from>
    <xdr:to>
      <xdr:col>27</xdr:col>
      <xdr:colOff>0</xdr:colOff>
      <xdr:row>5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E5111C-685A-4B9F-B4CA-D43893A064C3}"/>
            </a:ext>
          </a:extLst>
        </xdr:cNvPr>
        <xdr:cNvSpPr txBox="1"/>
      </xdr:nvSpPr>
      <xdr:spPr>
        <a:xfrm>
          <a:off x="140208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When you select an output from the dropdown list in cell $V$4,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0</xdr:colOff>
      <xdr:row>37</xdr:row>
      <xdr:rowOff>83820</xdr:rowOff>
    </xdr:from>
    <xdr:to>
      <xdr:col>29</xdr:col>
      <xdr:colOff>0</xdr:colOff>
      <xdr:row>53</xdr:row>
      <xdr:rowOff>15240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0F2721C4-91CF-405F-9694-FA7BDA50C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0</xdr:colOff>
      <xdr:row>3</xdr:row>
      <xdr:rowOff>22860</xdr:rowOff>
    </xdr:from>
    <xdr:to>
      <xdr:col>27</xdr:col>
      <xdr:colOff>0</xdr:colOff>
      <xdr:row>5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600519-B5B8-48DD-BD77-D2BE40D7F20E}"/>
            </a:ext>
          </a:extLst>
        </xdr:cNvPr>
        <xdr:cNvSpPr txBox="1"/>
      </xdr:nvSpPr>
      <xdr:spPr>
        <a:xfrm>
          <a:off x="140208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When you select an output from the dropdown list in cell $V$4,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0</xdr:colOff>
      <xdr:row>17</xdr:row>
      <xdr:rowOff>121920</xdr:rowOff>
    </xdr:from>
    <xdr:to>
      <xdr:col>22</xdr:col>
      <xdr:colOff>53340</xdr:colOff>
      <xdr:row>33</xdr:row>
      <xdr:rowOff>53340</xdr:rowOff>
    </xdr:to>
    <xdr:graphicFrame macro="">
      <xdr:nvGraphicFramePr>
        <xdr:cNvPr id="2" name="STS_3_Chart1">
          <a:extLst>
            <a:ext uri="{FF2B5EF4-FFF2-40B4-BE49-F238E27FC236}">
              <a16:creationId xmlns:a16="http://schemas.microsoft.com/office/drawing/2014/main" id="{6049D80E-7FBE-4E32-960A-63DB89905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23</xdr:col>
      <xdr:colOff>53339</xdr:colOff>
      <xdr:row>17</xdr:row>
      <xdr:rowOff>121920</xdr:rowOff>
    </xdr:from>
    <xdr:to>
      <xdr:col>31</xdr:col>
      <xdr:colOff>53339</xdr:colOff>
      <xdr:row>33</xdr:row>
      <xdr:rowOff>53340</xdr:rowOff>
    </xdr:to>
    <xdr:graphicFrame macro="">
      <xdr:nvGraphicFramePr>
        <xdr:cNvPr id="3" name="STS_3_Chart2">
          <a:extLst>
            <a:ext uri="{FF2B5EF4-FFF2-40B4-BE49-F238E27FC236}">
              <a16:creationId xmlns:a16="http://schemas.microsoft.com/office/drawing/2014/main" id="{50210FA7-803C-4A31-A8EE-4D4F22706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53339</xdr:colOff>
      <xdr:row>3</xdr:row>
      <xdr:rowOff>22860</xdr:rowOff>
    </xdr:from>
    <xdr:to>
      <xdr:col>27</xdr:col>
      <xdr:colOff>53339</xdr:colOff>
      <xdr:row>9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6CCAB1-9380-4B2C-9AB9-5221629284E4}"/>
            </a:ext>
          </a:extLst>
        </xdr:cNvPr>
        <xdr:cNvSpPr txBox="1"/>
      </xdr:nvSpPr>
      <xdr:spPr>
        <a:xfrm>
          <a:off x="13350239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By making appropriate selections in cells $O$4, $P$4, $S$4, and $T$4,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367-5950-47A8-A019-80C85D711EB0}">
  <dimension ref="A1:P16"/>
  <sheetViews>
    <sheetView workbookViewId="0"/>
  </sheetViews>
  <sheetFormatPr defaultColWidth="25.77734375" defaultRowHeight="14.4" x14ac:dyDescent="0.3"/>
  <sheetData>
    <row r="1" spans="1:16" x14ac:dyDescent="0.3">
      <c r="A1" t="s">
        <v>78</v>
      </c>
      <c r="B1" t="s">
        <v>79</v>
      </c>
    </row>
    <row r="2" spans="1:16" x14ac:dyDescent="0.3">
      <c r="A2" t="s">
        <v>80</v>
      </c>
      <c r="B2" t="s">
        <v>81</v>
      </c>
    </row>
    <row r="3" spans="1:16" x14ac:dyDescent="0.3">
      <c r="A3" t="s">
        <v>82</v>
      </c>
      <c r="B3" t="s">
        <v>81</v>
      </c>
    </row>
    <row r="4" spans="1:16" x14ac:dyDescent="0.3">
      <c r="A4" t="s">
        <v>83</v>
      </c>
      <c r="B4" t="s">
        <v>79</v>
      </c>
    </row>
    <row r="9" spans="1:16" x14ac:dyDescent="0.3">
      <c r="A9" t="s">
        <v>84</v>
      </c>
      <c r="B9">
        <v>6</v>
      </c>
    </row>
    <row r="10" spans="1:16" x14ac:dyDescent="0.3">
      <c r="A10" t="s">
        <v>85</v>
      </c>
      <c r="B10" t="s">
        <v>24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6" x14ac:dyDescent="0.3">
      <c r="A11" t="s">
        <v>99</v>
      </c>
      <c r="B11" s="83" t="s">
        <v>5</v>
      </c>
      <c r="C11">
        <f>'demand data'!$C$2:$C$157</f>
        <v>841963</v>
      </c>
      <c r="D11">
        <v>0</v>
      </c>
      <c r="E11" t="s">
        <v>100</v>
      </c>
      <c r="F11" t="s">
        <v>101</v>
      </c>
      <c r="J11" t="s">
        <v>102</v>
      </c>
      <c r="K11" t="s">
        <v>103</v>
      </c>
      <c r="O11">
        <v>4</v>
      </c>
      <c r="P11" t="b">
        <v>1</v>
      </c>
    </row>
    <row r="12" spans="1:16" x14ac:dyDescent="0.3">
      <c r="A12" t="s">
        <v>104</v>
      </c>
      <c r="B12" s="83" t="s">
        <v>105</v>
      </c>
      <c r="C12">
        <f>'demand data'!$C$2:$C$157</f>
        <v>825237</v>
      </c>
      <c r="D12">
        <v>0</v>
      </c>
      <c r="E12" t="s">
        <v>100</v>
      </c>
      <c r="F12" t="s">
        <v>106</v>
      </c>
      <c r="J12" t="s">
        <v>102</v>
      </c>
      <c r="K12" t="s">
        <v>103</v>
      </c>
      <c r="O12">
        <v>4</v>
      </c>
      <c r="P12" t="b">
        <v>1</v>
      </c>
    </row>
    <row r="13" spans="1:16" x14ac:dyDescent="0.3">
      <c r="A13" t="s">
        <v>107</v>
      </c>
      <c r="B13" s="83" t="s">
        <v>6</v>
      </c>
      <c r="C13">
        <f>'demand data'!$D$2:$D$157</f>
        <v>730481</v>
      </c>
      <c r="D13">
        <v>0</v>
      </c>
      <c r="E13" t="s">
        <v>100</v>
      </c>
      <c r="F13" t="s">
        <v>108</v>
      </c>
      <c r="J13" t="s">
        <v>102</v>
      </c>
      <c r="K13" t="s">
        <v>103</v>
      </c>
      <c r="O13">
        <v>4</v>
      </c>
      <c r="P13" t="b">
        <v>1</v>
      </c>
    </row>
    <row r="14" spans="1:16" x14ac:dyDescent="0.3">
      <c r="A14" t="s">
        <v>109</v>
      </c>
      <c r="B14" s="83" t="s">
        <v>77</v>
      </c>
      <c r="C14">
        <f>'demand data'!$E$2:$E$157</f>
        <v>638025</v>
      </c>
      <c r="D14">
        <v>0</v>
      </c>
      <c r="E14" t="s">
        <v>100</v>
      </c>
      <c r="F14" t="s">
        <v>110</v>
      </c>
      <c r="J14" t="s">
        <v>102</v>
      </c>
      <c r="K14" t="s">
        <v>103</v>
      </c>
      <c r="O14">
        <v>4</v>
      </c>
      <c r="P14" t="b">
        <v>1</v>
      </c>
    </row>
    <row r="15" spans="1:16" x14ac:dyDescent="0.3">
      <c r="A15" t="s">
        <v>111</v>
      </c>
      <c r="B15" s="83" t="s">
        <v>8</v>
      </c>
      <c r="C15">
        <f>'demand data'!$F$2:$F$157</f>
        <v>460799</v>
      </c>
      <c r="D15">
        <v>0</v>
      </c>
      <c r="E15" t="s">
        <v>100</v>
      </c>
      <c r="F15" t="s">
        <v>112</v>
      </c>
      <c r="J15" t="s">
        <v>102</v>
      </c>
      <c r="K15" t="s">
        <v>103</v>
      </c>
      <c r="O15">
        <v>4</v>
      </c>
      <c r="P15" t="b">
        <v>1</v>
      </c>
    </row>
    <row r="16" spans="1:16" x14ac:dyDescent="0.3">
      <c r="A16" t="s">
        <v>113</v>
      </c>
      <c r="B16" s="83" t="s">
        <v>9</v>
      </c>
      <c r="C16">
        <f>'demand data'!$G$2:$G$157</f>
        <v>389693</v>
      </c>
      <c r="D16">
        <v>0</v>
      </c>
      <c r="E16" t="s">
        <v>100</v>
      </c>
      <c r="F16" t="s">
        <v>114</v>
      </c>
      <c r="J16" t="s">
        <v>102</v>
      </c>
      <c r="K16" t="s">
        <v>103</v>
      </c>
      <c r="O16">
        <v>4</v>
      </c>
      <c r="P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8681-39A5-4B86-805E-9F847965A535}">
  <dimension ref="A2:O38"/>
  <sheetViews>
    <sheetView topLeftCell="A16" zoomScaleNormal="100" workbookViewId="0">
      <selection activeCell="L52" sqref="L52"/>
    </sheetView>
  </sheetViews>
  <sheetFormatPr defaultRowHeight="14.4" x14ac:dyDescent="0.3"/>
  <cols>
    <col min="1" max="1" width="20.33203125" bestFit="1" customWidth="1"/>
    <col min="2" max="2" width="2.5546875" customWidth="1"/>
    <col min="3" max="3" width="33.6640625" bestFit="1" customWidth="1"/>
    <col min="4" max="4" width="24.88671875" customWidth="1"/>
    <col min="5" max="5" width="10.5546875" bestFit="1" customWidth="1"/>
    <col min="6" max="6" width="9" bestFit="1" customWidth="1"/>
    <col min="7" max="7" width="10.6640625" customWidth="1"/>
    <col min="8" max="8" width="11.109375" bestFit="1" customWidth="1"/>
    <col min="9" max="9" width="9" bestFit="1" customWidth="1"/>
    <col min="10" max="10" width="13.88671875" bestFit="1" customWidth="1"/>
    <col min="11" max="11" width="19.33203125" bestFit="1" customWidth="1"/>
    <col min="12" max="12" width="27.109375" bestFit="1" customWidth="1"/>
    <col min="13" max="13" width="9" bestFit="1" customWidth="1"/>
    <col min="15" max="15" width="26" bestFit="1" customWidth="1"/>
  </cols>
  <sheetData>
    <row r="2" spans="1:12" ht="15" thickBot="1" x14ac:dyDescent="0.35">
      <c r="C2" s="27" t="s">
        <v>116</v>
      </c>
      <c r="D2" s="27"/>
      <c r="E2" s="27"/>
      <c r="F2" s="27"/>
      <c r="G2" s="27"/>
      <c r="H2" s="27"/>
      <c r="I2" s="27"/>
    </row>
    <row r="3" spans="1:12" ht="15" thickBot="1" x14ac:dyDescent="0.35">
      <c r="C3" s="103" t="s">
        <v>0</v>
      </c>
      <c r="D3" s="95" t="s">
        <v>1</v>
      </c>
      <c r="E3" s="96"/>
      <c r="F3" s="96"/>
      <c r="G3" s="96"/>
      <c r="H3" s="96"/>
      <c r="I3" s="97"/>
    </row>
    <row r="4" spans="1:12" ht="15" thickBot="1" x14ac:dyDescent="0.35">
      <c r="C4" s="104"/>
      <c r="D4" s="17" t="s">
        <v>10</v>
      </c>
      <c r="E4" s="26" t="s">
        <v>6</v>
      </c>
      <c r="F4" s="18" t="s">
        <v>5</v>
      </c>
      <c r="G4" s="18" t="s">
        <v>7</v>
      </c>
      <c r="H4" s="18" t="s">
        <v>8</v>
      </c>
      <c r="I4" s="19" t="s">
        <v>9</v>
      </c>
      <c r="K4" s="58" t="s">
        <v>12</v>
      </c>
      <c r="L4" s="69">
        <v>3000</v>
      </c>
    </row>
    <row r="5" spans="1:12" x14ac:dyDescent="0.3">
      <c r="C5" s="22" t="s">
        <v>2</v>
      </c>
      <c r="D5" s="20">
        <v>290</v>
      </c>
      <c r="E5" s="14">
        <v>397</v>
      </c>
      <c r="F5" s="14">
        <v>127</v>
      </c>
      <c r="G5" s="14">
        <v>201</v>
      </c>
      <c r="H5" s="14">
        <v>337</v>
      </c>
      <c r="I5" s="16">
        <v>133</v>
      </c>
      <c r="L5" s="87"/>
    </row>
    <row r="6" spans="1:12" x14ac:dyDescent="0.3">
      <c r="C6" s="22" t="s">
        <v>3</v>
      </c>
      <c r="D6" s="20">
        <v>301</v>
      </c>
      <c r="E6" s="14">
        <v>106</v>
      </c>
      <c r="F6" s="14">
        <v>256</v>
      </c>
      <c r="G6" s="14">
        <v>318</v>
      </c>
      <c r="H6" s="14">
        <v>132</v>
      </c>
      <c r="I6" s="16">
        <v>394</v>
      </c>
    </row>
    <row r="7" spans="1:12" ht="15" thickBot="1" x14ac:dyDescent="0.35">
      <c r="C7" s="23" t="s">
        <v>4</v>
      </c>
      <c r="D7" s="21">
        <v>225</v>
      </c>
      <c r="E7" s="18">
        <v>204</v>
      </c>
      <c r="F7" s="18">
        <v>212</v>
      </c>
      <c r="G7" s="18">
        <v>137</v>
      </c>
      <c r="H7" s="18">
        <v>239</v>
      </c>
      <c r="I7" s="19">
        <v>254</v>
      </c>
    </row>
    <row r="9" spans="1:12" ht="15" thickBot="1" x14ac:dyDescent="0.35">
      <c r="A9" s="1" t="s">
        <v>117</v>
      </c>
      <c r="C9" s="27" t="s">
        <v>146</v>
      </c>
    </row>
    <row r="10" spans="1:12" x14ac:dyDescent="0.3">
      <c r="C10" s="103" t="s">
        <v>0</v>
      </c>
      <c r="D10" s="95" t="s">
        <v>1</v>
      </c>
      <c r="E10" s="96"/>
      <c r="F10" s="96"/>
      <c r="G10" s="96"/>
      <c r="H10" s="96"/>
      <c r="I10" s="97"/>
    </row>
    <row r="11" spans="1:12" ht="15" thickBot="1" x14ac:dyDescent="0.35">
      <c r="C11" s="104"/>
      <c r="D11" s="17" t="s">
        <v>10</v>
      </c>
      <c r="E11" s="26" t="s">
        <v>6</v>
      </c>
      <c r="F11" s="18" t="s">
        <v>5</v>
      </c>
      <c r="G11" s="18" t="s">
        <v>7</v>
      </c>
      <c r="H11" s="18" t="s">
        <v>8</v>
      </c>
      <c r="I11" s="19" t="s">
        <v>9</v>
      </c>
    </row>
    <row r="12" spans="1:12" x14ac:dyDescent="0.3">
      <c r="C12" s="22" t="s">
        <v>2</v>
      </c>
      <c r="D12" s="20">
        <f>D5/$L$4</f>
        <v>9.6666666666666665E-2</v>
      </c>
      <c r="E12" s="20">
        <f>E5/$L$4</f>
        <v>0.13233333333333333</v>
      </c>
      <c r="F12" s="20">
        <f t="shared" ref="F12:I12" si="0">F5/$L$4</f>
        <v>4.2333333333333334E-2</v>
      </c>
      <c r="G12" s="20">
        <f t="shared" si="0"/>
        <v>6.7000000000000004E-2</v>
      </c>
      <c r="H12" s="20">
        <f t="shared" si="0"/>
        <v>0.11233333333333333</v>
      </c>
      <c r="I12" s="20">
        <f t="shared" si="0"/>
        <v>4.4333333333333336E-2</v>
      </c>
      <c r="K12">
        <f>0.1011*3000</f>
        <v>303.3</v>
      </c>
    </row>
    <row r="13" spans="1:12" x14ac:dyDescent="0.3">
      <c r="C13" s="22" t="s">
        <v>3</v>
      </c>
      <c r="D13" s="20">
        <f t="shared" ref="D13:I13" si="1">D6/$L$4</f>
        <v>0.10033333333333333</v>
      </c>
      <c r="E13" s="20">
        <f t="shared" si="1"/>
        <v>3.5333333333333335E-2</v>
      </c>
      <c r="F13" s="20">
        <f t="shared" si="1"/>
        <v>8.533333333333333E-2</v>
      </c>
      <c r="G13" s="20">
        <f t="shared" si="1"/>
        <v>0.106</v>
      </c>
      <c r="H13" s="20">
        <f t="shared" si="1"/>
        <v>4.3999999999999997E-2</v>
      </c>
      <c r="I13" s="20">
        <f t="shared" si="1"/>
        <v>0.13133333333333333</v>
      </c>
      <c r="K13">
        <f>397-303.33</f>
        <v>93.670000000000016</v>
      </c>
    </row>
    <row r="14" spans="1:12" ht="15" thickBot="1" x14ac:dyDescent="0.35">
      <c r="C14" s="23" t="s">
        <v>4</v>
      </c>
      <c r="D14" s="20">
        <f t="shared" ref="D14:I14" si="2">D7/$L$4</f>
        <v>7.4999999999999997E-2</v>
      </c>
      <c r="E14" s="20">
        <f t="shared" si="2"/>
        <v>6.8000000000000005E-2</v>
      </c>
      <c r="F14" s="20">
        <f t="shared" si="2"/>
        <v>7.0666666666666669E-2</v>
      </c>
      <c r="G14" s="20">
        <f t="shared" si="2"/>
        <v>4.5666666666666668E-2</v>
      </c>
      <c r="H14" s="20">
        <f t="shared" si="2"/>
        <v>7.9666666666666663E-2</v>
      </c>
      <c r="I14" s="20">
        <f t="shared" si="2"/>
        <v>8.4666666666666668E-2</v>
      </c>
    </row>
    <row r="17" spans="3:15" ht="15" thickBot="1" x14ac:dyDescent="0.35">
      <c r="C17" s="27" t="s">
        <v>147</v>
      </c>
    </row>
    <row r="18" spans="3:15" ht="15" thickBot="1" x14ac:dyDescent="0.35">
      <c r="C18" s="34"/>
      <c r="D18" s="98" t="s">
        <v>1</v>
      </c>
      <c r="E18" s="99"/>
      <c r="F18" s="99"/>
      <c r="G18" s="99"/>
      <c r="H18" s="99"/>
      <c r="I18" s="100"/>
      <c r="J18" s="93"/>
      <c r="K18" s="93"/>
      <c r="L18" s="93"/>
      <c r="M18" s="94"/>
    </row>
    <row r="19" spans="3:15" ht="15" thickBot="1" x14ac:dyDescent="0.35">
      <c r="C19" s="35" t="s">
        <v>0</v>
      </c>
      <c r="D19" s="44" t="s">
        <v>10</v>
      </c>
      <c r="E19" s="45" t="s">
        <v>6</v>
      </c>
      <c r="F19" s="45" t="s">
        <v>5</v>
      </c>
      <c r="G19" s="45" t="s">
        <v>7</v>
      </c>
      <c r="H19" s="45" t="s">
        <v>8</v>
      </c>
      <c r="I19" s="46" t="s">
        <v>9</v>
      </c>
      <c r="J19" s="55"/>
      <c r="K19" s="51" t="s">
        <v>11</v>
      </c>
      <c r="L19" s="48"/>
      <c r="M19" s="49" t="s">
        <v>14</v>
      </c>
    </row>
    <row r="20" spans="3:15" x14ac:dyDescent="0.3">
      <c r="C20" s="37" t="s">
        <v>2</v>
      </c>
      <c r="D20" s="41">
        <v>0</v>
      </c>
      <c r="E20" s="42">
        <v>0</v>
      </c>
      <c r="F20" s="42">
        <v>755042</v>
      </c>
      <c r="G20" s="42">
        <v>289895</v>
      </c>
      <c r="H20" s="42">
        <v>0</v>
      </c>
      <c r="I20" s="43">
        <v>355063</v>
      </c>
      <c r="J20" s="55"/>
      <c r="K20" s="52">
        <f>SUM(D20:I20)</f>
        <v>1400000</v>
      </c>
      <c r="L20" s="42" t="s">
        <v>16</v>
      </c>
      <c r="M20" s="43">
        <v>1400000</v>
      </c>
    </row>
    <row r="21" spans="3:15" x14ac:dyDescent="0.3">
      <c r="C21" s="37" t="s">
        <v>3</v>
      </c>
      <c r="D21" s="28">
        <v>213484</v>
      </c>
      <c r="E21" s="15">
        <v>852364</v>
      </c>
      <c r="F21" s="15">
        <v>0</v>
      </c>
      <c r="G21" s="15">
        <v>0</v>
      </c>
      <c r="H21" s="15">
        <v>447289</v>
      </c>
      <c r="I21" s="36">
        <v>0</v>
      </c>
      <c r="J21" s="55"/>
      <c r="K21" s="53">
        <f t="shared" ref="K21" si="3">SUM(D21:I21)</f>
        <v>1513137</v>
      </c>
      <c r="L21" s="15" t="s">
        <v>16</v>
      </c>
      <c r="M21" s="36">
        <v>1600000</v>
      </c>
    </row>
    <row r="22" spans="3:15" ht="15" thickBot="1" x14ac:dyDescent="0.35">
      <c r="C22" s="38" t="s">
        <v>4</v>
      </c>
      <c r="D22" s="39">
        <v>340637</v>
      </c>
      <c r="E22" s="26">
        <v>0</v>
      </c>
      <c r="F22" s="26">
        <v>0</v>
      </c>
      <c r="G22" s="26">
        <v>359363</v>
      </c>
      <c r="H22" s="26">
        <v>0</v>
      </c>
      <c r="I22" s="40">
        <v>0</v>
      </c>
      <c r="J22" s="57"/>
      <c r="K22" s="54">
        <f>SUM(D22:I22)</f>
        <v>700000</v>
      </c>
      <c r="L22" s="26" t="s">
        <v>16</v>
      </c>
      <c r="M22" s="40">
        <v>700000</v>
      </c>
    </row>
    <row r="23" spans="3:15" ht="15" thickBot="1" x14ac:dyDescent="0.35">
      <c r="C23" s="55"/>
      <c r="D23" s="58"/>
      <c r="E23" s="50"/>
      <c r="F23" s="57"/>
      <c r="G23" s="50"/>
      <c r="H23" s="50"/>
      <c r="I23" s="50"/>
      <c r="J23" s="57"/>
      <c r="K23" s="64"/>
      <c r="L23" s="64"/>
      <c r="M23" s="60">
        <f>SUM(M20:M22)</f>
        <v>3700000</v>
      </c>
    </row>
    <row r="24" spans="3:15" x14ac:dyDescent="0.3">
      <c r="C24" s="56" t="s">
        <v>20</v>
      </c>
      <c r="D24" s="32">
        <f t="shared" ref="D24:I24" si="4">SUM(D20:D22)</f>
        <v>554121</v>
      </c>
      <c r="E24" s="31">
        <f t="shared" si="4"/>
        <v>852364</v>
      </c>
      <c r="F24" s="31">
        <f t="shared" si="4"/>
        <v>755042</v>
      </c>
      <c r="G24" s="31">
        <f t="shared" si="4"/>
        <v>649258</v>
      </c>
      <c r="H24" s="31">
        <f t="shared" si="4"/>
        <v>447289</v>
      </c>
      <c r="I24" s="33">
        <f t="shared" si="4"/>
        <v>355063</v>
      </c>
      <c r="J24" s="62"/>
      <c r="K24" s="57"/>
      <c r="L24" s="57"/>
      <c r="M24" s="63"/>
    </row>
    <row r="25" spans="3:15" x14ac:dyDescent="0.3">
      <c r="C25" s="37"/>
      <c r="D25" s="28" t="s">
        <v>15</v>
      </c>
      <c r="E25" s="15" t="s">
        <v>15</v>
      </c>
      <c r="F25" s="15" t="s">
        <v>15</v>
      </c>
      <c r="G25" s="15" t="s">
        <v>15</v>
      </c>
      <c r="H25" s="15" t="s">
        <v>15</v>
      </c>
      <c r="I25" s="36" t="s">
        <v>15</v>
      </c>
      <c r="J25" s="62"/>
      <c r="K25" s="57"/>
      <c r="L25" s="57"/>
      <c r="M25" s="63"/>
      <c r="O25" s="88"/>
    </row>
    <row r="26" spans="3:15" ht="15" thickBot="1" x14ac:dyDescent="0.35">
      <c r="C26" s="47" t="s">
        <v>13</v>
      </c>
      <c r="D26" s="39">
        <v>554121</v>
      </c>
      <c r="E26" s="26">
        <v>852364</v>
      </c>
      <c r="F26" s="26">
        <v>755042</v>
      </c>
      <c r="G26" s="26">
        <v>649258</v>
      </c>
      <c r="H26" s="26">
        <v>447289</v>
      </c>
      <c r="I26" s="40">
        <v>355063</v>
      </c>
      <c r="J26" s="61">
        <f>SUM(D26:I26)</f>
        <v>3613137</v>
      </c>
      <c r="K26" s="61"/>
      <c r="L26" s="61">
        <f>M23-J26</f>
        <v>86863</v>
      </c>
      <c r="M26" s="59"/>
    </row>
    <row r="27" spans="3:15" x14ac:dyDescent="0.3">
      <c r="C27" s="71"/>
      <c r="D27" s="57"/>
      <c r="E27" s="57"/>
      <c r="F27" s="57"/>
      <c r="G27" s="57"/>
      <c r="H27" s="57"/>
      <c r="I27" s="57"/>
      <c r="J27" s="57"/>
      <c r="K27" s="57"/>
      <c r="L27" s="57"/>
      <c r="M27" s="57"/>
    </row>
    <row r="29" spans="3:15" ht="15" thickBot="1" x14ac:dyDescent="0.35">
      <c r="C29" s="67" t="s">
        <v>19</v>
      </c>
    </row>
    <row r="30" spans="3:15" x14ac:dyDescent="0.3">
      <c r="C30" s="29"/>
      <c r="D30" s="101" t="s">
        <v>1</v>
      </c>
      <c r="E30" s="101"/>
      <c r="F30" s="101"/>
      <c r="G30" s="101"/>
      <c r="H30" s="101"/>
      <c r="I30" s="102"/>
      <c r="J30" s="66"/>
    </row>
    <row r="31" spans="3:15" ht="15" thickBot="1" x14ac:dyDescent="0.35">
      <c r="C31" s="30" t="s">
        <v>0</v>
      </c>
      <c r="D31" s="21" t="s">
        <v>10</v>
      </c>
      <c r="E31" s="18" t="s">
        <v>6</v>
      </c>
      <c r="F31" s="18" t="s">
        <v>5</v>
      </c>
      <c r="G31" s="18" t="s">
        <v>7</v>
      </c>
      <c r="H31" s="18" t="s">
        <v>8</v>
      </c>
      <c r="I31" s="18" t="s">
        <v>9</v>
      </c>
      <c r="J31" s="65" t="s">
        <v>20</v>
      </c>
    </row>
    <row r="32" spans="3:15" x14ac:dyDescent="0.3">
      <c r="C32" s="22" t="s">
        <v>2</v>
      </c>
      <c r="D32" s="8">
        <f t="shared" ref="D32:I34" si="5">D20/$L$4</f>
        <v>0</v>
      </c>
      <c r="E32" s="24">
        <f t="shared" si="5"/>
        <v>0</v>
      </c>
      <c r="F32" s="24">
        <f t="shared" si="5"/>
        <v>251.68066666666667</v>
      </c>
      <c r="G32" s="24">
        <f t="shared" si="5"/>
        <v>96.631666666666661</v>
      </c>
      <c r="H32" s="24">
        <f t="shared" si="5"/>
        <v>0</v>
      </c>
      <c r="I32" s="24">
        <f t="shared" si="5"/>
        <v>118.35433333333333</v>
      </c>
      <c r="J32" s="25">
        <f>SUM(D32:I32)</f>
        <v>466.66666666666663</v>
      </c>
    </row>
    <row r="33" spans="3:12" x14ac:dyDescent="0.3">
      <c r="C33" s="22" t="s">
        <v>3</v>
      </c>
      <c r="D33" s="20">
        <f t="shared" si="5"/>
        <v>71.161333333333332</v>
      </c>
      <c r="E33" s="14">
        <f t="shared" si="5"/>
        <v>284.12133333333333</v>
      </c>
      <c r="F33" s="14">
        <f t="shared" si="5"/>
        <v>0</v>
      </c>
      <c r="G33" s="14">
        <f t="shared" si="5"/>
        <v>0</v>
      </c>
      <c r="H33" s="14">
        <f t="shared" si="5"/>
        <v>149.09633333333332</v>
      </c>
      <c r="I33" s="14">
        <f t="shared" si="5"/>
        <v>0</v>
      </c>
      <c r="J33" s="16">
        <f t="shared" ref="J33:J34" si="6">SUM(D33:I33)</f>
        <v>504.37900000000002</v>
      </c>
    </row>
    <row r="34" spans="3:12" ht="15" thickBot="1" x14ac:dyDescent="0.35">
      <c r="C34" s="23" t="s">
        <v>4</v>
      </c>
      <c r="D34" s="21">
        <f t="shared" si="5"/>
        <v>113.54566666666666</v>
      </c>
      <c r="E34" s="18">
        <f t="shared" si="5"/>
        <v>0</v>
      </c>
      <c r="F34" s="18">
        <f t="shared" si="5"/>
        <v>0</v>
      </c>
      <c r="G34" s="18">
        <f t="shared" si="5"/>
        <v>119.78766666666667</v>
      </c>
      <c r="H34" s="18">
        <f t="shared" si="5"/>
        <v>0</v>
      </c>
      <c r="I34" s="18">
        <f t="shared" si="5"/>
        <v>0</v>
      </c>
      <c r="J34" s="19">
        <f t="shared" si="6"/>
        <v>233.33333333333331</v>
      </c>
      <c r="L34" s="89"/>
    </row>
    <row r="37" spans="3:12" ht="15" thickBot="1" x14ac:dyDescent="0.35">
      <c r="C37" s="27" t="s">
        <v>17</v>
      </c>
    </row>
    <row r="38" spans="3:12" ht="15" thickBot="1" x14ac:dyDescent="0.35">
      <c r="C38" s="68" t="s">
        <v>18</v>
      </c>
      <c r="D38" s="70">
        <f>SUMPRODUCT(D32:I34,D5:I7)</f>
        <v>180303.35999999999</v>
      </c>
      <c r="F38" s="70"/>
    </row>
  </sheetData>
  <mergeCells count="7">
    <mergeCell ref="J18:M18"/>
    <mergeCell ref="D3:I3"/>
    <mergeCell ref="D18:I18"/>
    <mergeCell ref="D30:I30"/>
    <mergeCell ref="C3:C4"/>
    <mergeCell ref="C10:C11"/>
    <mergeCell ref="D10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B1EF-19D1-4DF4-A899-78F77E56468D}">
  <dimension ref="A1:L39"/>
  <sheetViews>
    <sheetView showGridLines="0" tabSelected="1" zoomScale="70" zoomScaleNormal="70" workbookViewId="0">
      <selection activeCell="K20" sqref="K20"/>
    </sheetView>
  </sheetViews>
  <sheetFormatPr defaultRowHeight="14.4" x14ac:dyDescent="0.3"/>
  <cols>
    <col min="1" max="1" width="2.33203125" customWidth="1"/>
    <col min="2" max="2" width="6.21875" bestFit="1" customWidth="1"/>
    <col min="3" max="3" width="20.33203125" bestFit="1" customWidth="1"/>
    <col min="4" max="4" width="8" bestFit="1" customWidth="1"/>
    <col min="5" max="5" width="12.6640625" bestFit="1" customWidth="1"/>
    <col min="6" max="8" width="12" bestFit="1" customWidth="1"/>
    <col min="12" max="12" width="20.33203125" customWidth="1"/>
  </cols>
  <sheetData>
    <row r="1" spans="1:8" x14ac:dyDescent="0.3">
      <c r="A1" s="1" t="s">
        <v>21</v>
      </c>
    </row>
    <row r="2" spans="1:8" x14ac:dyDescent="0.3">
      <c r="A2" s="1" t="s">
        <v>115</v>
      </c>
    </row>
    <row r="3" spans="1:8" x14ac:dyDescent="0.3">
      <c r="A3" s="1" t="s">
        <v>118</v>
      </c>
    </row>
    <row r="6" spans="1:8" ht="15" thickBot="1" x14ac:dyDescent="0.35">
      <c r="A6" t="s">
        <v>22</v>
      </c>
    </row>
    <row r="7" spans="1:8" x14ac:dyDescent="0.3">
      <c r="B7" s="85"/>
      <c r="C7" s="85"/>
      <c r="D7" s="85" t="s">
        <v>25</v>
      </c>
      <c r="E7" s="85" t="s">
        <v>27</v>
      </c>
      <c r="F7" s="85" t="s">
        <v>29</v>
      </c>
      <c r="G7" s="85" t="s">
        <v>31</v>
      </c>
      <c r="H7" s="85" t="s">
        <v>31</v>
      </c>
    </row>
    <row r="8" spans="1:8" ht="15" thickBot="1" x14ac:dyDescent="0.35">
      <c r="B8" s="86" t="s">
        <v>23</v>
      </c>
      <c r="C8" s="86" t="s">
        <v>24</v>
      </c>
      <c r="D8" s="86" t="s">
        <v>26</v>
      </c>
      <c r="E8" s="86" t="s">
        <v>28</v>
      </c>
      <c r="F8" s="86" t="s">
        <v>30</v>
      </c>
      <c r="G8" s="86" t="s">
        <v>32</v>
      </c>
      <c r="H8" s="86" t="s">
        <v>33</v>
      </c>
    </row>
    <row r="9" spans="1:8" x14ac:dyDescent="0.3">
      <c r="B9" s="2" t="s">
        <v>119</v>
      </c>
      <c r="C9" s="2" t="s">
        <v>39</v>
      </c>
      <c r="D9" s="2">
        <v>0</v>
      </c>
      <c r="E9" s="2">
        <v>0</v>
      </c>
      <c r="F9" s="2">
        <v>9.633333333333334E-2</v>
      </c>
      <c r="G9" s="2">
        <v>1E+30</v>
      </c>
      <c r="H9" s="2">
        <v>0</v>
      </c>
    </row>
    <row r="10" spans="1:8" x14ac:dyDescent="0.3">
      <c r="B10" s="2" t="s">
        <v>120</v>
      </c>
      <c r="C10" s="2" t="s">
        <v>40</v>
      </c>
      <c r="D10" s="2">
        <v>0</v>
      </c>
      <c r="E10" s="2">
        <v>0.10099999999999998</v>
      </c>
      <c r="F10" s="2">
        <v>0.13233333333333336</v>
      </c>
      <c r="G10" s="2">
        <v>1E+30</v>
      </c>
      <c r="H10" s="2">
        <v>0.10099999999999998</v>
      </c>
    </row>
    <row r="11" spans="1:8" x14ac:dyDescent="0.3">
      <c r="B11" s="2" t="s">
        <v>121</v>
      </c>
      <c r="C11" s="2" t="s">
        <v>41</v>
      </c>
      <c r="D11" s="2">
        <v>755042</v>
      </c>
      <c r="E11" s="2">
        <v>0</v>
      </c>
      <c r="F11" s="2">
        <v>4.2333333333333334E-2</v>
      </c>
      <c r="G11" s="2">
        <v>3.900000000000009E-2</v>
      </c>
      <c r="H11" s="2">
        <v>4.6333333333333282E-2</v>
      </c>
    </row>
    <row r="12" spans="1:8" x14ac:dyDescent="0.3">
      <c r="B12" s="2" t="s">
        <v>122</v>
      </c>
      <c r="C12" s="2" t="s">
        <v>42</v>
      </c>
      <c r="D12" s="2">
        <v>289895</v>
      </c>
      <c r="E12" s="2">
        <v>0</v>
      </c>
      <c r="F12" s="2">
        <v>6.7000000000000004E-2</v>
      </c>
      <c r="G12" s="2">
        <v>0</v>
      </c>
      <c r="H12" s="2">
        <v>3.900000000000009E-2</v>
      </c>
    </row>
    <row r="13" spans="1:8" x14ac:dyDescent="0.3">
      <c r="B13" s="2" t="s">
        <v>123</v>
      </c>
      <c r="C13" s="2" t="s">
        <v>43</v>
      </c>
      <c r="D13" s="2">
        <v>0</v>
      </c>
      <c r="E13" s="2">
        <v>7.233333333333325E-2</v>
      </c>
      <c r="F13" s="2">
        <v>0.11233333333333334</v>
      </c>
      <c r="G13" s="2">
        <v>1E+30</v>
      </c>
      <c r="H13" s="2">
        <v>7.233333333333325E-2</v>
      </c>
    </row>
    <row r="14" spans="1:8" x14ac:dyDescent="0.3">
      <c r="B14" s="2" t="s">
        <v>124</v>
      </c>
      <c r="C14" s="2" t="s">
        <v>44</v>
      </c>
      <c r="D14" s="2">
        <v>355063</v>
      </c>
      <c r="E14" s="2">
        <v>0</v>
      </c>
      <c r="F14" s="2">
        <v>4.4333333333333336E-2</v>
      </c>
      <c r="G14" s="2">
        <v>6.1666666666666592E-2</v>
      </c>
      <c r="H14" s="2">
        <v>4.8333333333333284E-2</v>
      </c>
    </row>
    <row r="15" spans="1:8" x14ac:dyDescent="0.3">
      <c r="B15" s="2" t="s">
        <v>125</v>
      </c>
      <c r="C15" s="2" t="s">
        <v>45</v>
      </c>
      <c r="D15" s="2">
        <v>213484</v>
      </c>
      <c r="E15" s="2">
        <v>0</v>
      </c>
      <c r="F15" s="2">
        <v>0.10033333333333327</v>
      </c>
      <c r="G15" s="2">
        <v>3.5000000000000031E-2</v>
      </c>
      <c r="H15" s="2">
        <v>3.999999999999948E-3</v>
      </c>
    </row>
    <row r="16" spans="1:8" x14ac:dyDescent="0.3">
      <c r="B16" s="2" t="s">
        <v>126</v>
      </c>
      <c r="C16" s="2" t="s">
        <v>46</v>
      </c>
      <c r="D16" s="2">
        <v>852364</v>
      </c>
      <c r="E16" s="2">
        <v>0</v>
      </c>
      <c r="F16" s="2">
        <v>3.5333333333333328E-2</v>
      </c>
      <c r="G16" s="2">
        <v>5.799999999999994E-2</v>
      </c>
      <c r="H16" s="2">
        <v>3.5333333333333328E-2</v>
      </c>
    </row>
    <row r="17" spans="1:12" x14ac:dyDescent="0.3">
      <c r="B17" s="2" t="s">
        <v>127</v>
      </c>
      <c r="C17" s="2" t="s">
        <v>47</v>
      </c>
      <c r="D17" s="2">
        <v>0</v>
      </c>
      <c r="E17" s="2">
        <v>3.900000000000009E-2</v>
      </c>
      <c r="F17" s="2">
        <v>8.5333333333333372E-2</v>
      </c>
      <c r="G17" s="2">
        <v>1E+30</v>
      </c>
      <c r="H17" s="2">
        <v>3.900000000000009E-2</v>
      </c>
    </row>
    <row r="18" spans="1:12" x14ac:dyDescent="0.3">
      <c r="B18" s="2" t="s">
        <v>128</v>
      </c>
      <c r="C18" s="2" t="s">
        <v>48</v>
      </c>
      <c r="D18" s="2">
        <v>0</v>
      </c>
      <c r="E18" s="2">
        <v>3.5000000000000031E-2</v>
      </c>
      <c r="F18" s="2">
        <v>0.10599999999999998</v>
      </c>
      <c r="G18" s="2">
        <v>1E+30</v>
      </c>
      <c r="H18" s="2">
        <v>3.5000000000000031E-2</v>
      </c>
    </row>
    <row r="19" spans="1:12" x14ac:dyDescent="0.3">
      <c r="B19" s="2" t="s">
        <v>129</v>
      </c>
      <c r="C19" s="2" t="s">
        <v>49</v>
      </c>
      <c r="D19" s="2">
        <v>447289</v>
      </c>
      <c r="E19" s="2">
        <v>0</v>
      </c>
      <c r="F19" s="2">
        <v>4.4000000000000039E-2</v>
      </c>
      <c r="G19" s="2">
        <v>6.0999999999999943E-2</v>
      </c>
      <c r="H19" s="2">
        <v>4.4000000000000039E-2</v>
      </c>
    </row>
    <row r="20" spans="1:12" x14ac:dyDescent="0.3">
      <c r="B20" s="2" t="s">
        <v>130</v>
      </c>
      <c r="C20" s="2" t="s">
        <v>50</v>
      </c>
      <c r="D20" s="2">
        <v>0</v>
      </c>
      <c r="E20" s="2">
        <v>8.3000000000000018E-2</v>
      </c>
      <c r="F20" s="2">
        <v>0.1313333333333333</v>
      </c>
      <c r="G20" s="2">
        <v>1E+30</v>
      </c>
      <c r="H20" s="2">
        <v>8.3000000000000018E-2</v>
      </c>
    </row>
    <row r="21" spans="1:12" x14ac:dyDescent="0.3">
      <c r="B21" s="2" t="s">
        <v>131</v>
      </c>
      <c r="C21" s="2" t="s">
        <v>51</v>
      </c>
      <c r="D21" s="2">
        <v>340637</v>
      </c>
      <c r="E21" s="2">
        <v>0</v>
      </c>
      <c r="F21" s="2">
        <v>7.5000000000000067E-2</v>
      </c>
      <c r="G21" s="2">
        <v>0</v>
      </c>
      <c r="H21" s="2">
        <v>3.5000000000000031E-2</v>
      </c>
    </row>
    <row r="22" spans="1:12" x14ac:dyDescent="0.3">
      <c r="B22" s="2" t="s">
        <v>132</v>
      </c>
      <c r="C22" s="2" t="s">
        <v>52</v>
      </c>
      <c r="D22" s="2">
        <v>0</v>
      </c>
      <c r="E22" s="2">
        <v>5.799999999999994E-2</v>
      </c>
      <c r="F22" s="2">
        <v>6.800000000000006E-2</v>
      </c>
      <c r="G22" s="2">
        <v>1E+30</v>
      </c>
      <c r="H22" s="2">
        <v>5.799999999999994E-2</v>
      </c>
    </row>
    <row r="23" spans="1:12" x14ac:dyDescent="0.3">
      <c r="B23" s="2" t="s">
        <v>133</v>
      </c>
      <c r="C23" s="2" t="s">
        <v>53</v>
      </c>
      <c r="D23" s="2">
        <v>0</v>
      </c>
      <c r="E23" s="2">
        <v>4.9666666666666581E-2</v>
      </c>
      <c r="F23" s="2">
        <v>7.0666666666666655E-2</v>
      </c>
      <c r="G23" s="2">
        <v>1E+30</v>
      </c>
      <c r="H23" s="2">
        <v>4.9666666666666581E-2</v>
      </c>
    </row>
    <row r="24" spans="1:12" x14ac:dyDescent="0.3">
      <c r="B24" s="2" t="s">
        <v>134</v>
      </c>
      <c r="C24" s="2" t="s">
        <v>54</v>
      </c>
      <c r="D24" s="2">
        <v>359363</v>
      </c>
      <c r="E24" s="2">
        <v>0</v>
      </c>
      <c r="F24" s="2">
        <v>4.5666666666666744E-2</v>
      </c>
      <c r="G24" s="2">
        <v>3.5000000000000031E-2</v>
      </c>
      <c r="H24" s="2">
        <v>0</v>
      </c>
    </row>
    <row r="25" spans="1:12" x14ac:dyDescent="0.3">
      <c r="B25" s="2" t="s">
        <v>135</v>
      </c>
      <c r="C25" s="2" t="s">
        <v>55</v>
      </c>
      <c r="D25" s="2">
        <v>0</v>
      </c>
      <c r="E25" s="2">
        <v>6.0999999999999943E-2</v>
      </c>
      <c r="F25" s="2">
        <v>7.9666666666666774E-2</v>
      </c>
      <c r="G25" s="2">
        <v>1E+30</v>
      </c>
      <c r="H25" s="2">
        <v>6.0999999999999943E-2</v>
      </c>
    </row>
    <row r="26" spans="1:12" ht="15" thickBot="1" x14ac:dyDescent="0.35">
      <c r="B26" s="84" t="s">
        <v>136</v>
      </c>
      <c r="C26" s="84" t="s">
        <v>56</v>
      </c>
      <c r="D26" s="84">
        <v>0</v>
      </c>
      <c r="E26" s="84">
        <v>6.1666666666666592E-2</v>
      </c>
      <c r="F26" s="84">
        <v>8.4666666666666668E-2</v>
      </c>
      <c r="G26" s="84">
        <v>1E+30</v>
      </c>
      <c r="H26" s="84">
        <v>6.1666666666666592E-2</v>
      </c>
    </row>
    <row r="28" spans="1:12" ht="15" thickBot="1" x14ac:dyDescent="0.35">
      <c r="A28" t="s">
        <v>34</v>
      </c>
    </row>
    <row r="29" spans="1:12" x14ac:dyDescent="0.3">
      <c r="B29" s="85"/>
      <c r="C29" s="85"/>
      <c r="D29" s="85" t="s">
        <v>25</v>
      </c>
      <c r="E29" s="85" t="s">
        <v>35</v>
      </c>
      <c r="F29" s="85" t="s">
        <v>37</v>
      </c>
      <c r="G29" s="85" t="s">
        <v>31</v>
      </c>
      <c r="H29" s="85" t="s">
        <v>31</v>
      </c>
    </row>
    <row r="30" spans="1:12" ht="15" thickBot="1" x14ac:dyDescent="0.35">
      <c r="B30" s="86" t="s">
        <v>23</v>
      </c>
      <c r="C30" s="86" t="s">
        <v>24</v>
      </c>
      <c r="D30" s="86" t="s">
        <v>26</v>
      </c>
      <c r="E30" s="86" t="s">
        <v>36</v>
      </c>
      <c r="F30" s="86" t="s">
        <v>38</v>
      </c>
      <c r="G30" s="86" t="s">
        <v>32</v>
      </c>
      <c r="H30" s="86" t="s">
        <v>33</v>
      </c>
    </row>
    <row r="31" spans="1:12" x14ac:dyDescent="0.3">
      <c r="B31" s="2" t="s">
        <v>137</v>
      </c>
      <c r="C31" s="2" t="s">
        <v>57</v>
      </c>
      <c r="D31" s="2">
        <v>554121</v>
      </c>
      <c r="E31" s="2">
        <v>0.10033333333333327</v>
      </c>
      <c r="F31" s="2">
        <v>554121</v>
      </c>
      <c r="G31" s="2">
        <v>86863</v>
      </c>
      <c r="H31" s="2">
        <v>213484</v>
      </c>
      <c r="L31" s="87"/>
    </row>
    <row r="32" spans="1:12" x14ac:dyDescent="0.3">
      <c r="B32" s="2" t="s">
        <v>138</v>
      </c>
      <c r="C32" s="2" t="s">
        <v>58</v>
      </c>
      <c r="D32" s="2">
        <v>852364</v>
      </c>
      <c r="E32" s="2">
        <v>3.5333333333333328E-2</v>
      </c>
      <c r="F32" s="2">
        <v>852364</v>
      </c>
      <c r="G32" s="2">
        <v>86863</v>
      </c>
      <c r="H32" s="2">
        <v>852364</v>
      </c>
      <c r="L32" s="87"/>
    </row>
    <row r="33" spans="2:12" x14ac:dyDescent="0.3">
      <c r="B33" s="2" t="s">
        <v>139</v>
      </c>
      <c r="C33" s="2" t="s">
        <v>59</v>
      </c>
      <c r="D33" s="2">
        <v>755042</v>
      </c>
      <c r="E33" s="2">
        <v>4.6333333333333282E-2</v>
      </c>
      <c r="F33" s="2">
        <v>755042</v>
      </c>
      <c r="G33" s="2">
        <v>86863</v>
      </c>
      <c r="H33" s="2">
        <v>213484</v>
      </c>
      <c r="L33" s="87"/>
    </row>
    <row r="34" spans="2:12" x14ac:dyDescent="0.3">
      <c r="B34" s="2" t="s">
        <v>140</v>
      </c>
      <c r="C34" s="2" t="s">
        <v>60</v>
      </c>
      <c r="D34" s="2">
        <v>649258</v>
      </c>
      <c r="E34" s="2">
        <v>7.0999999999999952E-2</v>
      </c>
      <c r="F34" s="2">
        <v>649258</v>
      </c>
      <c r="G34" s="2">
        <v>86863</v>
      </c>
      <c r="H34" s="2">
        <v>213484</v>
      </c>
      <c r="L34" s="87"/>
    </row>
    <row r="35" spans="2:12" x14ac:dyDescent="0.3">
      <c r="B35" s="2" t="s">
        <v>141</v>
      </c>
      <c r="C35" s="2" t="s">
        <v>61</v>
      </c>
      <c r="D35" s="2">
        <v>447289</v>
      </c>
      <c r="E35" s="2">
        <v>4.4000000000000039E-2</v>
      </c>
      <c r="F35" s="2">
        <v>447289</v>
      </c>
      <c r="G35" s="2">
        <v>86863</v>
      </c>
      <c r="H35" s="2">
        <v>447289</v>
      </c>
      <c r="L35" s="87"/>
    </row>
    <row r="36" spans="2:12" x14ac:dyDescent="0.3">
      <c r="B36" s="2" t="s">
        <v>142</v>
      </c>
      <c r="C36" s="2" t="s">
        <v>62</v>
      </c>
      <c r="D36" s="2">
        <v>355063</v>
      </c>
      <c r="E36" s="2">
        <v>4.8333333333333284E-2</v>
      </c>
      <c r="F36" s="2">
        <v>355063</v>
      </c>
      <c r="G36" s="2">
        <v>86863</v>
      </c>
      <c r="H36" s="2">
        <v>213484</v>
      </c>
      <c r="L36" s="87"/>
    </row>
    <row r="37" spans="2:12" x14ac:dyDescent="0.3">
      <c r="B37" s="2" t="s">
        <v>143</v>
      </c>
      <c r="C37" s="2" t="s">
        <v>63</v>
      </c>
      <c r="D37" s="2">
        <v>1400000</v>
      </c>
      <c r="E37" s="2">
        <v>-3.999999999999948E-3</v>
      </c>
      <c r="F37" s="2">
        <v>1400000</v>
      </c>
      <c r="G37" s="2">
        <v>213484</v>
      </c>
      <c r="H37" s="2">
        <v>86863</v>
      </c>
      <c r="L37" s="87"/>
    </row>
    <row r="38" spans="2:12" x14ac:dyDescent="0.3">
      <c r="B38" s="2" t="s">
        <v>144</v>
      </c>
      <c r="C38" s="2" t="s">
        <v>64</v>
      </c>
      <c r="D38" s="2">
        <v>1513137</v>
      </c>
      <c r="E38" s="2">
        <v>0</v>
      </c>
      <c r="F38" s="2">
        <v>1600000</v>
      </c>
      <c r="G38" s="2">
        <v>1E+30</v>
      </c>
      <c r="H38" s="2">
        <v>86863</v>
      </c>
      <c r="L38" s="87"/>
    </row>
    <row r="39" spans="2:12" ht="15" thickBot="1" x14ac:dyDescent="0.35">
      <c r="B39" s="84" t="s">
        <v>145</v>
      </c>
      <c r="C39" s="84" t="s">
        <v>65</v>
      </c>
      <c r="D39" s="84">
        <v>700000</v>
      </c>
      <c r="E39" s="84">
        <v>-2.5333333333333208E-2</v>
      </c>
      <c r="F39" s="84">
        <v>700000</v>
      </c>
      <c r="G39" s="84">
        <v>213484</v>
      </c>
      <c r="H39" s="84">
        <v>86863</v>
      </c>
      <c r="L39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4784-0EB2-4AB7-A927-92A553244C70}">
  <dimension ref="A1:B18"/>
  <sheetViews>
    <sheetView workbookViewId="0"/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 t="s">
        <v>67</v>
      </c>
      <c r="B2" t="s">
        <v>67</v>
      </c>
    </row>
    <row r="3" spans="1:2" x14ac:dyDescent="0.3">
      <c r="A3">
        <v>1</v>
      </c>
      <c r="B3">
        <v>1</v>
      </c>
    </row>
    <row r="4" spans="1:2" x14ac:dyDescent="0.3">
      <c r="A4">
        <v>100000</v>
      </c>
      <c r="B4">
        <v>1000000</v>
      </c>
    </row>
    <row r="5" spans="1:2" x14ac:dyDescent="0.3">
      <c r="A5">
        <v>2000000</v>
      </c>
      <c r="B5">
        <v>2000000</v>
      </c>
    </row>
    <row r="6" spans="1:2" x14ac:dyDescent="0.3">
      <c r="A6">
        <v>50000</v>
      </c>
      <c r="B6">
        <v>50000</v>
      </c>
    </row>
    <row r="8" spans="1:2" x14ac:dyDescent="0.3">
      <c r="A8" s="3"/>
      <c r="B8" s="3" t="s">
        <v>71</v>
      </c>
    </row>
    <row r="9" spans="1:2" x14ac:dyDescent="0.3">
      <c r="A9" t="s">
        <v>68</v>
      </c>
      <c r="B9" t="s">
        <v>72</v>
      </c>
    </row>
    <row r="10" spans="1:2" x14ac:dyDescent="0.3">
      <c r="A10" t="s">
        <v>69</v>
      </c>
      <c r="B10">
        <v>1</v>
      </c>
    </row>
    <row r="11" spans="1:2" x14ac:dyDescent="0.3">
      <c r="B11">
        <v>1000000</v>
      </c>
    </row>
    <row r="12" spans="1:2" x14ac:dyDescent="0.3">
      <c r="B12">
        <v>2000000</v>
      </c>
    </row>
    <row r="13" spans="1:2" x14ac:dyDescent="0.3">
      <c r="B13">
        <v>50000</v>
      </c>
    </row>
    <row r="15" spans="1:2" x14ac:dyDescent="0.3">
      <c r="B15" s="3" t="s">
        <v>71</v>
      </c>
    </row>
    <row r="16" spans="1:2" x14ac:dyDescent="0.3">
      <c r="B16" t="s">
        <v>68</v>
      </c>
    </row>
    <row r="17" spans="2:2" x14ac:dyDescent="0.3">
      <c r="B17" t="s">
        <v>73</v>
      </c>
    </row>
    <row r="18" spans="2:2" x14ac:dyDescent="0.3">
      <c r="B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897D-687F-42E5-A5A3-E78008931B44}">
  <dimension ref="A1:T30"/>
  <sheetViews>
    <sheetView workbookViewId="0">
      <selection activeCell="D29" sqref="D29"/>
    </sheetView>
  </sheetViews>
  <sheetFormatPr defaultRowHeight="14.4" x14ac:dyDescent="0.3"/>
  <cols>
    <col min="3" max="3" width="33.6640625" bestFit="1" customWidth="1"/>
    <col min="4" max="4" width="10.5546875" bestFit="1" customWidth="1"/>
    <col min="5" max="5" width="10.44140625" bestFit="1" customWidth="1"/>
    <col min="7" max="7" width="9.77734375" bestFit="1" customWidth="1"/>
    <col min="12" max="12" width="12.88671875" bestFit="1" customWidth="1"/>
  </cols>
  <sheetData>
    <row r="1" spans="1:20" x14ac:dyDescent="0.3">
      <c r="D1" s="105" t="s">
        <v>1</v>
      </c>
      <c r="E1" s="105"/>
      <c r="F1" s="105"/>
      <c r="G1" s="105"/>
      <c r="H1" s="105"/>
      <c r="I1" s="105"/>
    </row>
    <row r="2" spans="1:20" x14ac:dyDescent="0.3">
      <c r="C2" s="1" t="s">
        <v>152</v>
      </c>
      <c r="D2" s="1" t="s">
        <v>10</v>
      </c>
      <c r="E2" s="71" t="s">
        <v>6</v>
      </c>
      <c r="F2" s="1" t="s">
        <v>5</v>
      </c>
      <c r="G2" s="1" t="s">
        <v>7</v>
      </c>
      <c r="H2" s="1" t="s">
        <v>8</v>
      </c>
      <c r="I2" s="1" t="s">
        <v>9</v>
      </c>
      <c r="L2" s="1" t="s">
        <v>12</v>
      </c>
      <c r="M2" s="1">
        <v>3000</v>
      </c>
      <c r="N2" s="1" t="s">
        <v>151</v>
      </c>
    </row>
    <row r="3" spans="1:20" x14ac:dyDescent="0.3">
      <c r="C3" s="1" t="s">
        <v>0</v>
      </c>
    </row>
    <row r="4" spans="1:20" x14ac:dyDescent="0.3">
      <c r="C4" t="s">
        <v>2</v>
      </c>
      <c r="D4">
        <v>290</v>
      </c>
      <c r="E4">
        <v>397</v>
      </c>
      <c r="F4">
        <v>127</v>
      </c>
      <c r="G4">
        <v>201</v>
      </c>
      <c r="H4">
        <v>337</v>
      </c>
      <c r="I4">
        <v>133</v>
      </c>
    </row>
    <row r="5" spans="1:20" x14ac:dyDescent="0.3">
      <c r="C5" t="s">
        <v>3</v>
      </c>
      <c r="D5">
        <v>301</v>
      </c>
      <c r="E5">
        <v>106</v>
      </c>
      <c r="F5">
        <v>256</v>
      </c>
      <c r="G5">
        <v>318</v>
      </c>
      <c r="H5">
        <v>132</v>
      </c>
      <c r="I5">
        <v>394</v>
      </c>
      <c r="M5">
        <f xml:space="preserve"> 0.2*566.4 + 15* 10 + 0.05*566.4</f>
        <v>291.59999999999997</v>
      </c>
      <c r="O5" t="s">
        <v>150</v>
      </c>
    </row>
    <row r="6" spans="1:20" x14ac:dyDescent="0.3">
      <c r="C6" t="s">
        <v>4</v>
      </c>
      <c r="D6">
        <v>225</v>
      </c>
      <c r="E6">
        <v>204</v>
      </c>
      <c r="F6">
        <v>212</v>
      </c>
      <c r="G6">
        <v>137</v>
      </c>
      <c r="H6">
        <v>239</v>
      </c>
      <c r="I6">
        <v>254</v>
      </c>
    </row>
    <row r="8" spans="1:20" x14ac:dyDescent="0.3">
      <c r="A8" t="s">
        <v>149</v>
      </c>
    </row>
    <row r="9" spans="1:20" x14ac:dyDescent="0.3">
      <c r="D9" s="105" t="s">
        <v>1</v>
      </c>
      <c r="E9" s="105"/>
      <c r="F9" s="105"/>
      <c r="G9" s="105"/>
      <c r="H9" s="105"/>
      <c r="I9" s="105"/>
    </row>
    <row r="10" spans="1:20" x14ac:dyDescent="0.3">
      <c r="C10" t="s">
        <v>148</v>
      </c>
      <c r="D10" s="1" t="s">
        <v>10</v>
      </c>
      <c r="E10" s="1" t="s">
        <v>6</v>
      </c>
      <c r="F10" s="1" t="s">
        <v>5</v>
      </c>
      <c r="G10" s="1" t="s">
        <v>7</v>
      </c>
      <c r="H10" s="1" t="s">
        <v>8</v>
      </c>
      <c r="I10" s="1" t="s">
        <v>9</v>
      </c>
      <c r="J10" s="1" t="s">
        <v>11</v>
      </c>
      <c r="K10" s="1"/>
      <c r="L10" s="1" t="s">
        <v>14</v>
      </c>
    </row>
    <row r="11" spans="1:20" x14ac:dyDescent="0.3">
      <c r="C11" s="1" t="s">
        <v>0</v>
      </c>
    </row>
    <row r="12" spans="1:20" x14ac:dyDescent="0.3">
      <c r="C12" t="s">
        <v>2</v>
      </c>
      <c r="D12">
        <v>0</v>
      </c>
      <c r="E12">
        <v>0</v>
      </c>
      <c r="F12">
        <v>755042</v>
      </c>
      <c r="G12">
        <v>289895</v>
      </c>
      <c r="H12">
        <v>0</v>
      </c>
      <c r="I12">
        <v>355063</v>
      </c>
      <c r="J12">
        <f>SUM(D12:I12)</f>
        <v>1400000</v>
      </c>
      <c r="K12" t="s">
        <v>16</v>
      </c>
      <c r="L12">
        <v>1400000</v>
      </c>
    </row>
    <row r="13" spans="1:20" x14ac:dyDescent="0.3">
      <c r="C13" t="s">
        <v>3</v>
      </c>
      <c r="D13">
        <v>213484</v>
      </c>
      <c r="E13">
        <v>852364</v>
      </c>
      <c r="F13">
        <v>0</v>
      </c>
      <c r="G13">
        <v>0</v>
      </c>
      <c r="H13">
        <v>447289</v>
      </c>
      <c r="I13">
        <v>0</v>
      </c>
      <c r="J13">
        <f>SUM(D13:I13)</f>
        <v>1513137</v>
      </c>
      <c r="K13" t="s">
        <v>16</v>
      </c>
      <c r="L13">
        <v>1600000</v>
      </c>
    </row>
    <row r="14" spans="1:20" x14ac:dyDescent="0.3">
      <c r="C14" t="s">
        <v>4</v>
      </c>
      <c r="D14">
        <v>340637</v>
      </c>
      <c r="E14">
        <v>0</v>
      </c>
      <c r="F14">
        <v>0</v>
      </c>
      <c r="G14">
        <v>359363</v>
      </c>
      <c r="H14">
        <v>0</v>
      </c>
      <c r="I14">
        <v>0</v>
      </c>
      <c r="J14">
        <f>SUM(D14:I14)</f>
        <v>700000</v>
      </c>
      <c r="K14" t="s">
        <v>16</v>
      </c>
      <c r="L14">
        <v>700000</v>
      </c>
    </row>
    <row r="15" spans="1:20" x14ac:dyDescent="0.3">
      <c r="C15" s="1" t="s">
        <v>20</v>
      </c>
      <c r="D15">
        <f t="shared" ref="D15:I15" si="0">SUM(D12:D14)</f>
        <v>554121</v>
      </c>
      <c r="E15">
        <f t="shared" si="0"/>
        <v>852364</v>
      </c>
      <c r="F15">
        <f t="shared" si="0"/>
        <v>755042</v>
      </c>
      <c r="G15">
        <f t="shared" si="0"/>
        <v>649258</v>
      </c>
      <c r="H15">
        <f t="shared" si="0"/>
        <v>447289</v>
      </c>
      <c r="I15">
        <f t="shared" si="0"/>
        <v>355063</v>
      </c>
    </row>
    <row r="16" spans="1:20" x14ac:dyDescent="0.3">
      <c r="D16" s="57" t="s">
        <v>15</v>
      </c>
      <c r="E16" s="57" t="s">
        <v>15</v>
      </c>
      <c r="F16" s="57" t="s">
        <v>15</v>
      </c>
      <c r="G16" s="57" t="s">
        <v>15</v>
      </c>
      <c r="H16" s="57" t="s">
        <v>15</v>
      </c>
      <c r="I16" s="57" t="s">
        <v>15</v>
      </c>
      <c r="N16">
        <f t="shared" ref="N16:S18" si="1">D12/$M$2</f>
        <v>0</v>
      </c>
      <c r="O16">
        <f t="shared" si="1"/>
        <v>0</v>
      </c>
      <c r="P16">
        <f t="shared" si="1"/>
        <v>251.68066666666667</v>
      </c>
      <c r="Q16">
        <f t="shared" si="1"/>
        <v>96.631666666666661</v>
      </c>
      <c r="R16">
        <f t="shared" si="1"/>
        <v>0</v>
      </c>
      <c r="S16">
        <f t="shared" si="1"/>
        <v>118.35433333333333</v>
      </c>
      <c r="T16">
        <f>L12/3000</f>
        <v>466.66666666666669</v>
      </c>
    </row>
    <row r="17" spans="1:20" x14ac:dyDescent="0.3">
      <c r="C17" s="1" t="s">
        <v>13</v>
      </c>
      <c r="D17">
        <v>554121</v>
      </c>
      <c r="E17">
        <v>852364</v>
      </c>
      <c r="F17">
        <v>755042</v>
      </c>
      <c r="G17">
        <v>649258</v>
      </c>
      <c r="H17">
        <v>447289</v>
      </c>
      <c r="I17">
        <v>355063</v>
      </c>
      <c r="K17">
        <f>SUM(D17:I17)</f>
        <v>3613137</v>
      </c>
      <c r="N17">
        <f t="shared" si="1"/>
        <v>71.161333333333332</v>
      </c>
      <c r="O17">
        <f t="shared" si="1"/>
        <v>284.12133333333333</v>
      </c>
      <c r="P17">
        <f t="shared" si="1"/>
        <v>0</v>
      </c>
      <c r="Q17">
        <f t="shared" si="1"/>
        <v>0</v>
      </c>
      <c r="R17">
        <f t="shared" si="1"/>
        <v>149.09633333333332</v>
      </c>
      <c r="S17">
        <f t="shared" si="1"/>
        <v>0</v>
      </c>
      <c r="T17">
        <f>L13/3000</f>
        <v>533.33333333333337</v>
      </c>
    </row>
    <row r="18" spans="1:20" x14ac:dyDescent="0.3">
      <c r="N18">
        <f t="shared" si="1"/>
        <v>113.54566666666666</v>
      </c>
      <c r="O18">
        <f t="shared" si="1"/>
        <v>0</v>
      </c>
      <c r="P18">
        <f t="shared" si="1"/>
        <v>0</v>
      </c>
      <c r="Q18">
        <f t="shared" si="1"/>
        <v>119.78766666666667</v>
      </c>
      <c r="R18">
        <f t="shared" si="1"/>
        <v>0</v>
      </c>
      <c r="S18">
        <f t="shared" si="1"/>
        <v>0</v>
      </c>
      <c r="T18">
        <f>L14/3000</f>
        <v>233.33333333333334</v>
      </c>
    </row>
    <row r="19" spans="1:20" x14ac:dyDescent="0.3">
      <c r="N19" s="57" t="s">
        <v>15</v>
      </c>
      <c r="O19" s="57" t="s">
        <v>15</v>
      </c>
      <c r="P19" s="57" t="s">
        <v>15</v>
      </c>
      <c r="Q19" s="57" t="s">
        <v>15</v>
      </c>
      <c r="R19" s="57" t="s">
        <v>15</v>
      </c>
      <c r="S19" s="57" t="s">
        <v>15</v>
      </c>
    </row>
    <row r="20" spans="1:20" x14ac:dyDescent="0.3">
      <c r="D20" s="105" t="s">
        <v>1</v>
      </c>
      <c r="E20" s="105"/>
      <c r="F20" s="105"/>
      <c r="G20" s="105"/>
      <c r="H20" s="105"/>
      <c r="I20" s="105"/>
      <c r="N20">
        <f t="shared" ref="N20:S20" si="2">D17/3000</f>
        <v>184.70699999999999</v>
      </c>
      <c r="O20">
        <f t="shared" si="2"/>
        <v>284.12133333333333</v>
      </c>
      <c r="P20">
        <f t="shared" si="2"/>
        <v>251.68066666666667</v>
      </c>
      <c r="Q20">
        <f t="shared" si="2"/>
        <v>216.41933333333333</v>
      </c>
      <c r="R20">
        <f t="shared" si="2"/>
        <v>149.09633333333332</v>
      </c>
      <c r="S20">
        <f t="shared" si="2"/>
        <v>118.35433333333333</v>
      </c>
    </row>
    <row r="21" spans="1:20" x14ac:dyDescent="0.3">
      <c r="C21" s="1" t="s">
        <v>19</v>
      </c>
      <c r="D21" s="1" t="s">
        <v>10</v>
      </c>
      <c r="E21" s="1" t="s">
        <v>6</v>
      </c>
      <c r="F21" s="1" t="s">
        <v>5</v>
      </c>
      <c r="G21" s="1" t="s">
        <v>7</v>
      </c>
      <c r="H21" s="1" t="s">
        <v>8</v>
      </c>
      <c r="I21" s="1" t="s">
        <v>9</v>
      </c>
    </row>
    <row r="22" spans="1:20" x14ac:dyDescent="0.3">
      <c r="C22" s="1" t="s">
        <v>0</v>
      </c>
    </row>
    <row r="23" spans="1:20" x14ac:dyDescent="0.3">
      <c r="C23" t="s">
        <v>2</v>
      </c>
      <c r="D23" s="88">
        <v>0</v>
      </c>
      <c r="E23" s="88">
        <v>0</v>
      </c>
      <c r="F23" s="88">
        <v>251.68066666666667</v>
      </c>
      <c r="G23" s="88">
        <v>96.631666666666689</v>
      </c>
      <c r="H23" s="88">
        <v>0</v>
      </c>
      <c r="I23" s="88">
        <v>118.35433333333333</v>
      </c>
      <c r="J23" s="88">
        <f>SUM(D23:I23)</f>
        <v>466.66666666666669</v>
      </c>
      <c r="K23" s="88" t="s">
        <v>16</v>
      </c>
      <c r="L23" s="88">
        <v>466.66666666666669</v>
      </c>
    </row>
    <row r="24" spans="1:20" x14ac:dyDescent="0.3">
      <c r="C24" t="s">
        <v>3</v>
      </c>
      <c r="D24" s="88">
        <v>71.161333333333289</v>
      </c>
      <c r="E24" s="88">
        <v>284.12133333333338</v>
      </c>
      <c r="F24" s="88">
        <v>0</v>
      </c>
      <c r="G24" s="88">
        <v>0</v>
      </c>
      <c r="H24" s="88">
        <v>149.09633333333332</v>
      </c>
      <c r="I24" s="88">
        <v>0</v>
      </c>
      <c r="J24" s="88">
        <f>SUM(D24:I24)</f>
        <v>504.37900000000002</v>
      </c>
      <c r="K24" s="88" t="s">
        <v>16</v>
      </c>
      <c r="L24" s="88">
        <v>533.33333333333337</v>
      </c>
    </row>
    <row r="25" spans="1:20" x14ac:dyDescent="0.3">
      <c r="C25" t="s">
        <v>4</v>
      </c>
      <c r="D25" s="88">
        <v>113.5456666666667</v>
      </c>
      <c r="E25" s="88">
        <v>0</v>
      </c>
      <c r="F25" s="88">
        <v>0</v>
      </c>
      <c r="G25" s="88">
        <v>119.78766666666664</v>
      </c>
      <c r="H25" s="88">
        <v>0</v>
      </c>
      <c r="I25" s="88">
        <v>0</v>
      </c>
      <c r="J25" s="88">
        <f>SUM(D25:I25)</f>
        <v>233.33333333333334</v>
      </c>
      <c r="K25" s="88" t="s">
        <v>16</v>
      </c>
      <c r="L25" s="88">
        <v>233.33333333333334</v>
      </c>
    </row>
    <row r="26" spans="1:20" x14ac:dyDescent="0.3">
      <c r="D26" s="88">
        <f t="shared" ref="D26:I26" si="3">SUM(D23:D25)</f>
        <v>184.70699999999999</v>
      </c>
      <c r="E26" s="88">
        <f t="shared" si="3"/>
        <v>284.12133333333338</v>
      </c>
      <c r="F26" s="88">
        <f t="shared" si="3"/>
        <v>251.68066666666667</v>
      </c>
      <c r="G26" s="88">
        <f t="shared" si="3"/>
        <v>216.41933333333333</v>
      </c>
      <c r="H26" s="88">
        <f t="shared" si="3"/>
        <v>149.09633333333332</v>
      </c>
      <c r="I26" s="88">
        <f t="shared" si="3"/>
        <v>118.35433333333333</v>
      </c>
    </row>
    <row r="27" spans="1:20" x14ac:dyDescent="0.3">
      <c r="D27" s="90" t="s">
        <v>15</v>
      </c>
      <c r="E27" s="90" t="s">
        <v>15</v>
      </c>
      <c r="F27" s="90" t="s">
        <v>15</v>
      </c>
      <c r="G27" s="90" t="s">
        <v>15</v>
      </c>
      <c r="H27" s="90" t="s">
        <v>15</v>
      </c>
      <c r="I27" s="90" t="s">
        <v>15</v>
      </c>
    </row>
    <row r="28" spans="1:20" x14ac:dyDescent="0.3">
      <c r="D28" s="88">
        <v>184.70699999999999</v>
      </c>
      <c r="E28" s="88">
        <v>284.12133333333333</v>
      </c>
      <c r="F28" s="88">
        <v>251.68066666666667</v>
      </c>
      <c r="G28" s="88">
        <v>216.41933333333333</v>
      </c>
      <c r="H28" s="88">
        <v>149.09633333333332</v>
      </c>
      <c r="I28" s="88">
        <v>118.35433333333333</v>
      </c>
    </row>
    <row r="29" spans="1:20" x14ac:dyDescent="0.3">
      <c r="A29" t="s">
        <v>17</v>
      </c>
      <c r="C29" t="s">
        <v>18</v>
      </c>
      <c r="D29" s="87">
        <f>SUMPRODUCT(D23:I25,D4:I6)</f>
        <v>180303.36000000002</v>
      </c>
    </row>
    <row r="30" spans="1:20" x14ac:dyDescent="0.3">
      <c r="D30" s="87">
        <f>180303.36-D29</f>
        <v>0</v>
      </c>
    </row>
  </sheetData>
  <mergeCells count="3">
    <mergeCell ref="D1:I1"/>
    <mergeCell ref="D9:I9"/>
    <mergeCell ref="D20:I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4234-94D7-4F3F-9815-B64AB8A8D066}">
  <dimension ref="A1:H39"/>
  <sheetViews>
    <sheetView showGridLines="0" topLeftCell="A19" workbookViewId="0">
      <selection activeCell="J26" sqref="J26"/>
    </sheetView>
  </sheetViews>
  <sheetFormatPr defaultRowHeight="14.4" x14ac:dyDescent="0.3"/>
  <cols>
    <col min="1" max="1" width="2.33203125" customWidth="1"/>
    <col min="2" max="2" width="6.21875" bestFit="1" customWidth="1"/>
    <col min="3" max="3" width="20.33203125" bestFit="1" customWidth="1"/>
    <col min="4" max="4" width="12" bestFit="1" customWidth="1"/>
    <col min="5" max="5" width="8.33203125" bestFit="1" customWidth="1"/>
    <col min="6" max="8" width="12" bestFit="1" customWidth="1"/>
  </cols>
  <sheetData>
    <row r="1" spans="1:8" x14ac:dyDescent="0.3">
      <c r="A1" s="1" t="s">
        <v>21</v>
      </c>
    </row>
    <row r="2" spans="1:8" x14ac:dyDescent="0.3">
      <c r="A2" s="1" t="s">
        <v>153</v>
      </c>
    </row>
    <row r="3" spans="1:8" x14ac:dyDescent="0.3">
      <c r="A3" s="1" t="s">
        <v>154</v>
      </c>
    </row>
    <row r="6" spans="1:8" ht="15" thickBot="1" x14ac:dyDescent="0.35">
      <c r="A6" t="s">
        <v>22</v>
      </c>
    </row>
    <row r="7" spans="1:8" x14ac:dyDescent="0.3">
      <c r="B7" s="85"/>
      <c r="C7" s="85"/>
      <c r="D7" s="85" t="s">
        <v>25</v>
      </c>
      <c r="E7" s="85" t="s">
        <v>27</v>
      </c>
      <c r="F7" s="85" t="s">
        <v>29</v>
      </c>
      <c r="G7" s="85" t="s">
        <v>31</v>
      </c>
      <c r="H7" s="85" t="s">
        <v>31</v>
      </c>
    </row>
    <row r="8" spans="1:8" ht="15" thickBot="1" x14ac:dyDescent="0.35">
      <c r="B8" s="86" t="s">
        <v>23</v>
      </c>
      <c r="C8" s="86" t="s">
        <v>24</v>
      </c>
      <c r="D8" s="86" t="s">
        <v>26</v>
      </c>
      <c r="E8" s="86" t="s">
        <v>28</v>
      </c>
      <c r="F8" s="86" t="s">
        <v>30</v>
      </c>
      <c r="G8" s="86" t="s">
        <v>32</v>
      </c>
      <c r="H8" s="86" t="s">
        <v>33</v>
      </c>
    </row>
    <row r="9" spans="1:8" x14ac:dyDescent="0.3">
      <c r="B9" s="2" t="s">
        <v>131</v>
      </c>
      <c r="C9" s="2" t="s">
        <v>39</v>
      </c>
      <c r="D9" s="2">
        <v>0</v>
      </c>
      <c r="E9" s="2">
        <v>1</v>
      </c>
      <c r="F9" s="2">
        <v>290</v>
      </c>
      <c r="G9" s="2">
        <v>1E+30</v>
      </c>
      <c r="H9" s="2">
        <v>1</v>
      </c>
    </row>
    <row r="10" spans="1:8" x14ac:dyDescent="0.3">
      <c r="B10" s="2" t="s">
        <v>132</v>
      </c>
      <c r="C10" s="2" t="s">
        <v>40</v>
      </c>
      <c r="D10" s="2">
        <v>0</v>
      </c>
      <c r="E10" s="2">
        <v>303</v>
      </c>
      <c r="F10" s="2">
        <v>397</v>
      </c>
      <c r="G10" s="2">
        <v>1E+30</v>
      </c>
      <c r="H10" s="2">
        <v>303</v>
      </c>
    </row>
    <row r="11" spans="1:8" x14ac:dyDescent="0.3">
      <c r="B11" s="2" t="s">
        <v>133</v>
      </c>
      <c r="C11" s="2" t="s">
        <v>41</v>
      </c>
      <c r="D11" s="2">
        <v>251.68066666666667</v>
      </c>
      <c r="E11" s="2">
        <v>0</v>
      </c>
      <c r="F11" s="2">
        <v>127</v>
      </c>
      <c r="G11" s="2">
        <v>117</v>
      </c>
      <c r="H11" s="2">
        <v>139</v>
      </c>
    </row>
    <row r="12" spans="1:8" x14ac:dyDescent="0.3">
      <c r="B12" s="2" t="s">
        <v>134</v>
      </c>
      <c r="C12" s="2" t="s">
        <v>42</v>
      </c>
      <c r="D12" s="2">
        <v>96.631666666666689</v>
      </c>
      <c r="E12" s="2">
        <v>0</v>
      </c>
      <c r="F12" s="2">
        <v>201</v>
      </c>
      <c r="G12" s="2">
        <v>1</v>
      </c>
      <c r="H12" s="2">
        <v>117</v>
      </c>
    </row>
    <row r="13" spans="1:8" x14ac:dyDescent="0.3">
      <c r="B13" s="2" t="s">
        <v>135</v>
      </c>
      <c r="C13" s="2" t="s">
        <v>43</v>
      </c>
      <c r="D13" s="2">
        <v>0</v>
      </c>
      <c r="E13" s="2">
        <v>217</v>
      </c>
      <c r="F13" s="2">
        <v>337</v>
      </c>
      <c r="G13" s="2">
        <v>1E+30</v>
      </c>
      <c r="H13" s="2">
        <v>217</v>
      </c>
    </row>
    <row r="14" spans="1:8" x14ac:dyDescent="0.3">
      <c r="B14" s="2" t="s">
        <v>136</v>
      </c>
      <c r="C14" s="2" t="s">
        <v>44</v>
      </c>
      <c r="D14" s="2">
        <v>118.35433333333333</v>
      </c>
      <c r="E14" s="2">
        <v>0</v>
      </c>
      <c r="F14" s="2">
        <v>133</v>
      </c>
      <c r="G14" s="2">
        <v>185</v>
      </c>
      <c r="H14" s="2">
        <v>145</v>
      </c>
    </row>
    <row r="15" spans="1:8" x14ac:dyDescent="0.3">
      <c r="B15" s="2" t="s">
        <v>155</v>
      </c>
      <c r="C15" s="2" t="s">
        <v>45</v>
      </c>
      <c r="D15" s="2">
        <v>71.161333333333289</v>
      </c>
      <c r="E15" s="2">
        <v>0</v>
      </c>
      <c r="F15" s="2">
        <v>301</v>
      </c>
      <c r="G15" s="2">
        <v>105</v>
      </c>
      <c r="H15" s="2">
        <v>12</v>
      </c>
    </row>
    <row r="16" spans="1:8" x14ac:dyDescent="0.3">
      <c r="B16" s="2" t="s">
        <v>156</v>
      </c>
      <c r="C16" s="2" t="s">
        <v>46</v>
      </c>
      <c r="D16" s="2">
        <v>284.12133333333338</v>
      </c>
      <c r="E16" s="2">
        <v>0</v>
      </c>
      <c r="F16" s="2">
        <v>106</v>
      </c>
      <c r="G16" s="2">
        <v>174</v>
      </c>
      <c r="H16" s="2">
        <v>106</v>
      </c>
    </row>
    <row r="17" spans="1:8" x14ac:dyDescent="0.3">
      <c r="B17" s="2" t="s">
        <v>157</v>
      </c>
      <c r="C17" s="2" t="s">
        <v>47</v>
      </c>
      <c r="D17" s="2">
        <v>0</v>
      </c>
      <c r="E17" s="2">
        <v>117</v>
      </c>
      <c r="F17" s="2">
        <v>256</v>
      </c>
      <c r="G17" s="2">
        <v>1E+30</v>
      </c>
      <c r="H17" s="2">
        <v>117</v>
      </c>
    </row>
    <row r="18" spans="1:8" x14ac:dyDescent="0.3">
      <c r="B18" s="2" t="s">
        <v>158</v>
      </c>
      <c r="C18" s="2" t="s">
        <v>48</v>
      </c>
      <c r="D18" s="2">
        <v>0</v>
      </c>
      <c r="E18" s="2">
        <v>105</v>
      </c>
      <c r="F18" s="2">
        <v>318</v>
      </c>
      <c r="G18" s="2">
        <v>1E+30</v>
      </c>
      <c r="H18" s="2">
        <v>105</v>
      </c>
    </row>
    <row r="19" spans="1:8" x14ac:dyDescent="0.3">
      <c r="B19" s="2" t="s">
        <v>159</v>
      </c>
      <c r="C19" s="2" t="s">
        <v>49</v>
      </c>
      <c r="D19" s="2">
        <v>149.09633333333332</v>
      </c>
      <c r="E19" s="2">
        <v>0</v>
      </c>
      <c r="F19" s="2">
        <v>132</v>
      </c>
      <c r="G19" s="2">
        <v>183</v>
      </c>
      <c r="H19" s="2">
        <v>132</v>
      </c>
    </row>
    <row r="20" spans="1:8" x14ac:dyDescent="0.3">
      <c r="B20" s="2" t="s">
        <v>160</v>
      </c>
      <c r="C20" s="2" t="s">
        <v>50</v>
      </c>
      <c r="D20" s="2">
        <v>0</v>
      </c>
      <c r="E20" s="2">
        <v>249</v>
      </c>
      <c r="F20" s="2">
        <v>394</v>
      </c>
      <c r="G20" s="2">
        <v>1E+30</v>
      </c>
      <c r="H20" s="2">
        <v>249</v>
      </c>
    </row>
    <row r="21" spans="1:8" x14ac:dyDescent="0.3">
      <c r="B21" s="2" t="s">
        <v>137</v>
      </c>
      <c r="C21" s="2" t="s">
        <v>51</v>
      </c>
      <c r="D21" s="2">
        <v>113.5456666666667</v>
      </c>
      <c r="E21" s="2">
        <v>0</v>
      </c>
      <c r="F21" s="2">
        <v>225</v>
      </c>
      <c r="G21" s="2">
        <v>1</v>
      </c>
      <c r="H21" s="2">
        <v>105</v>
      </c>
    </row>
    <row r="22" spans="1:8" x14ac:dyDescent="0.3">
      <c r="B22" s="2" t="s">
        <v>138</v>
      </c>
      <c r="C22" s="2" t="s">
        <v>52</v>
      </c>
      <c r="D22" s="2">
        <v>0</v>
      </c>
      <c r="E22" s="2">
        <v>174</v>
      </c>
      <c r="F22" s="2">
        <v>204</v>
      </c>
      <c r="G22" s="2">
        <v>1E+30</v>
      </c>
      <c r="H22" s="2">
        <v>174</v>
      </c>
    </row>
    <row r="23" spans="1:8" x14ac:dyDescent="0.3">
      <c r="B23" s="2" t="s">
        <v>139</v>
      </c>
      <c r="C23" s="2" t="s">
        <v>53</v>
      </c>
      <c r="D23" s="2">
        <v>0</v>
      </c>
      <c r="E23" s="2">
        <v>149</v>
      </c>
      <c r="F23" s="2">
        <v>212</v>
      </c>
      <c r="G23" s="2">
        <v>1E+30</v>
      </c>
      <c r="H23" s="2">
        <v>149</v>
      </c>
    </row>
    <row r="24" spans="1:8" x14ac:dyDescent="0.3">
      <c r="B24" s="2" t="s">
        <v>140</v>
      </c>
      <c r="C24" s="2" t="s">
        <v>54</v>
      </c>
      <c r="D24" s="2">
        <v>119.78766666666664</v>
      </c>
      <c r="E24" s="2">
        <v>0</v>
      </c>
      <c r="F24" s="2">
        <v>137</v>
      </c>
      <c r="G24" s="2">
        <v>105</v>
      </c>
      <c r="H24" s="2">
        <v>1</v>
      </c>
    </row>
    <row r="25" spans="1:8" x14ac:dyDescent="0.3">
      <c r="B25" s="2" t="s">
        <v>141</v>
      </c>
      <c r="C25" s="2" t="s">
        <v>55</v>
      </c>
      <c r="D25" s="2">
        <v>0</v>
      </c>
      <c r="E25" s="2">
        <v>183</v>
      </c>
      <c r="F25" s="2">
        <v>239</v>
      </c>
      <c r="G25" s="2">
        <v>1E+30</v>
      </c>
      <c r="H25" s="2">
        <v>183</v>
      </c>
    </row>
    <row r="26" spans="1:8" ht="15" thickBot="1" x14ac:dyDescent="0.35">
      <c r="B26" s="84" t="s">
        <v>142</v>
      </c>
      <c r="C26" s="84" t="s">
        <v>56</v>
      </c>
      <c r="D26" s="84">
        <v>0</v>
      </c>
      <c r="E26" s="84">
        <v>185</v>
      </c>
      <c r="F26" s="84">
        <v>254</v>
      </c>
      <c r="G26" s="84">
        <v>1E+30</v>
      </c>
      <c r="H26" s="84">
        <v>185</v>
      </c>
    </row>
    <row r="28" spans="1:8" ht="15" thickBot="1" x14ac:dyDescent="0.35">
      <c r="A28" t="s">
        <v>34</v>
      </c>
    </row>
    <row r="29" spans="1:8" x14ac:dyDescent="0.3">
      <c r="B29" s="85"/>
      <c r="C29" s="85"/>
      <c r="D29" s="85" t="s">
        <v>25</v>
      </c>
      <c r="E29" s="85" t="s">
        <v>35</v>
      </c>
      <c r="F29" s="85" t="s">
        <v>37</v>
      </c>
      <c r="G29" s="85" t="s">
        <v>31</v>
      </c>
      <c r="H29" s="85" t="s">
        <v>31</v>
      </c>
    </row>
    <row r="30" spans="1:8" ht="15" thickBot="1" x14ac:dyDescent="0.35">
      <c r="B30" s="86" t="s">
        <v>23</v>
      </c>
      <c r="C30" s="86" t="s">
        <v>24</v>
      </c>
      <c r="D30" s="86" t="s">
        <v>26</v>
      </c>
      <c r="E30" s="86" t="s">
        <v>36</v>
      </c>
      <c r="F30" s="86" t="s">
        <v>38</v>
      </c>
      <c r="G30" s="86" t="s">
        <v>32</v>
      </c>
      <c r="H30" s="86" t="s">
        <v>33</v>
      </c>
    </row>
    <row r="31" spans="1:8" x14ac:dyDescent="0.3">
      <c r="B31" s="2" t="s">
        <v>161</v>
      </c>
      <c r="C31" s="2" t="s">
        <v>10</v>
      </c>
      <c r="D31" s="2">
        <v>184.70699999999999</v>
      </c>
      <c r="E31" s="2">
        <v>301</v>
      </c>
      <c r="F31" s="2">
        <v>184.70699999999999</v>
      </c>
      <c r="G31" s="2">
        <v>28.954333333333466</v>
      </c>
      <c r="H31" s="2">
        <v>71.161333333333289</v>
      </c>
    </row>
    <row r="32" spans="1:8" x14ac:dyDescent="0.3">
      <c r="B32" s="2" t="s">
        <v>162</v>
      </c>
      <c r="C32" s="2" t="s">
        <v>6</v>
      </c>
      <c r="D32" s="2">
        <v>284.12133333333338</v>
      </c>
      <c r="E32" s="2">
        <v>106</v>
      </c>
      <c r="F32" s="2">
        <v>284.12133333333333</v>
      </c>
      <c r="G32" s="2">
        <v>28.954333333333466</v>
      </c>
      <c r="H32" s="2">
        <v>284.12133333333338</v>
      </c>
    </row>
    <row r="33" spans="2:8" x14ac:dyDescent="0.3">
      <c r="B33" s="2" t="s">
        <v>163</v>
      </c>
      <c r="C33" s="2" t="s">
        <v>5</v>
      </c>
      <c r="D33" s="2">
        <v>251.68066666666667</v>
      </c>
      <c r="E33" s="2">
        <v>139</v>
      </c>
      <c r="F33" s="2">
        <v>251.68066666666667</v>
      </c>
      <c r="G33" s="2">
        <v>28.954333333333466</v>
      </c>
      <c r="H33" s="2">
        <v>71.161333333333289</v>
      </c>
    </row>
    <row r="34" spans="2:8" x14ac:dyDescent="0.3">
      <c r="B34" s="2" t="s">
        <v>164</v>
      </c>
      <c r="C34" s="2" t="s">
        <v>7</v>
      </c>
      <c r="D34" s="2">
        <v>216.41933333333333</v>
      </c>
      <c r="E34" s="2">
        <v>213</v>
      </c>
      <c r="F34" s="2">
        <v>216.41933333333333</v>
      </c>
      <c r="G34" s="2">
        <v>28.954333333333466</v>
      </c>
      <c r="H34" s="2">
        <v>71.161333333333289</v>
      </c>
    </row>
    <row r="35" spans="2:8" x14ac:dyDescent="0.3">
      <c r="B35" s="2" t="s">
        <v>165</v>
      </c>
      <c r="C35" s="2" t="s">
        <v>8</v>
      </c>
      <c r="D35" s="2">
        <v>149.09633333333332</v>
      </c>
      <c r="E35" s="2">
        <v>132</v>
      </c>
      <c r="F35" s="2">
        <v>149.09633333333332</v>
      </c>
      <c r="G35" s="2">
        <v>28.954333333333466</v>
      </c>
      <c r="H35" s="2">
        <v>149.09633333333332</v>
      </c>
    </row>
    <row r="36" spans="2:8" x14ac:dyDescent="0.3">
      <c r="B36" s="2" t="s">
        <v>166</v>
      </c>
      <c r="C36" s="2" t="s">
        <v>9</v>
      </c>
      <c r="D36" s="2">
        <v>118.35433333333333</v>
      </c>
      <c r="E36" s="2">
        <v>145</v>
      </c>
      <c r="F36" s="2">
        <v>118.35433333333333</v>
      </c>
      <c r="G36" s="2">
        <v>28.954333333333466</v>
      </c>
      <c r="H36" s="2">
        <v>71.161333333333289</v>
      </c>
    </row>
    <row r="37" spans="2:8" x14ac:dyDescent="0.3">
      <c r="B37" s="2" t="s">
        <v>167</v>
      </c>
      <c r="C37" s="2" t="s">
        <v>63</v>
      </c>
      <c r="D37" s="2">
        <v>466.66666666666669</v>
      </c>
      <c r="E37" s="2">
        <v>-12</v>
      </c>
      <c r="F37" s="2">
        <v>466.66666666666669</v>
      </c>
      <c r="G37" s="2">
        <v>71.161333333333289</v>
      </c>
      <c r="H37" s="2">
        <v>28.954333333333466</v>
      </c>
    </row>
    <row r="38" spans="2:8" x14ac:dyDescent="0.3">
      <c r="B38" s="2" t="s">
        <v>168</v>
      </c>
      <c r="C38" s="2" t="s">
        <v>64</v>
      </c>
      <c r="D38" s="2">
        <v>504.37900000000002</v>
      </c>
      <c r="E38" s="2">
        <v>0</v>
      </c>
      <c r="F38" s="2">
        <v>533.33333333333337</v>
      </c>
      <c r="G38" s="2">
        <v>1E+30</v>
      </c>
      <c r="H38" s="2">
        <v>28.954333333333466</v>
      </c>
    </row>
    <row r="39" spans="2:8" ht="15" thickBot="1" x14ac:dyDescent="0.35">
      <c r="B39" s="84" t="s">
        <v>169</v>
      </c>
      <c r="C39" s="84" t="s">
        <v>65</v>
      </c>
      <c r="D39" s="84">
        <v>233.33333333333334</v>
      </c>
      <c r="E39" s="84">
        <v>-76</v>
      </c>
      <c r="F39" s="84">
        <v>233.33333333333334</v>
      </c>
      <c r="G39" s="84">
        <v>71.161333333333289</v>
      </c>
      <c r="H39" s="84">
        <v>28.954333333333466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6D8C-760C-40A7-B65D-AF7A09762B65}">
  <dimension ref="A1:B18"/>
  <sheetViews>
    <sheetView workbookViewId="0"/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 t="s">
        <v>174</v>
      </c>
      <c r="B2" t="s">
        <v>177</v>
      </c>
    </row>
    <row r="3" spans="1:2" x14ac:dyDescent="0.3">
      <c r="A3">
        <v>1</v>
      </c>
      <c r="B3">
        <v>1</v>
      </c>
    </row>
    <row r="4" spans="1:2" x14ac:dyDescent="0.3">
      <c r="A4">
        <v>500000</v>
      </c>
      <c r="B4">
        <v>200000</v>
      </c>
    </row>
    <row r="5" spans="1:2" x14ac:dyDescent="0.3">
      <c r="A5">
        <v>2000000</v>
      </c>
      <c r="B5">
        <v>1000000</v>
      </c>
    </row>
    <row r="6" spans="1:2" x14ac:dyDescent="0.3">
      <c r="A6">
        <v>50000</v>
      </c>
      <c r="B6">
        <v>100000</v>
      </c>
    </row>
    <row r="8" spans="1:2" x14ac:dyDescent="0.3">
      <c r="A8" s="3"/>
      <c r="B8" s="3" t="s">
        <v>71</v>
      </c>
    </row>
    <row r="9" spans="1:2" x14ac:dyDescent="0.3">
      <c r="A9" t="s">
        <v>170</v>
      </c>
      <c r="B9" t="s">
        <v>178</v>
      </c>
    </row>
    <row r="10" spans="1:2" x14ac:dyDescent="0.3">
      <c r="A10" t="s">
        <v>175</v>
      </c>
      <c r="B10">
        <v>1</v>
      </c>
    </row>
    <row r="11" spans="1:2" x14ac:dyDescent="0.3">
      <c r="B11">
        <v>50000</v>
      </c>
    </row>
    <row r="12" spans="1:2" x14ac:dyDescent="0.3">
      <c r="B12">
        <v>600000</v>
      </c>
    </row>
    <row r="13" spans="1:2" x14ac:dyDescent="0.3">
      <c r="B13">
        <v>50000</v>
      </c>
    </row>
    <row r="15" spans="1:2" x14ac:dyDescent="0.3">
      <c r="B15" s="3" t="s">
        <v>71</v>
      </c>
    </row>
    <row r="16" spans="1:2" x14ac:dyDescent="0.3">
      <c r="B16" t="s">
        <v>170</v>
      </c>
    </row>
    <row r="17" spans="2:2" x14ac:dyDescent="0.3">
      <c r="B17" t="s">
        <v>179</v>
      </c>
    </row>
    <row r="18" spans="2:2" x14ac:dyDescent="0.3">
      <c r="B18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B54A-5C10-4C69-85EF-1DBBD3F3D1D7}">
  <dimension ref="A1:V39"/>
  <sheetViews>
    <sheetView zoomScale="85" zoomScaleNormal="85" workbookViewId="0">
      <selection activeCell="U28" sqref="U28"/>
    </sheetView>
  </sheetViews>
  <sheetFormatPr defaultRowHeight="14.4" x14ac:dyDescent="0.3"/>
  <sheetData>
    <row r="1" spans="1:22" x14ac:dyDescent="0.3">
      <c r="A1" s="1" t="s">
        <v>171</v>
      </c>
      <c r="V1" s="10" t="str">
        <f>CONCATENATE("Sensitivity of ",$V$4," to ","capacity of Sangvi")</f>
        <v>Sensitivity of $D$39 to capacity of Sangvi</v>
      </c>
    </row>
    <row r="3" spans="1:22" x14ac:dyDescent="0.3">
      <c r="A3" t="s">
        <v>172</v>
      </c>
      <c r="V3" t="s">
        <v>66</v>
      </c>
    </row>
    <row r="4" spans="1:22" ht="33.6" x14ac:dyDescent="0.3">
      <c r="B4" s="4" t="s">
        <v>173</v>
      </c>
      <c r="C4" s="4" t="s">
        <v>119</v>
      </c>
      <c r="D4" s="4" t="s">
        <v>120</v>
      </c>
      <c r="E4" s="4" t="s">
        <v>121</v>
      </c>
      <c r="F4" s="4" t="s">
        <v>122</v>
      </c>
      <c r="G4" s="4" t="s">
        <v>123</v>
      </c>
      <c r="H4" s="4" t="s">
        <v>124</v>
      </c>
      <c r="I4" s="4" t="s">
        <v>125</v>
      </c>
      <c r="J4" s="4" t="s">
        <v>126</v>
      </c>
      <c r="K4" s="4" t="s">
        <v>127</v>
      </c>
      <c r="L4" s="4" t="s">
        <v>128</v>
      </c>
      <c r="M4" s="4" t="s">
        <v>129</v>
      </c>
      <c r="N4" s="4" t="s">
        <v>130</v>
      </c>
      <c r="O4" s="4" t="s">
        <v>131</v>
      </c>
      <c r="P4" s="4" t="s">
        <v>132</v>
      </c>
      <c r="Q4" s="4" t="s">
        <v>133</v>
      </c>
      <c r="R4" s="4" t="s">
        <v>134</v>
      </c>
      <c r="S4" s="4" t="s">
        <v>135</v>
      </c>
      <c r="T4" s="4" t="s">
        <v>136</v>
      </c>
      <c r="U4" s="10">
        <f>MATCH($V$4,OutputAddresses,0)</f>
        <v>1</v>
      </c>
      <c r="V4" s="9" t="s">
        <v>173</v>
      </c>
    </row>
    <row r="5" spans="1:22" x14ac:dyDescent="0.3">
      <c r="A5">
        <v>500000</v>
      </c>
      <c r="B5" s="72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V5" t="str">
        <f>INDEX(OutputValues,1,$U$4)</f>
        <v>Not feasible</v>
      </c>
    </row>
    <row r="6" spans="1:22" x14ac:dyDescent="0.3">
      <c r="A6">
        <v>550000</v>
      </c>
      <c r="B6" s="73" t="s">
        <v>70</v>
      </c>
      <c r="T6" s="7"/>
      <c r="V6" t="str">
        <f>INDEX(OutputValues,2,$U$4)</f>
        <v>Not feasible</v>
      </c>
    </row>
    <row r="7" spans="1:22" x14ac:dyDescent="0.3">
      <c r="A7">
        <v>600000</v>
      </c>
      <c r="B7" s="73" t="s">
        <v>70</v>
      </c>
      <c r="T7" s="7"/>
      <c r="V7" t="str">
        <f>INDEX(OutputValues,3,$U$4)</f>
        <v>Not feasible</v>
      </c>
    </row>
    <row r="8" spans="1:22" x14ac:dyDescent="0.3">
      <c r="A8">
        <v>650000</v>
      </c>
      <c r="B8" s="73" t="s">
        <v>70</v>
      </c>
      <c r="T8" s="7"/>
      <c r="V8" t="str">
        <f>INDEX(OutputValues,4,$U$4)</f>
        <v>Not feasible</v>
      </c>
    </row>
    <row r="9" spans="1:22" x14ac:dyDescent="0.3">
      <c r="A9">
        <v>700000</v>
      </c>
      <c r="B9" s="73" t="s">
        <v>70</v>
      </c>
      <c r="T9" s="7"/>
      <c r="V9" t="str">
        <f>INDEX(OutputValues,5,$U$4)</f>
        <v>Not feasible</v>
      </c>
    </row>
    <row r="10" spans="1:22" x14ac:dyDescent="0.3">
      <c r="A10">
        <v>750000</v>
      </c>
      <c r="B10" s="73" t="s">
        <v>70</v>
      </c>
      <c r="T10" s="7"/>
      <c r="V10" t="str">
        <f>INDEX(OutputValues,6,$U$4)</f>
        <v>Not feasible</v>
      </c>
    </row>
    <row r="11" spans="1:22" x14ac:dyDescent="0.3">
      <c r="A11">
        <v>800000</v>
      </c>
      <c r="B11" s="73" t="s">
        <v>70</v>
      </c>
      <c r="T11" s="7"/>
      <c r="V11" t="str">
        <f>INDEX(OutputValues,7,$U$4)</f>
        <v>Not feasible</v>
      </c>
    </row>
    <row r="12" spans="1:22" x14ac:dyDescent="0.3">
      <c r="A12">
        <v>850000</v>
      </c>
      <c r="B12" s="73" t="s">
        <v>70</v>
      </c>
      <c r="T12" s="7"/>
      <c r="V12" t="str">
        <f>INDEX(OutputValues,8,$U$4)</f>
        <v>Not feasible</v>
      </c>
    </row>
    <row r="13" spans="1:22" x14ac:dyDescent="0.3">
      <c r="A13">
        <v>900000</v>
      </c>
      <c r="B13" s="73" t="s">
        <v>70</v>
      </c>
      <c r="T13" s="7"/>
      <c r="V13" t="str">
        <f>INDEX(OutputValues,9,$U$4)</f>
        <v>Not feasible</v>
      </c>
    </row>
    <row r="14" spans="1:22" x14ac:dyDescent="0.3">
      <c r="A14">
        <v>950000</v>
      </c>
      <c r="B14" s="73" t="s">
        <v>70</v>
      </c>
      <c r="T14" s="7"/>
      <c r="V14" t="str">
        <f>INDEX(OutputValues,10,$U$4)</f>
        <v>Not feasible</v>
      </c>
    </row>
    <row r="15" spans="1:22" x14ac:dyDescent="0.3">
      <c r="A15">
        <v>1000000</v>
      </c>
      <c r="B15" s="73" t="s">
        <v>70</v>
      </c>
      <c r="T15" s="7"/>
      <c r="V15" t="str">
        <f>INDEX(OutputValues,11,$U$4)</f>
        <v>Not feasible</v>
      </c>
    </row>
    <row r="16" spans="1:22" x14ac:dyDescent="0.3">
      <c r="A16">
        <v>1050000</v>
      </c>
      <c r="B16" s="73" t="s">
        <v>70</v>
      </c>
      <c r="T16" s="7"/>
      <c r="V16" t="str">
        <f>INDEX(OutputValues,12,$U$4)</f>
        <v>Not feasible</v>
      </c>
    </row>
    <row r="17" spans="1:22" x14ac:dyDescent="0.3">
      <c r="A17">
        <v>1100000</v>
      </c>
      <c r="B17" s="73" t="s">
        <v>70</v>
      </c>
      <c r="T17" s="7"/>
      <c r="V17" t="str">
        <f>INDEX(OutputValues,13,$U$4)</f>
        <v>Not feasible</v>
      </c>
    </row>
    <row r="18" spans="1:22" x14ac:dyDescent="0.3">
      <c r="A18">
        <v>1150000</v>
      </c>
      <c r="B18" s="73" t="s">
        <v>70</v>
      </c>
      <c r="T18" s="7"/>
      <c r="V18" t="str">
        <f>INDEX(OutputValues,14,$U$4)</f>
        <v>Not feasible</v>
      </c>
    </row>
    <row r="19" spans="1:22" x14ac:dyDescent="0.3">
      <c r="A19">
        <v>1200000</v>
      </c>
      <c r="B19" s="73" t="s">
        <v>70</v>
      </c>
      <c r="T19" s="7"/>
      <c r="V19" t="str">
        <f>INDEX(OutputValues,15,$U$4)</f>
        <v>Not feasible</v>
      </c>
    </row>
    <row r="20" spans="1:22" x14ac:dyDescent="0.3">
      <c r="A20">
        <v>1250000</v>
      </c>
      <c r="B20" s="73" t="s">
        <v>70</v>
      </c>
      <c r="T20" s="7"/>
      <c r="V20" t="str">
        <f>INDEX(OutputValues,16,$U$4)</f>
        <v>Not feasible</v>
      </c>
    </row>
    <row r="21" spans="1:22" x14ac:dyDescent="0.3">
      <c r="A21">
        <v>1300000</v>
      </c>
      <c r="B21" s="73" t="s">
        <v>70</v>
      </c>
      <c r="T21" s="7"/>
      <c r="V21" t="str">
        <f>INDEX(OutputValues,17,$U$4)</f>
        <v>Not feasible</v>
      </c>
    </row>
    <row r="22" spans="1:22" x14ac:dyDescent="0.3">
      <c r="A22">
        <v>1350000</v>
      </c>
      <c r="B22" s="11">
        <v>180503.36</v>
      </c>
      <c r="C22">
        <v>0</v>
      </c>
      <c r="D22">
        <v>0</v>
      </c>
      <c r="E22">
        <v>755042</v>
      </c>
      <c r="F22">
        <v>239895</v>
      </c>
      <c r="G22">
        <v>0</v>
      </c>
      <c r="H22">
        <v>355063</v>
      </c>
      <c r="I22">
        <v>263484</v>
      </c>
      <c r="J22">
        <v>852364</v>
      </c>
      <c r="K22">
        <v>0</v>
      </c>
      <c r="L22">
        <v>0</v>
      </c>
      <c r="M22">
        <v>447289</v>
      </c>
      <c r="N22">
        <v>0</v>
      </c>
      <c r="O22">
        <v>290637</v>
      </c>
      <c r="P22">
        <v>0</v>
      </c>
      <c r="Q22">
        <v>0</v>
      </c>
      <c r="R22">
        <v>409363</v>
      </c>
      <c r="S22">
        <v>0</v>
      </c>
      <c r="T22" s="7">
        <v>0</v>
      </c>
      <c r="V22">
        <f>INDEX(OutputValues,18,$U$4)</f>
        <v>180503.36</v>
      </c>
    </row>
    <row r="23" spans="1:22" x14ac:dyDescent="0.3">
      <c r="A23">
        <v>1400000</v>
      </c>
      <c r="B23" s="11">
        <v>180303.35999999999</v>
      </c>
      <c r="C23">
        <v>0</v>
      </c>
      <c r="D23">
        <v>0</v>
      </c>
      <c r="E23">
        <v>755042</v>
      </c>
      <c r="F23">
        <v>289895</v>
      </c>
      <c r="G23">
        <v>0</v>
      </c>
      <c r="H23">
        <v>355063</v>
      </c>
      <c r="I23">
        <v>213484</v>
      </c>
      <c r="J23">
        <v>852364</v>
      </c>
      <c r="K23">
        <v>0</v>
      </c>
      <c r="L23">
        <v>0</v>
      </c>
      <c r="M23">
        <v>447289</v>
      </c>
      <c r="N23">
        <v>0</v>
      </c>
      <c r="O23">
        <v>340637</v>
      </c>
      <c r="P23">
        <v>0</v>
      </c>
      <c r="Q23">
        <v>0</v>
      </c>
      <c r="R23">
        <v>359363</v>
      </c>
      <c r="S23">
        <v>0</v>
      </c>
      <c r="T23" s="7">
        <v>0</v>
      </c>
      <c r="V23">
        <f>INDEX(OutputValues,19,$U$4)</f>
        <v>180303.35999999999</v>
      </c>
    </row>
    <row r="24" spans="1:22" x14ac:dyDescent="0.3">
      <c r="A24">
        <v>1450000</v>
      </c>
      <c r="B24" s="11">
        <v>180103.35999999996</v>
      </c>
      <c r="C24">
        <v>0</v>
      </c>
      <c r="D24">
        <v>0</v>
      </c>
      <c r="E24">
        <v>755042</v>
      </c>
      <c r="F24">
        <v>339895</v>
      </c>
      <c r="G24">
        <v>0</v>
      </c>
      <c r="H24">
        <v>355063</v>
      </c>
      <c r="I24">
        <v>163484</v>
      </c>
      <c r="J24">
        <v>852364</v>
      </c>
      <c r="K24">
        <v>0</v>
      </c>
      <c r="L24">
        <v>0</v>
      </c>
      <c r="M24">
        <v>447289</v>
      </c>
      <c r="N24">
        <v>0</v>
      </c>
      <c r="O24">
        <v>390637</v>
      </c>
      <c r="P24">
        <v>0</v>
      </c>
      <c r="Q24">
        <v>0</v>
      </c>
      <c r="R24">
        <v>309363</v>
      </c>
      <c r="S24">
        <v>0</v>
      </c>
      <c r="T24" s="7">
        <v>0</v>
      </c>
      <c r="V24">
        <f>INDEX(OutputValues,20,$U$4)</f>
        <v>180103.35999999996</v>
      </c>
    </row>
    <row r="25" spans="1:22" x14ac:dyDescent="0.3">
      <c r="A25">
        <v>1500000</v>
      </c>
      <c r="B25" s="11">
        <v>179903.35999999999</v>
      </c>
      <c r="C25">
        <v>0</v>
      </c>
      <c r="D25">
        <v>0</v>
      </c>
      <c r="E25">
        <v>755042</v>
      </c>
      <c r="F25">
        <v>389895</v>
      </c>
      <c r="G25">
        <v>0</v>
      </c>
      <c r="H25">
        <v>355063</v>
      </c>
      <c r="I25">
        <v>113484</v>
      </c>
      <c r="J25">
        <v>852364</v>
      </c>
      <c r="K25">
        <v>0</v>
      </c>
      <c r="L25">
        <v>0</v>
      </c>
      <c r="M25">
        <v>447289</v>
      </c>
      <c r="N25">
        <v>0</v>
      </c>
      <c r="O25">
        <v>440637</v>
      </c>
      <c r="P25">
        <v>0</v>
      </c>
      <c r="Q25">
        <v>0</v>
      </c>
      <c r="R25">
        <v>259363</v>
      </c>
      <c r="S25">
        <v>0</v>
      </c>
      <c r="T25" s="7">
        <v>0</v>
      </c>
      <c r="V25">
        <f>INDEX(OutputValues,21,$U$4)</f>
        <v>179903.35999999999</v>
      </c>
    </row>
    <row r="26" spans="1:22" x14ac:dyDescent="0.3">
      <c r="A26">
        <v>1550000</v>
      </c>
      <c r="B26" s="11">
        <v>179703.36</v>
      </c>
      <c r="C26">
        <v>0</v>
      </c>
      <c r="D26">
        <v>0</v>
      </c>
      <c r="E26">
        <v>755042</v>
      </c>
      <c r="F26">
        <v>439895</v>
      </c>
      <c r="G26">
        <v>0</v>
      </c>
      <c r="H26">
        <v>355063</v>
      </c>
      <c r="I26">
        <v>63484</v>
      </c>
      <c r="J26">
        <v>852364</v>
      </c>
      <c r="K26">
        <v>0</v>
      </c>
      <c r="L26">
        <v>0</v>
      </c>
      <c r="M26">
        <v>447289</v>
      </c>
      <c r="N26">
        <v>0</v>
      </c>
      <c r="O26">
        <v>490637</v>
      </c>
      <c r="P26">
        <v>0</v>
      </c>
      <c r="Q26">
        <v>0</v>
      </c>
      <c r="R26">
        <v>209363</v>
      </c>
      <c r="S26">
        <v>0</v>
      </c>
      <c r="T26" s="7">
        <v>0</v>
      </c>
      <c r="V26">
        <f>INDEX(OutputValues,22,$U$4)</f>
        <v>179703.36</v>
      </c>
    </row>
    <row r="27" spans="1:22" x14ac:dyDescent="0.3">
      <c r="A27">
        <v>1600000</v>
      </c>
      <c r="B27" s="11">
        <v>179503.35999999999</v>
      </c>
      <c r="C27">
        <v>0</v>
      </c>
      <c r="D27">
        <v>0</v>
      </c>
      <c r="E27">
        <v>755042</v>
      </c>
      <c r="F27">
        <v>489895</v>
      </c>
      <c r="G27">
        <v>0</v>
      </c>
      <c r="H27">
        <v>355063</v>
      </c>
      <c r="I27">
        <v>13484</v>
      </c>
      <c r="J27">
        <v>852364</v>
      </c>
      <c r="K27">
        <v>0</v>
      </c>
      <c r="L27">
        <v>0</v>
      </c>
      <c r="M27">
        <v>447289</v>
      </c>
      <c r="N27">
        <v>0</v>
      </c>
      <c r="O27">
        <v>540637</v>
      </c>
      <c r="P27">
        <v>0</v>
      </c>
      <c r="Q27">
        <v>0</v>
      </c>
      <c r="R27">
        <v>159363</v>
      </c>
      <c r="S27">
        <v>0</v>
      </c>
      <c r="T27" s="7">
        <v>0</v>
      </c>
      <c r="V27">
        <f>INDEX(OutputValues,23,$U$4)</f>
        <v>179503.35999999999</v>
      </c>
    </row>
    <row r="28" spans="1:22" x14ac:dyDescent="0.3">
      <c r="A28">
        <v>1650000</v>
      </c>
      <c r="B28" s="11">
        <v>179449.42399999997</v>
      </c>
      <c r="C28">
        <v>0</v>
      </c>
      <c r="D28">
        <v>0</v>
      </c>
      <c r="E28">
        <v>755042</v>
      </c>
      <c r="F28">
        <v>503379</v>
      </c>
      <c r="G28">
        <v>0</v>
      </c>
      <c r="H28">
        <v>355063</v>
      </c>
      <c r="I28">
        <v>0</v>
      </c>
      <c r="J28">
        <v>852364</v>
      </c>
      <c r="K28">
        <v>0</v>
      </c>
      <c r="L28">
        <v>0</v>
      </c>
      <c r="M28">
        <v>447289</v>
      </c>
      <c r="N28">
        <v>0</v>
      </c>
      <c r="O28">
        <v>554121</v>
      </c>
      <c r="P28">
        <v>0</v>
      </c>
      <c r="Q28">
        <v>0</v>
      </c>
      <c r="R28">
        <v>145879</v>
      </c>
      <c r="S28">
        <v>0</v>
      </c>
      <c r="T28" s="7">
        <v>0</v>
      </c>
      <c r="V28">
        <f>INDEX(OutputValues,24,$U$4)</f>
        <v>179449.42399999997</v>
      </c>
    </row>
    <row r="29" spans="1:22" x14ac:dyDescent="0.3">
      <c r="A29">
        <v>1700000</v>
      </c>
      <c r="B29" s="11">
        <v>179449.42399999997</v>
      </c>
      <c r="C29">
        <v>0</v>
      </c>
      <c r="D29">
        <v>0</v>
      </c>
      <c r="E29">
        <v>755042</v>
      </c>
      <c r="F29">
        <v>503379</v>
      </c>
      <c r="G29">
        <v>0</v>
      </c>
      <c r="H29">
        <v>355063</v>
      </c>
      <c r="I29">
        <v>0</v>
      </c>
      <c r="J29">
        <v>852364</v>
      </c>
      <c r="K29">
        <v>0</v>
      </c>
      <c r="L29">
        <v>0</v>
      </c>
      <c r="M29">
        <v>447289</v>
      </c>
      <c r="N29">
        <v>0</v>
      </c>
      <c r="O29">
        <v>554121</v>
      </c>
      <c r="P29">
        <v>0</v>
      </c>
      <c r="Q29">
        <v>0</v>
      </c>
      <c r="R29">
        <v>145879</v>
      </c>
      <c r="S29">
        <v>0</v>
      </c>
      <c r="T29" s="7">
        <v>0</v>
      </c>
      <c r="V29">
        <f>INDEX(OutputValues,25,$U$4)</f>
        <v>179449.42399999997</v>
      </c>
    </row>
    <row r="30" spans="1:22" x14ac:dyDescent="0.3">
      <c r="A30">
        <v>1750000</v>
      </c>
      <c r="B30" s="11">
        <v>179449.42399999997</v>
      </c>
      <c r="C30">
        <v>0</v>
      </c>
      <c r="D30">
        <v>0</v>
      </c>
      <c r="E30">
        <v>755042</v>
      </c>
      <c r="F30">
        <v>503379</v>
      </c>
      <c r="G30">
        <v>0</v>
      </c>
      <c r="H30">
        <v>355063</v>
      </c>
      <c r="I30">
        <v>0</v>
      </c>
      <c r="J30">
        <v>852364</v>
      </c>
      <c r="K30">
        <v>0</v>
      </c>
      <c r="L30">
        <v>0</v>
      </c>
      <c r="M30">
        <v>447289</v>
      </c>
      <c r="N30">
        <v>0</v>
      </c>
      <c r="O30">
        <v>554121</v>
      </c>
      <c r="P30">
        <v>0</v>
      </c>
      <c r="Q30">
        <v>0</v>
      </c>
      <c r="R30">
        <v>145879</v>
      </c>
      <c r="S30">
        <v>0</v>
      </c>
      <c r="T30" s="7">
        <v>0</v>
      </c>
      <c r="V30">
        <f>INDEX(OutputValues,26,$U$4)</f>
        <v>179449.42399999997</v>
      </c>
    </row>
    <row r="31" spans="1:22" x14ac:dyDescent="0.3">
      <c r="A31">
        <v>1800000</v>
      </c>
      <c r="B31" s="11">
        <v>179449.42399999997</v>
      </c>
      <c r="C31">
        <v>0</v>
      </c>
      <c r="D31">
        <v>0</v>
      </c>
      <c r="E31">
        <v>755042</v>
      </c>
      <c r="F31">
        <v>503379</v>
      </c>
      <c r="G31">
        <v>0</v>
      </c>
      <c r="H31">
        <v>355063</v>
      </c>
      <c r="I31">
        <v>0</v>
      </c>
      <c r="J31">
        <v>852364</v>
      </c>
      <c r="K31">
        <v>0</v>
      </c>
      <c r="L31">
        <v>0</v>
      </c>
      <c r="M31">
        <v>447289</v>
      </c>
      <c r="N31">
        <v>0</v>
      </c>
      <c r="O31">
        <v>554121</v>
      </c>
      <c r="P31">
        <v>0</v>
      </c>
      <c r="Q31">
        <v>0</v>
      </c>
      <c r="R31">
        <v>145879</v>
      </c>
      <c r="S31">
        <v>0</v>
      </c>
      <c r="T31" s="7">
        <v>0</v>
      </c>
      <c r="V31">
        <f>INDEX(OutputValues,27,$U$4)</f>
        <v>179449.42399999997</v>
      </c>
    </row>
    <row r="32" spans="1:22" x14ac:dyDescent="0.3">
      <c r="A32">
        <v>1850000</v>
      </c>
      <c r="B32" s="11">
        <v>179449.42399999997</v>
      </c>
      <c r="C32">
        <v>0</v>
      </c>
      <c r="D32">
        <v>0</v>
      </c>
      <c r="E32">
        <v>755042</v>
      </c>
      <c r="F32">
        <v>503379</v>
      </c>
      <c r="G32">
        <v>0</v>
      </c>
      <c r="H32">
        <v>355063</v>
      </c>
      <c r="I32">
        <v>0</v>
      </c>
      <c r="J32">
        <v>852364</v>
      </c>
      <c r="K32">
        <v>0</v>
      </c>
      <c r="L32">
        <v>0</v>
      </c>
      <c r="M32">
        <v>447289</v>
      </c>
      <c r="N32">
        <v>0</v>
      </c>
      <c r="O32">
        <v>554121</v>
      </c>
      <c r="P32">
        <v>0</v>
      </c>
      <c r="Q32">
        <v>0</v>
      </c>
      <c r="R32">
        <v>145879</v>
      </c>
      <c r="S32">
        <v>0</v>
      </c>
      <c r="T32" s="7">
        <v>0</v>
      </c>
      <c r="V32">
        <f>INDEX(OutputValues,28,$U$4)</f>
        <v>179449.42399999997</v>
      </c>
    </row>
    <row r="33" spans="1:22" x14ac:dyDescent="0.3">
      <c r="A33">
        <v>1900000</v>
      </c>
      <c r="B33" s="11">
        <v>179449.42399999997</v>
      </c>
      <c r="C33">
        <v>0</v>
      </c>
      <c r="D33">
        <v>0</v>
      </c>
      <c r="E33">
        <v>755042</v>
      </c>
      <c r="F33">
        <v>503379</v>
      </c>
      <c r="G33">
        <v>0</v>
      </c>
      <c r="H33">
        <v>355063</v>
      </c>
      <c r="I33">
        <v>0</v>
      </c>
      <c r="J33">
        <v>852364</v>
      </c>
      <c r="K33">
        <v>0</v>
      </c>
      <c r="L33">
        <v>0</v>
      </c>
      <c r="M33">
        <v>447289</v>
      </c>
      <c r="N33">
        <v>0</v>
      </c>
      <c r="O33">
        <v>554121</v>
      </c>
      <c r="P33">
        <v>0</v>
      </c>
      <c r="Q33">
        <v>0</v>
      </c>
      <c r="R33">
        <v>145879</v>
      </c>
      <c r="S33">
        <v>0</v>
      </c>
      <c r="T33" s="7">
        <v>0</v>
      </c>
      <c r="V33">
        <f>INDEX(OutputValues,29,$U$4)</f>
        <v>179449.42399999997</v>
      </c>
    </row>
    <row r="34" spans="1:22" x14ac:dyDescent="0.3">
      <c r="A34">
        <v>1950000</v>
      </c>
      <c r="B34" s="11">
        <v>179449.42399999997</v>
      </c>
      <c r="C34">
        <v>0</v>
      </c>
      <c r="D34">
        <v>0</v>
      </c>
      <c r="E34">
        <v>755042</v>
      </c>
      <c r="F34">
        <v>503379</v>
      </c>
      <c r="G34">
        <v>0</v>
      </c>
      <c r="H34">
        <v>355063</v>
      </c>
      <c r="I34">
        <v>0</v>
      </c>
      <c r="J34">
        <v>852364</v>
      </c>
      <c r="K34">
        <v>0</v>
      </c>
      <c r="L34">
        <v>0</v>
      </c>
      <c r="M34">
        <v>447289</v>
      </c>
      <c r="N34">
        <v>0</v>
      </c>
      <c r="O34">
        <v>554121</v>
      </c>
      <c r="P34">
        <v>0</v>
      </c>
      <c r="Q34">
        <v>0</v>
      </c>
      <c r="R34">
        <v>145879</v>
      </c>
      <c r="S34">
        <v>0</v>
      </c>
      <c r="T34" s="7">
        <v>0</v>
      </c>
      <c r="V34">
        <f>INDEX(OutputValues,30,$U$4)</f>
        <v>179449.42399999997</v>
      </c>
    </row>
    <row r="35" spans="1:22" x14ac:dyDescent="0.3">
      <c r="A35">
        <v>2000000</v>
      </c>
      <c r="B35" s="12">
        <v>179449.42399999997</v>
      </c>
      <c r="C35" s="13">
        <v>0</v>
      </c>
      <c r="D35" s="13">
        <v>0</v>
      </c>
      <c r="E35" s="13">
        <v>755042</v>
      </c>
      <c r="F35" s="13">
        <v>503379</v>
      </c>
      <c r="G35" s="13">
        <v>0</v>
      </c>
      <c r="H35" s="13">
        <v>355063</v>
      </c>
      <c r="I35" s="13">
        <v>0</v>
      </c>
      <c r="J35" s="13">
        <v>852364</v>
      </c>
      <c r="K35" s="13">
        <v>0</v>
      </c>
      <c r="L35" s="13">
        <v>0</v>
      </c>
      <c r="M35" s="13">
        <v>447289</v>
      </c>
      <c r="N35" s="13">
        <v>0</v>
      </c>
      <c r="O35" s="13">
        <v>554121</v>
      </c>
      <c r="P35" s="13">
        <v>0</v>
      </c>
      <c r="Q35" s="13">
        <v>0</v>
      </c>
      <c r="R35" s="13">
        <v>145879</v>
      </c>
      <c r="S35" s="13">
        <v>0</v>
      </c>
      <c r="T35" s="8">
        <v>0</v>
      </c>
      <c r="V35">
        <f>INDEX(OutputValues,31,$U$4)</f>
        <v>179449.42399999997</v>
      </c>
    </row>
    <row r="39" spans="1:22" x14ac:dyDescent="0.3">
      <c r="A39" t="s">
        <v>187</v>
      </c>
    </row>
  </sheetData>
  <dataValidations count="1">
    <dataValidation type="list" allowBlank="1" showInputMessage="1" showErrorMessage="1" sqref="V4" xr:uid="{FEDE4C72-8975-4EA9-AC31-ED0950257FDD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9BCD-27BA-4C68-B3B7-64A1ADA72014}">
  <dimension ref="A1:V35"/>
  <sheetViews>
    <sheetView zoomScale="85" zoomScaleNormal="85" workbookViewId="0">
      <selection activeCell="B4" sqref="B4"/>
    </sheetView>
  </sheetViews>
  <sheetFormatPr defaultRowHeight="14.4" x14ac:dyDescent="0.3"/>
  <sheetData>
    <row r="1" spans="1:22" x14ac:dyDescent="0.3">
      <c r="A1" s="1" t="s">
        <v>171</v>
      </c>
      <c r="V1" s="10" t="str">
        <f>CONCATENATE("Sensitivity of ",$V$4," to ","capacity of Gokul")</f>
        <v>Sensitivity of $D$39 to capacity of Gokul</v>
      </c>
    </row>
    <row r="3" spans="1:22" x14ac:dyDescent="0.3">
      <c r="A3" t="s">
        <v>176</v>
      </c>
      <c r="V3" t="s">
        <v>66</v>
      </c>
    </row>
    <row r="4" spans="1:22" ht="33.6" x14ac:dyDescent="0.3">
      <c r="B4" s="4" t="s">
        <v>173</v>
      </c>
      <c r="C4" s="4" t="s">
        <v>119</v>
      </c>
      <c r="D4" s="4" t="s">
        <v>120</v>
      </c>
      <c r="E4" s="4" t="s">
        <v>121</v>
      </c>
      <c r="F4" s="4" t="s">
        <v>122</v>
      </c>
      <c r="G4" s="4" t="s">
        <v>123</v>
      </c>
      <c r="H4" s="4" t="s">
        <v>124</v>
      </c>
      <c r="I4" s="4" t="s">
        <v>125</v>
      </c>
      <c r="J4" s="4" t="s">
        <v>126</v>
      </c>
      <c r="K4" s="4" t="s">
        <v>127</v>
      </c>
      <c r="L4" s="4" t="s">
        <v>128</v>
      </c>
      <c r="M4" s="4" t="s">
        <v>129</v>
      </c>
      <c r="N4" s="4" t="s">
        <v>130</v>
      </c>
      <c r="O4" s="4" t="s">
        <v>131</v>
      </c>
      <c r="P4" s="4" t="s">
        <v>132</v>
      </c>
      <c r="Q4" s="4" t="s">
        <v>133</v>
      </c>
      <c r="R4" s="4" t="s">
        <v>134</v>
      </c>
      <c r="S4" s="4" t="s">
        <v>135</v>
      </c>
      <c r="T4" s="4" t="s">
        <v>136</v>
      </c>
      <c r="U4" s="10">
        <f>MATCH($V$4,OutputAddresses,0)</f>
        <v>1</v>
      </c>
      <c r="V4" s="9" t="s">
        <v>173</v>
      </c>
    </row>
    <row r="5" spans="1:22" x14ac:dyDescent="0.3">
      <c r="A5">
        <v>500000</v>
      </c>
      <c r="B5" s="72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V5" t="str">
        <f>INDEX(OutputValues,1,$U$4)</f>
        <v>Not feasible</v>
      </c>
    </row>
    <row r="6" spans="1:22" x14ac:dyDescent="0.3">
      <c r="A6">
        <v>550000</v>
      </c>
      <c r="B6" s="73" t="s">
        <v>70</v>
      </c>
      <c r="T6" s="7"/>
      <c r="V6" t="str">
        <f>INDEX(OutputValues,2,$U$4)</f>
        <v>Not feasible</v>
      </c>
    </row>
    <row r="7" spans="1:22" x14ac:dyDescent="0.3">
      <c r="A7">
        <v>600000</v>
      </c>
      <c r="B7" s="73" t="s">
        <v>70</v>
      </c>
      <c r="T7" s="7"/>
      <c r="V7" t="str">
        <f>INDEX(OutputValues,3,$U$4)</f>
        <v>Not feasible</v>
      </c>
    </row>
    <row r="8" spans="1:22" x14ac:dyDescent="0.3">
      <c r="A8">
        <v>650000</v>
      </c>
      <c r="B8" s="11">
        <v>181570.02666666664</v>
      </c>
      <c r="C8">
        <v>0</v>
      </c>
      <c r="D8">
        <v>0</v>
      </c>
      <c r="E8">
        <v>755042</v>
      </c>
      <c r="F8">
        <v>289895</v>
      </c>
      <c r="G8">
        <v>0</v>
      </c>
      <c r="H8">
        <v>355063</v>
      </c>
      <c r="I8">
        <v>263484</v>
      </c>
      <c r="J8">
        <v>852364</v>
      </c>
      <c r="K8">
        <v>0</v>
      </c>
      <c r="L8">
        <v>0</v>
      </c>
      <c r="M8">
        <v>447289</v>
      </c>
      <c r="N8">
        <v>0</v>
      </c>
      <c r="O8">
        <v>290637</v>
      </c>
      <c r="P8">
        <v>0</v>
      </c>
      <c r="Q8">
        <v>0</v>
      </c>
      <c r="R8">
        <v>359363</v>
      </c>
      <c r="S8">
        <v>0</v>
      </c>
      <c r="T8" s="7">
        <v>0</v>
      </c>
      <c r="V8">
        <f>INDEX(OutputValues,4,$U$4)</f>
        <v>181570.02666666664</v>
      </c>
    </row>
    <row r="9" spans="1:22" x14ac:dyDescent="0.3">
      <c r="A9">
        <v>700000</v>
      </c>
      <c r="B9" s="11">
        <v>180303.35999999999</v>
      </c>
      <c r="C9">
        <v>0</v>
      </c>
      <c r="D9">
        <v>0</v>
      </c>
      <c r="E9">
        <v>755042</v>
      </c>
      <c r="F9">
        <v>289895</v>
      </c>
      <c r="G9">
        <v>0</v>
      </c>
      <c r="H9">
        <v>355063</v>
      </c>
      <c r="I9">
        <v>213484</v>
      </c>
      <c r="J9">
        <v>852364</v>
      </c>
      <c r="K9">
        <v>0</v>
      </c>
      <c r="L9">
        <v>0</v>
      </c>
      <c r="M9">
        <v>447289</v>
      </c>
      <c r="N9">
        <v>0</v>
      </c>
      <c r="O9">
        <v>340637</v>
      </c>
      <c r="P9">
        <v>0</v>
      </c>
      <c r="Q9">
        <v>0</v>
      </c>
      <c r="R9">
        <v>359363</v>
      </c>
      <c r="S9">
        <v>0</v>
      </c>
      <c r="T9" s="7">
        <v>0</v>
      </c>
      <c r="V9">
        <f>INDEX(OutputValues,5,$U$4)</f>
        <v>180303.35999999999</v>
      </c>
    </row>
    <row r="10" spans="1:22" x14ac:dyDescent="0.3">
      <c r="A10">
        <v>750000</v>
      </c>
      <c r="B10" s="11">
        <v>179036.6933333333</v>
      </c>
      <c r="C10">
        <v>0</v>
      </c>
      <c r="D10">
        <v>0</v>
      </c>
      <c r="E10">
        <v>755042</v>
      </c>
      <c r="F10">
        <v>289895</v>
      </c>
      <c r="G10">
        <v>0</v>
      </c>
      <c r="H10">
        <v>355063</v>
      </c>
      <c r="I10">
        <v>163484</v>
      </c>
      <c r="J10">
        <v>852364</v>
      </c>
      <c r="K10">
        <v>0</v>
      </c>
      <c r="L10">
        <v>0</v>
      </c>
      <c r="M10">
        <v>447289</v>
      </c>
      <c r="N10">
        <v>0</v>
      </c>
      <c r="O10">
        <v>390637</v>
      </c>
      <c r="P10">
        <v>0</v>
      </c>
      <c r="Q10">
        <v>0</v>
      </c>
      <c r="R10">
        <v>359363</v>
      </c>
      <c r="S10">
        <v>0</v>
      </c>
      <c r="T10" s="7">
        <v>0</v>
      </c>
      <c r="V10">
        <f>INDEX(OutputValues,6,$U$4)</f>
        <v>179036.6933333333</v>
      </c>
    </row>
    <row r="11" spans="1:22" x14ac:dyDescent="0.3">
      <c r="A11">
        <v>800000</v>
      </c>
      <c r="B11" s="11">
        <v>177770.02666666667</v>
      </c>
      <c r="C11">
        <v>0</v>
      </c>
      <c r="D11">
        <v>0</v>
      </c>
      <c r="E11">
        <v>755042</v>
      </c>
      <c r="F11">
        <v>289895</v>
      </c>
      <c r="G11">
        <v>0</v>
      </c>
      <c r="H11">
        <v>355063</v>
      </c>
      <c r="I11">
        <v>113484</v>
      </c>
      <c r="J11">
        <v>852364</v>
      </c>
      <c r="K11">
        <v>0</v>
      </c>
      <c r="L11">
        <v>0</v>
      </c>
      <c r="M11">
        <v>447289</v>
      </c>
      <c r="N11">
        <v>0</v>
      </c>
      <c r="O11">
        <v>440637</v>
      </c>
      <c r="P11">
        <v>0</v>
      </c>
      <c r="Q11">
        <v>0</v>
      </c>
      <c r="R11">
        <v>359363</v>
      </c>
      <c r="S11">
        <v>0</v>
      </c>
      <c r="T11" s="7">
        <v>0</v>
      </c>
      <c r="V11">
        <f>INDEX(OutputValues,7,$U$4)</f>
        <v>177770.02666666667</v>
      </c>
    </row>
    <row r="12" spans="1:22" x14ac:dyDescent="0.3">
      <c r="A12">
        <v>850000</v>
      </c>
      <c r="B12" s="11">
        <v>176503.36</v>
      </c>
      <c r="C12">
        <v>0</v>
      </c>
      <c r="D12">
        <v>0</v>
      </c>
      <c r="E12">
        <v>755042</v>
      </c>
      <c r="F12">
        <v>289895</v>
      </c>
      <c r="G12">
        <v>0</v>
      </c>
      <c r="H12">
        <v>355063</v>
      </c>
      <c r="I12">
        <v>63484</v>
      </c>
      <c r="J12">
        <v>852364</v>
      </c>
      <c r="K12">
        <v>0</v>
      </c>
      <c r="L12">
        <v>0</v>
      </c>
      <c r="M12">
        <v>447289</v>
      </c>
      <c r="N12">
        <v>0</v>
      </c>
      <c r="O12">
        <v>490637</v>
      </c>
      <c r="P12">
        <v>0</v>
      </c>
      <c r="Q12">
        <v>0</v>
      </c>
      <c r="R12">
        <v>359363</v>
      </c>
      <c r="S12">
        <v>0</v>
      </c>
      <c r="T12" s="7">
        <v>0</v>
      </c>
      <c r="V12">
        <f>INDEX(OutputValues,8,$U$4)</f>
        <v>176503.36</v>
      </c>
    </row>
    <row r="13" spans="1:22" x14ac:dyDescent="0.3">
      <c r="A13">
        <v>900000</v>
      </c>
      <c r="B13" s="11">
        <v>175236.69333333333</v>
      </c>
      <c r="C13">
        <v>0</v>
      </c>
      <c r="D13">
        <v>0</v>
      </c>
      <c r="E13">
        <v>755042</v>
      </c>
      <c r="F13">
        <v>289895</v>
      </c>
      <c r="G13">
        <v>0</v>
      </c>
      <c r="H13">
        <v>355063</v>
      </c>
      <c r="I13">
        <v>13484</v>
      </c>
      <c r="J13">
        <v>852364</v>
      </c>
      <c r="K13">
        <v>0</v>
      </c>
      <c r="L13">
        <v>0</v>
      </c>
      <c r="M13">
        <v>447289</v>
      </c>
      <c r="N13">
        <v>0</v>
      </c>
      <c r="O13">
        <v>540637</v>
      </c>
      <c r="P13">
        <v>0</v>
      </c>
      <c r="Q13">
        <v>0</v>
      </c>
      <c r="R13">
        <v>359363</v>
      </c>
      <c r="S13">
        <v>0</v>
      </c>
      <c r="T13" s="7">
        <v>0</v>
      </c>
      <c r="V13">
        <f>INDEX(OutputValues,9,$U$4)</f>
        <v>175236.69333333333</v>
      </c>
    </row>
    <row r="14" spans="1:22" x14ac:dyDescent="0.3">
      <c r="A14">
        <v>950000</v>
      </c>
      <c r="B14" s="11">
        <v>174116.09066666669</v>
      </c>
      <c r="C14">
        <v>0</v>
      </c>
      <c r="D14">
        <v>0</v>
      </c>
      <c r="E14">
        <v>755042</v>
      </c>
      <c r="F14">
        <v>253379</v>
      </c>
      <c r="G14">
        <v>0</v>
      </c>
      <c r="H14">
        <v>355063</v>
      </c>
      <c r="I14">
        <v>0</v>
      </c>
      <c r="J14">
        <v>852364</v>
      </c>
      <c r="K14">
        <v>0</v>
      </c>
      <c r="L14">
        <v>0</v>
      </c>
      <c r="M14">
        <v>447289</v>
      </c>
      <c r="N14">
        <v>0</v>
      </c>
      <c r="O14">
        <v>554121</v>
      </c>
      <c r="P14">
        <v>0</v>
      </c>
      <c r="Q14">
        <v>0</v>
      </c>
      <c r="R14">
        <v>395879</v>
      </c>
      <c r="S14">
        <v>0</v>
      </c>
      <c r="T14" s="7">
        <v>0</v>
      </c>
      <c r="V14">
        <f>INDEX(OutputValues,10,$U$4)</f>
        <v>174116.09066666669</v>
      </c>
    </row>
    <row r="15" spans="1:22" x14ac:dyDescent="0.3">
      <c r="A15">
        <v>1000000</v>
      </c>
      <c r="B15" s="11">
        <v>173049.424</v>
      </c>
      <c r="C15">
        <v>0</v>
      </c>
      <c r="D15">
        <v>0</v>
      </c>
      <c r="E15">
        <v>755042</v>
      </c>
      <c r="F15">
        <v>203379</v>
      </c>
      <c r="G15">
        <v>0</v>
      </c>
      <c r="H15">
        <v>355063</v>
      </c>
      <c r="I15">
        <v>0</v>
      </c>
      <c r="J15">
        <v>852364</v>
      </c>
      <c r="K15">
        <v>0</v>
      </c>
      <c r="L15">
        <v>0</v>
      </c>
      <c r="M15">
        <v>447289</v>
      </c>
      <c r="N15">
        <v>0</v>
      </c>
      <c r="O15">
        <v>554121</v>
      </c>
      <c r="P15">
        <v>0</v>
      </c>
      <c r="Q15">
        <v>0</v>
      </c>
      <c r="R15">
        <v>445879</v>
      </c>
      <c r="S15">
        <v>0</v>
      </c>
      <c r="T15" s="7">
        <v>0</v>
      </c>
      <c r="V15">
        <f>INDEX(OutputValues,11,$U$4)</f>
        <v>173049.424</v>
      </c>
    </row>
    <row r="16" spans="1:22" x14ac:dyDescent="0.3">
      <c r="A16">
        <v>1050000</v>
      </c>
      <c r="B16" s="11">
        <v>171982.75733333334</v>
      </c>
      <c r="C16">
        <v>0</v>
      </c>
      <c r="D16">
        <v>0</v>
      </c>
      <c r="E16">
        <v>755042</v>
      </c>
      <c r="F16">
        <v>153379</v>
      </c>
      <c r="G16">
        <v>0</v>
      </c>
      <c r="H16">
        <v>355063</v>
      </c>
      <c r="I16">
        <v>0</v>
      </c>
      <c r="J16">
        <v>852364</v>
      </c>
      <c r="K16">
        <v>0</v>
      </c>
      <c r="L16">
        <v>0</v>
      </c>
      <c r="M16">
        <v>447289</v>
      </c>
      <c r="N16">
        <v>0</v>
      </c>
      <c r="O16">
        <v>554121</v>
      </c>
      <c r="P16">
        <v>0</v>
      </c>
      <c r="Q16">
        <v>0</v>
      </c>
      <c r="R16">
        <v>495879</v>
      </c>
      <c r="S16">
        <v>0</v>
      </c>
      <c r="T16" s="7">
        <v>0</v>
      </c>
      <c r="V16">
        <f>INDEX(OutputValues,12,$U$4)</f>
        <v>171982.75733333334</v>
      </c>
    </row>
    <row r="17" spans="1:22" x14ac:dyDescent="0.3">
      <c r="A17">
        <v>1100000</v>
      </c>
      <c r="B17" s="11">
        <v>170916.09066666669</v>
      </c>
      <c r="C17">
        <v>0</v>
      </c>
      <c r="D17">
        <v>0</v>
      </c>
      <c r="E17">
        <v>755042</v>
      </c>
      <c r="F17">
        <v>103379</v>
      </c>
      <c r="G17">
        <v>0</v>
      </c>
      <c r="H17">
        <v>355063</v>
      </c>
      <c r="I17">
        <v>0</v>
      </c>
      <c r="J17">
        <v>852364</v>
      </c>
      <c r="K17">
        <v>0</v>
      </c>
      <c r="L17">
        <v>0</v>
      </c>
      <c r="M17">
        <v>447289</v>
      </c>
      <c r="N17">
        <v>0</v>
      </c>
      <c r="O17">
        <v>554121</v>
      </c>
      <c r="P17">
        <v>0</v>
      </c>
      <c r="Q17">
        <v>0</v>
      </c>
      <c r="R17">
        <v>545879</v>
      </c>
      <c r="S17">
        <v>0</v>
      </c>
      <c r="T17" s="7">
        <v>0</v>
      </c>
      <c r="V17">
        <f>INDEX(OutputValues,13,$U$4)</f>
        <v>170916.09066666669</v>
      </c>
    </row>
    <row r="18" spans="1:22" x14ac:dyDescent="0.3">
      <c r="A18">
        <v>1150000</v>
      </c>
      <c r="B18" s="11">
        <v>169849.424</v>
      </c>
      <c r="C18">
        <v>0</v>
      </c>
      <c r="D18">
        <v>0</v>
      </c>
      <c r="E18">
        <v>755042</v>
      </c>
      <c r="F18">
        <v>53379</v>
      </c>
      <c r="G18">
        <v>0</v>
      </c>
      <c r="H18">
        <v>355063</v>
      </c>
      <c r="I18">
        <v>0</v>
      </c>
      <c r="J18">
        <v>852364</v>
      </c>
      <c r="K18">
        <v>0</v>
      </c>
      <c r="L18">
        <v>0</v>
      </c>
      <c r="M18">
        <v>447289</v>
      </c>
      <c r="N18">
        <v>0</v>
      </c>
      <c r="O18">
        <v>554121</v>
      </c>
      <c r="P18">
        <v>0</v>
      </c>
      <c r="Q18">
        <v>0</v>
      </c>
      <c r="R18">
        <v>595879</v>
      </c>
      <c r="S18">
        <v>0</v>
      </c>
      <c r="T18" s="7">
        <v>0</v>
      </c>
      <c r="V18">
        <f>INDEX(OutputValues,14,$U$4)</f>
        <v>169849.424</v>
      </c>
    </row>
    <row r="19" spans="1:22" x14ac:dyDescent="0.3">
      <c r="A19">
        <v>1200000</v>
      </c>
      <c r="B19" s="11">
        <v>168782.75733333334</v>
      </c>
      <c r="C19">
        <v>0</v>
      </c>
      <c r="D19">
        <v>0</v>
      </c>
      <c r="E19">
        <v>755042</v>
      </c>
      <c r="F19">
        <v>3379</v>
      </c>
      <c r="G19">
        <v>0</v>
      </c>
      <c r="H19">
        <v>355063</v>
      </c>
      <c r="I19">
        <v>0</v>
      </c>
      <c r="J19">
        <v>852364</v>
      </c>
      <c r="K19">
        <v>0</v>
      </c>
      <c r="L19">
        <v>0</v>
      </c>
      <c r="M19">
        <v>447289</v>
      </c>
      <c r="N19">
        <v>0</v>
      </c>
      <c r="O19">
        <v>554121</v>
      </c>
      <c r="P19">
        <v>0</v>
      </c>
      <c r="Q19">
        <v>0</v>
      </c>
      <c r="R19">
        <v>645879</v>
      </c>
      <c r="S19">
        <v>0</v>
      </c>
      <c r="T19" s="7">
        <v>0</v>
      </c>
      <c r="V19">
        <f>INDEX(OutputValues,15,$U$4)</f>
        <v>168782.75733333334</v>
      </c>
    </row>
    <row r="20" spans="1:22" x14ac:dyDescent="0.3">
      <c r="A20">
        <v>1250000</v>
      </c>
      <c r="B20" s="11">
        <v>168710.67199999999</v>
      </c>
      <c r="C20">
        <v>0</v>
      </c>
      <c r="D20">
        <v>0</v>
      </c>
      <c r="E20">
        <v>755042</v>
      </c>
      <c r="F20">
        <v>0</v>
      </c>
      <c r="G20">
        <v>0</v>
      </c>
      <c r="H20">
        <v>355063</v>
      </c>
      <c r="I20">
        <v>0</v>
      </c>
      <c r="J20">
        <v>852364</v>
      </c>
      <c r="K20">
        <v>0</v>
      </c>
      <c r="L20">
        <v>0</v>
      </c>
      <c r="M20">
        <v>447289</v>
      </c>
      <c r="N20">
        <v>0</v>
      </c>
      <c r="O20">
        <v>554121</v>
      </c>
      <c r="P20">
        <v>0</v>
      </c>
      <c r="Q20">
        <v>0</v>
      </c>
      <c r="R20">
        <v>649258</v>
      </c>
      <c r="S20">
        <v>0</v>
      </c>
      <c r="T20" s="7">
        <v>0</v>
      </c>
      <c r="V20">
        <f>INDEX(OutputValues,16,$U$4)</f>
        <v>168710.67199999999</v>
      </c>
    </row>
    <row r="21" spans="1:22" x14ac:dyDescent="0.3">
      <c r="A21">
        <v>1300000</v>
      </c>
      <c r="B21" s="11">
        <v>168710.67199999999</v>
      </c>
      <c r="C21">
        <v>0</v>
      </c>
      <c r="D21">
        <v>0</v>
      </c>
      <c r="E21">
        <v>755042</v>
      </c>
      <c r="F21">
        <v>0</v>
      </c>
      <c r="G21">
        <v>0</v>
      </c>
      <c r="H21">
        <v>355063</v>
      </c>
      <c r="I21">
        <v>0</v>
      </c>
      <c r="J21">
        <v>852364</v>
      </c>
      <c r="K21">
        <v>0</v>
      </c>
      <c r="L21">
        <v>0</v>
      </c>
      <c r="M21">
        <v>447289</v>
      </c>
      <c r="N21">
        <v>0</v>
      </c>
      <c r="O21">
        <v>554121</v>
      </c>
      <c r="P21">
        <v>0</v>
      </c>
      <c r="Q21">
        <v>0</v>
      </c>
      <c r="R21">
        <v>649258</v>
      </c>
      <c r="S21">
        <v>0</v>
      </c>
      <c r="T21" s="7">
        <v>0</v>
      </c>
      <c r="V21">
        <f>INDEX(OutputValues,17,$U$4)</f>
        <v>168710.67199999999</v>
      </c>
    </row>
    <row r="22" spans="1:22" x14ac:dyDescent="0.3">
      <c r="A22">
        <v>1350000</v>
      </c>
      <c r="B22" s="11">
        <v>168710.67199999999</v>
      </c>
      <c r="C22">
        <v>0</v>
      </c>
      <c r="D22">
        <v>0</v>
      </c>
      <c r="E22">
        <v>755042</v>
      </c>
      <c r="F22">
        <v>0</v>
      </c>
      <c r="G22">
        <v>0</v>
      </c>
      <c r="H22">
        <v>355063</v>
      </c>
      <c r="I22">
        <v>0</v>
      </c>
      <c r="J22">
        <v>852364</v>
      </c>
      <c r="K22">
        <v>0</v>
      </c>
      <c r="L22">
        <v>0</v>
      </c>
      <c r="M22">
        <v>447289</v>
      </c>
      <c r="N22">
        <v>0</v>
      </c>
      <c r="O22">
        <v>554121</v>
      </c>
      <c r="P22">
        <v>0</v>
      </c>
      <c r="Q22">
        <v>0</v>
      </c>
      <c r="R22">
        <v>649258</v>
      </c>
      <c r="S22">
        <v>0</v>
      </c>
      <c r="T22" s="7">
        <v>0</v>
      </c>
      <c r="V22">
        <f>INDEX(OutputValues,18,$U$4)</f>
        <v>168710.67199999999</v>
      </c>
    </row>
    <row r="23" spans="1:22" x14ac:dyDescent="0.3">
      <c r="A23">
        <v>1400000</v>
      </c>
      <c r="B23" s="11">
        <v>168710.67199999999</v>
      </c>
      <c r="C23">
        <v>0</v>
      </c>
      <c r="D23">
        <v>0</v>
      </c>
      <c r="E23">
        <v>755042</v>
      </c>
      <c r="F23">
        <v>0</v>
      </c>
      <c r="G23">
        <v>0</v>
      </c>
      <c r="H23">
        <v>355063</v>
      </c>
      <c r="I23">
        <v>0</v>
      </c>
      <c r="J23">
        <v>852364</v>
      </c>
      <c r="K23">
        <v>0</v>
      </c>
      <c r="L23">
        <v>0</v>
      </c>
      <c r="M23">
        <v>447289</v>
      </c>
      <c r="N23">
        <v>0</v>
      </c>
      <c r="O23">
        <v>554121</v>
      </c>
      <c r="P23">
        <v>0</v>
      </c>
      <c r="Q23">
        <v>0</v>
      </c>
      <c r="R23">
        <v>649258</v>
      </c>
      <c r="S23">
        <v>0</v>
      </c>
      <c r="T23" s="7">
        <v>0</v>
      </c>
      <c r="V23">
        <f>INDEX(OutputValues,19,$U$4)</f>
        <v>168710.67199999999</v>
      </c>
    </row>
    <row r="24" spans="1:22" x14ac:dyDescent="0.3">
      <c r="A24">
        <v>1450000</v>
      </c>
      <c r="B24" s="11">
        <v>168710.67199999999</v>
      </c>
      <c r="C24">
        <v>0</v>
      </c>
      <c r="D24">
        <v>0</v>
      </c>
      <c r="E24">
        <v>755042</v>
      </c>
      <c r="F24">
        <v>0</v>
      </c>
      <c r="G24">
        <v>0</v>
      </c>
      <c r="H24">
        <v>355063</v>
      </c>
      <c r="I24">
        <v>0</v>
      </c>
      <c r="J24">
        <v>852364</v>
      </c>
      <c r="K24">
        <v>0</v>
      </c>
      <c r="L24">
        <v>0</v>
      </c>
      <c r="M24">
        <v>447289</v>
      </c>
      <c r="N24">
        <v>0</v>
      </c>
      <c r="O24">
        <v>554121</v>
      </c>
      <c r="P24">
        <v>0</v>
      </c>
      <c r="Q24">
        <v>0</v>
      </c>
      <c r="R24">
        <v>649258</v>
      </c>
      <c r="S24">
        <v>0</v>
      </c>
      <c r="T24" s="7">
        <v>0</v>
      </c>
      <c r="V24">
        <f>INDEX(OutputValues,20,$U$4)</f>
        <v>168710.67199999999</v>
      </c>
    </row>
    <row r="25" spans="1:22" x14ac:dyDescent="0.3">
      <c r="A25">
        <v>1500000</v>
      </c>
      <c r="B25" s="11">
        <v>168710.67199999999</v>
      </c>
      <c r="C25">
        <v>0</v>
      </c>
      <c r="D25">
        <v>0</v>
      </c>
      <c r="E25">
        <v>755042</v>
      </c>
      <c r="F25">
        <v>0</v>
      </c>
      <c r="G25">
        <v>0</v>
      </c>
      <c r="H25">
        <v>355063</v>
      </c>
      <c r="I25">
        <v>0</v>
      </c>
      <c r="J25">
        <v>852364</v>
      </c>
      <c r="K25">
        <v>0</v>
      </c>
      <c r="L25">
        <v>0</v>
      </c>
      <c r="M25">
        <v>447289</v>
      </c>
      <c r="N25">
        <v>0</v>
      </c>
      <c r="O25">
        <v>554121</v>
      </c>
      <c r="P25">
        <v>0</v>
      </c>
      <c r="Q25">
        <v>0</v>
      </c>
      <c r="R25">
        <v>649258</v>
      </c>
      <c r="S25">
        <v>0</v>
      </c>
      <c r="T25" s="7">
        <v>0</v>
      </c>
      <c r="V25">
        <f>INDEX(OutputValues,21,$U$4)</f>
        <v>168710.67199999999</v>
      </c>
    </row>
    <row r="26" spans="1:22" x14ac:dyDescent="0.3">
      <c r="A26">
        <v>1550000</v>
      </c>
      <c r="B26" s="11">
        <v>168710.67199999999</v>
      </c>
      <c r="C26">
        <v>0</v>
      </c>
      <c r="D26">
        <v>0</v>
      </c>
      <c r="E26">
        <v>755042</v>
      </c>
      <c r="F26">
        <v>0</v>
      </c>
      <c r="G26">
        <v>0</v>
      </c>
      <c r="H26">
        <v>355063</v>
      </c>
      <c r="I26">
        <v>0</v>
      </c>
      <c r="J26">
        <v>852364</v>
      </c>
      <c r="K26">
        <v>0</v>
      </c>
      <c r="L26">
        <v>0</v>
      </c>
      <c r="M26">
        <v>447289</v>
      </c>
      <c r="N26">
        <v>0</v>
      </c>
      <c r="O26">
        <v>554121</v>
      </c>
      <c r="P26">
        <v>0</v>
      </c>
      <c r="Q26">
        <v>0</v>
      </c>
      <c r="R26">
        <v>649258</v>
      </c>
      <c r="S26">
        <v>0</v>
      </c>
      <c r="T26" s="7">
        <v>0</v>
      </c>
      <c r="V26">
        <f>INDEX(OutputValues,22,$U$4)</f>
        <v>168710.67199999999</v>
      </c>
    </row>
    <row r="27" spans="1:22" x14ac:dyDescent="0.3">
      <c r="A27">
        <v>1600000</v>
      </c>
      <c r="B27" s="11">
        <v>168710.67199999999</v>
      </c>
      <c r="C27">
        <v>0</v>
      </c>
      <c r="D27">
        <v>0</v>
      </c>
      <c r="E27">
        <v>755042</v>
      </c>
      <c r="F27">
        <v>0</v>
      </c>
      <c r="G27">
        <v>0</v>
      </c>
      <c r="H27">
        <v>355063</v>
      </c>
      <c r="I27">
        <v>0</v>
      </c>
      <c r="J27">
        <v>852364</v>
      </c>
      <c r="K27">
        <v>0</v>
      </c>
      <c r="L27">
        <v>0</v>
      </c>
      <c r="M27">
        <v>447289</v>
      </c>
      <c r="N27">
        <v>0</v>
      </c>
      <c r="O27">
        <v>554121</v>
      </c>
      <c r="P27">
        <v>0</v>
      </c>
      <c r="Q27">
        <v>0</v>
      </c>
      <c r="R27">
        <v>649258</v>
      </c>
      <c r="S27">
        <v>0</v>
      </c>
      <c r="T27" s="7">
        <v>0</v>
      </c>
      <c r="V27">
        <f>INDEX(OutputValues,23,$U$4)</f>
        <v>168710.67199999999</v>
      </c>
    </row>
    <row r="28" spans="1:22" x14ac:dyDescent="0.3">
      <c r="A28">
        <v>1650000</v>
      </c>
      <c r="B28" s="11">
        <v>168710.67199999999</v>
      </c>
      <c r="C28">
        <v>0</v>
      </c>
      <c r="D28">
        <v>0</v>
      </c>
      <c r="E28">
        <v>755042</v>
      </c>
      <c r="F28">
        <v>0</v>
      </c>
      <c r="G28">
        <v>0</v>
      </c>
      <c r="H28">
        <v>355063</v>
      </c>
      <c r="I28">
        <v>0</v>
      </c>
      <c r="J28">
        <v>852364</v>
      </c>
      <c r="K28">
        <v>0</v>
      </c>
      <c r="L28">
        <v>0</v>
      </c>
      <c r="M28">
        <v>447289</v>
      </c>
      <c r="N28">
        <v>0</v>
      </c>
      <c r="O28">
        <v>554121</v>
      </c>
      <c r="P28">
        <v>0</v>
      </c>
      <c r="Q28">
        <v>0</v>
      </c>
      <c r="R28">
        <v>649258</v>
      </c>
      <c r="S28">
        <v>0</v>
      </c>
      <c r="T28" s="7">
        <v>0</v>
      </c>
      <c r="V28">
        <f>INDEX(OutputValues,24,$U$4)</f>
        <v>168710.67199999999</v>
      </c>
    </row>
    <row r="29" spans="1:22" x14ac:dyDescent="0.3">
      <c r="A29">
        <v>1700000</v>
      </c>
      <c r="B29" s="11">
        <v>168710.67199999999</v>
      </c>
      <c r="C29">
        <v>0</v>
      </c>
      <c r="D29">
        <v>0</v>
      </c>
      <c r="E29">
        <v>755042</v>
      </c>
      <c r="F29">
        <v>0</v>
      </c>
      <c r="G29">
        <v>0</v>
      </c>
      <c r="H29">
        <v>355063</v>
      </c>
      <c r="I29">
        <v>0</v>
      </c>
      <c r="J29">
        <v>852364</v>
      </c>
      <c r="K29">
        <v>0</v>
      </c>
      <c r="L29">
        <v>0</v>
      </c>
      <c r="M29">
        <v>447289</v>
      </c>
      <c r="N29">
        <v>0</v>
      </c>
      <c r="O29">
        <v>554121</v>
      </c>
      <c r="P29">
        <v>0</v>
      </c>
      <c r="Q29">
        <v>0</v>
      </c>
      <c r="R29">
        <v>649258</v>
      </c>
      <c r="S29">
        <v>0</v>
      </c>
      <c r="T29" s="7">
        <v>0</v>
      </c>
      <c r="V29">
        <f>INDEX(OutputValues,25,$U$4)</f>
        <v>168710.67199999999</v>
      </c>
    </row>
    <row r="30" spans="1:22" x14ac:dyDescent="0.3">
      <c r="A30">
        <v>1750000</v>
      </c>
      <c r="B30" s="11">
        <v>168710.67199999999</v>
      </c>
      <c r="C30">
        <v>0</v>
      </c>
      <c r="D30">
        <v>0</v>
      </c>
      <c r="E30">
        <v>755042</v>
      </c>
      <c r="F30">
        <v>0</v>
      </c>
      <c r="G30">
        <v>0</v>
      </c>
      <c r="H30">
        <v>355063</v>
      </c>
      <c r="I30">
        <v>0</v>
      </c>
      <c r="J30">
        <v>852364</v>
      </c>
      <c r="K30">
        <v>0</v>
      </c>
      <c r="L30">
        <v>0</v>
      </c>
      <c r="M30">
        <v>447289</v>
      </c>
      <c r="N30">
        <v>0</v>
      </c>
      <c r="O30">
        <v>554121</v>
      </c>
      <c r="P30">
        <v>0</v>
      </c>
      <c r="Q30">
        <v>0</v>
      </c>
      <c r="R30">
        <v>649258</v>
      </c>
      <c r="S30">
        <v>0</v>
      </c>
      <c r="T30" s="7">
        <v>0</v>
      </c>
      <c r="V30">
        <f>INDEX(OutputValues,26,$U$4)</f>
        <v>168710.67199999999</v>
      </c>
    </row>
    <row r="31" spans="1:22" x14ac:dyDescent="0.3">
      <c r="A31">
        <v>1800000</v>
      </c>
      <c r="B31" s="11">
        <v>168710.67199999999</v>
      </c>
      <c r="C31">
        <v>0</v>
      </c>
      <c r="D31">
        <v>0</v>
      </c>
      <c r="E31">
        <v>755042</v>
      </c>
      <c r="F31">
        <v>0</v>
      </c>
      <c r="G31">
        <v>0</v>
      </c>
      <c r="H31">
        <v>355063</v>
      </c>
      <c r="I31">
        <v>0</v>
      </c>
      <c r="J31">
        <v>852364</v>
      </c>
      <c r="K31">
        <v>0</v>
      </c>
      <c r="L31">
        <v>0</v>
      </c>
      <c r="M31">
        <v>447289</v>
      </c>
      <c r="N31">
        <v>0</v>
      </c>
      <c r="O31">
        <v>554121</v>
      </c>
      <c r="P31">
        <v>0</v>
      </c>
      <c r="Q31">
        <v>0</v>
      </c>
      <c r="R31">
        <v>649258</v>
      </c>
      <c r="S31">
        <v>0</v>
      </c>
      <c r="T31" s="7">
        <v>0</v>
      </c>
      <c r="V31">
        <f>INDEX(OutputValues,27,$U$4)</f>
        <v>168710.67199999999</v>
      </c>
    </row>
    <row r="32" spans="1:22" x14ac:dyDescent="0.3">
      <c r="A32">
        <v>1850000</v>
      </c>
      <c r="B32" s="11">
        <v>168710.67199999999</v>
      </c>
      <c r="C32">
        <v>0</v>
      </c>
      <c r="D32">
        <v>0</v>
      </c>
      <c r="E32">
        <v>755042</v>
      </c>
      <c r="F32">
        <v>0</v>
      </c>
      <c r="G32">
        <v>0</v>
      </c>
      <c r="H32">
        <v>355063</v>
      </c>
      <c r="I32">
        <v>0</v>
      </c>
      <c r="J32">
        <v>852364</v>
      </c>
      <c r="K32">
        <v>0</v>
      </c>
      <c r="L32">
        <v>0</v>
      </c>
      <c r="M32">
        <v>447289</v>
      </c>
      <c r="N32">
        <v>0</v>
      </c>
      <c r="O32">
        <v>554121</v>
      </c>
      <c r="P32">
        <v>0</v>
      </c>
      <c r="Q32">
        <v>0</v>
      </c>
      <c r="R32">
        <v>649258</v>
      </c>
      <c r="S32">
        <v>0</v>
      </c>
      <c r="T32" s="7">
        <v>0</v>
      </c>
      <c r="V32">
        <f>INDEX(OutputValues,28,$U$4)</f>
        <v>168710.67199999999</v>
      </c>
    </row>
    <row r="33" spans="1:22" x14ac:dyDescent="0.3">
      <c r="A33">
        <v>1900000</v>
      </c>
      <c r="B33" s="11">
        <v>168710.67199999999</v>
      </c>
      <c r="C33">
        <v>0</v>
      </c>
      <c r="D33">
        <v>0</v>
      </c>
      <c r="E33">
        <v>755042</v>
      </c>
      <c r="F33">
        <v>0</v>
      </c>
      <c r="G33">
        <v>0</v>
      </c>
      <c r="H33">
        <v>355063</v>
      </c>
      <c r="I33">
        <v>0</v>
      </c>
      <c r="J33">
        <v>852364</v>
      </c>
      <c r="K33">
        <v>0</v>
      </c>
      <c r="L33">
        <v>0</v>
      </c>
      <c r="M33">
        <v>447289</v>
      </c>
      <c r="N33">
        <v>0</v>
      </c>
      <c r="O33">
        <v>554121</v>
      </c>
      <c r="P33">
        <v>0</v>
      </c>
      <c r="Q33">
        <v>0</v>
      </c>
      <c r="R33">
        <v>649258</v>
      </c>
      <c r="S33">
        <v>0</v>
      </c>
      <c r="T33" s="7">
        <v>0</v>
      </c>
      <c r="V33">
        <f>INDEX(OutputValues,29,$U$4)</f>
        <v>168710.67199999999</v>
      </c>
    </row>
    <row r="34" spans="1:22" x14ac:dyDescent="0.3">
      <c r="A34">
        <v>1950000</v>
      </c>
      <c r="B34" s="11">
        <v>168710.67199999999</v>
      </c>
      <c r="C34">
        <v>0</v>
      </c>
      <c r="D34">
        <v>0</v>
      </c>
      <c r="E34">
        <v>755042</v>
      </c>
      <c r="F34">
        <v>0</v>
      </c>
      <c r="G34">
        <v>0</v>
      </c>
      <c r="H34">
        <v>355063</v>
      </c>
      <c r="I34">
        <v>0</v>
      </c>
      <c r="J34">
        <v>852364</v>
      </c>
      <c r="K34">
        <v>0</v>
      </c>
      <c r="L34">
        <v>0</v>
      </c>
      <c r="M34">
        <v>447289</v>
      </c>
      <c r="N34">
        <v>0</v>
      </c>
      <c r="O34">
        <v>554121</v>
      </c>
      <c r="P34">
        <v>0</v>
      </c>
      <c r="Q34">
        <v>0</v>
      </c>
      <c r="R34">
        <v>649258</v>
      </c>
      <c r="S34">
        <v>0</v>
      </c>
      <c r="T34" s="7">
        <v>0</v>
      </c>
      <c r="V34">
        <f>INDEX(OutputValues,30,$U$4)</f>
        <v>168710.67199999999</v>
      </c>
    </row>
    <row r="35" spans="1:22" x14ac:dyDescent="0.3">
      <c r="A35">
        <v>2000000</v>
      </c>
      <c r="B35" s="12">
        <v>168710.67199999999</v>
      </c>
      <c r="C35" s="13">
        <v>0</v>
      </c>
      <c r="D35" s="13">
        <v>0</v>
      </c>
      <c r="E35" s="13">
        <v>755042</v>
      </c>
      <c r="F35" s="13">
        <v>0</v>
      </c>
      <c r="G35" s="13">
        <v>0</v>
      </c>
      <c r="H35" s="13">
        <v>355063</v>
      </c>
      <c r="I35" s="13">
        <v>0</v>
      </c>
      <c r="J35" s="13">
        <v>852364</v>
      </c>
      <c r="K35" s="13">
        <v>0</v>
      </c>
      <c r="L35" s="13">
        <v>0</v>
      </c>
      <c r="M35" s="13">
        <v>447289</v>
      </c>
      <c r="N35" s="13">
        <v>0</v>
      </c>
      <c r="O35" s="13">
        <v>554121</v>
      </c>
      <c r="P35" s="13">
        <v>0</v>
      </c>
      <c r="Q35" s="13">
        <v>0</v>
      </c>
      <c r="R35" s="13">
        <v>649258</v>
      </c>
      <c r="S35" s="13">
        <v>0</v>
      </c>
      <c r="T35" s="8">
        <v>0</v>
      </c>
      <c r="V35">
        <f>INDEX(OutputValues,31,$U$4)</f>
        <v>168710.67199999999</v>
      </c>
    </row>
  </sheetData>
  <dataValidations count="1">
    <dataValidation type="list" allowBlank="1" showInputMessage="1" showErrorMessage="1" sqref="V4" xr:uid="{2A574717-EB0E-4C15-A78F-B70CC20C4072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F89-5261-4E58-883B-721955141579}">
  <dimension ref="A1:AZ211"/>
  <sheetViews>
    <sheetView zoomScaleNormal="100" workbookViewId="0">
      <selection activeCell="G27" sqref="G27"/>
    </sheetView>
  </sheetViews>
  <sheetFormatPr defaultRowHeight="14.4" x14ac:dyDescent="0.3"/>
  <cols>
    <col min="1" max="1" width="8" bestFit="1" customWidth="1"/>
    <col min="18" max="18" width="17" customWidth="1"/>
  </cols>
  <sheetData>
    <row r="1" spans="1:52" x14ac:dyDescent="0.3">
      <c r="A1" s="1" t="s">
        <v>181</v>
      </c>
      <c r="O1" s="10" t="str">
        <f>CONCATENATE("Sensitivity of ",$O$4," to ","demand for Tirupathi")</f>
        <v>Sensitivity of $D$39 to demand for Tirupathi</v>
      </c>
      <c r="S1" s="10" t="str">
        <f>CONCATENATE("Sensitivity of ",$S$4," to ","demand for Mysore")</f>
        <v>Sensitivity of $D$39 to demand for Mysore</v>
      </c>
    </row>
    <row r="2" spans="1:52" x14ac:dyDescent="0.3">
      <c r="O2" t="s">
        <v>183</v>
      </c>
      <c r="S2" t="s">
        <v>185</v>
      </c>
      <c r="AZ2" t="s">
        <v>173</v>
      </c>
    </row>
    <row r="3" spans="1:52" x14ac:dyDescent="0.3">
      <c r="A3" t="s">
        <v>182</v>
      </c>
      <c r="O3" t="s">
        <v>75</v>
      </c>
      <c r="P3" t="s">
        <v>184</v>
      </c>
      <c r="S3" t="s">
        <v>75</v>
      </c>
      <c r="T3" t="s">
        <v>186</v>
      </c>
      <c r="AZ3" t="s">
        <v>119</v>
      </c>
    </row>
    <row r="4" spans="1:52" ht="33.6" x14ac:dyDescent="0.3">
      <c r="A4" s="92" t="s">
        <v>173</v>
      </c>
      <c r="B4">
        <v>50000</v>
      </c>
      <c r="C4">
        <v>100000</v>
      </c>
      <c r="D4">
        <v>150000</v>
      </c>
      <c r="E4">
        <v>200000</v>
      </c>
      <c r="F4">
        <v>250000</v>
      </c>
      <c r="G4">
        <v>300000</v>
      </c>
      <c r="H4">
        <v>350000</v>
      </c>
      <c r="I4">
        <v>400000</v>
      </c>
      <c r="J4">
        <v>450000</v>
      </c>
      <c r="K4">
        <v>500000</v>
      </c>
      <c r="L4">
        <v>550000</v>
      </c>
      <c r="M4">
        <v>600000</v>
      </c>
      <c r="N4" s="10">
        <f>MATCH($O$4,OutputAddresses,0)</f>
        <v>1</v>
      </c>
      <c r="O4" s="9" t="s">
        <v>173</v>
      </c>
      <c r="P4" s="75">
        <v>200000</v>
      </c>
      <c r="Q4" s="10">
        <f>MATCH($P$4,InputValues1,0)</f>
        <v>1</v>
      </c>
      <c r="R4" s="10">
        <f>MATCH($S$4,OutputAddresses,0)</f>
        <v>1</v>
      </c>
      <c r="S4" s="9" t="s">
        <v>173</v>
      </c>
      <c r="T4" s="75">
        <v>50000</v>
      </c>
      <c r="U4" s="10">
        <f>MATCH($T$4,InputValues2,0)</f>
        <v>1</v>
      </c>
      <c r="AZ4" t="s">
        <v>120</v>
      </c>
    </row>
    <row r="5" spans="1:52" x14ac:dyDescent="0.3">
      <c r="A5">
        <v>200000</v>
      </c>
      <c r="B5" s="91">
        <v>131811.30799999999</v>
      </c>
      <c r="C5" s="5">
        <v>134027.97466666668</v>
      </c>
      <c r="D5" s="5">
        <v>136244.64133333333</v>
      </c>
      <c r="E5" s="5">
        <v>138461.30800000002</v>
      </c>
      <c r="F5" s="5">
        <v>140677.97466666668</v>
      </c>
      <c r="G5" s="5">
        <v>142894.64133333333</v>
      </c>
      <c r="H5" s="5">
        <v>145111.30800000002</v>
      </c>
      <c r="I5" s="5">
        <v>147327.97466666668</v>
      </c>
      <c r="J5" s="5">
        <v>149544.64133333333</v>
      </c>
      <c r="K5" s="5">
        <v>151778.508</v>
      </c>
      <c r="L5" s="5">
        <v>154195.17466666666</v>
      </c>
      <c r="M5" s="6">
        <v>156611.84133333334</v>
      </c>
      <c r="N5" s="10" t="str">
        <f>"OutputValues_"&amp;$N$4</f>
        <v>OutputValues_1</v>
      </c>
      <c r="O5">
        <f ca="1">INDEX(INDIRECT($N$5),$Q$4,1)</f>
        <v>131811.30799999999</v>
      </c>
      <c r="R5" s="10" t="str">
        <f>"OutputValues_"&amp;$R$4</f>
        <v>OutputValues_1</v>
      </c>
      <c r="S5">
        <f ca="1">INDEX(INDIRECT($R$5),1,$U$4)</f>
        <v>131811.30799999999</v>
      </c>
      <c r="AZ5" t="s">
        <v>121</v>
      </c>
    </row>
    <row r="6" spans="1:52" x14ac:dyDescent="0.3">
      <c r="A6">
        <v>300000</v>
      </c>
      <c r="B6" s="11">
        <v>141444.64133333333</v>
      </c>
      <c r="C6">
        <v>143661.30800000002</v>
      </c>
      <c r="D6">
        <v>145877.97466666668</v>
      </c>
      <c r="E6">
        <v>148094.64133333333</v>
      </c>
      <c r="F6">
        <v>150311.30799999999</v>
      </c>
      <c r="G6">
        <v>152527.97466666668</v>
      </c>
      <c r="H6">
        <v>154744.64133333333</v>
      </c>
      <c r="I6">
        <v>156978.508</v>
      </c>
      <c r="J6">
        <v>159395.17466666669</v>
      </c>
      <c r="K6">
        <v>161811.84133333334</v>
      </c>
      <c r="L6">
        <v>164228.50799999997</v>
      </c>
      <c r="M6" s="7">
        <v>166645.17466666666</v>
      </c>
      <c r="O6">
        <f ca="1">INDEX(INDIRECT($N$5),$Q$4,2)</f>
        <v>134027.97466666668</v>
      </c>
      <c r="S6">
        <f ca="1">INDEX(INDIRECT($R$5),2,$U$4)</f>
        <v>141444.64133333333</v>
      </c>
      <c r="AZ6" t="s">
        <v>122</v>
      </c>
    </row>
    <row r="7" spans="1:52" x14ac:dyDescent="0.3">
      <c r="A7">
        <v>400000</v>
      </c>
      <c r="B7" s="11">
        <v>151077.97466666668</v>
      </c>
      <c r="C7">
        <v>153294.64133333336</v>
      </c>
      <c r="D7">
        <v>155511.30800000002</v>
      </c>
      <c r="E7">
        <v>157727.97466666668</v>
      </c>
      <c r="F7">
        <v>159944.64133333333</v>
      </c>
      <c r="G7">
        <v>162178.508</v>
      </c>
      <c r="H7">
        <v>164595.17466666669</v>
      </c>
      <c r="I7">
        <v>167011.84133333334</v>
      </c>
      <c r="J7">
        <v>169428.508</v>
      </c>
      <c r="K7">
        <v>171845.17466666666</v>
      </c>
      <c r="L7">
        <v>174261.84133333332</v>
      </c>
      <c r="M7" s="79" t="s">
        <v>70</v>
      </c>
      <c r="O7">
        <f ca="1">INDEX(INDIRECT($N$5),$Q$4,3)</f>
        <v>136244.64133333333</v>
      </c>
      <c r="S7">
        <f ca="1">INDEX(INDIRECT($R$5),3,$U$4)</f>
        <v>151077.97466666668</v>
      </c>
      <c r="AZ7" t="s">
        <v>123</v>
      </c>
    </row>
    <row r="8" spans="1:52" x14ac:dyDescent="0.3">
      <c r="A8">
        <v>500000</v>
      </c>
      <c r="B8" s="11">
        <v>160711.30799999999</v>
      </c>
      <c r="C8">
        <v>162927.97466666668</v>
      </c>
      <c r="D8">
        <v>165144.64133333336</v>
      </c>
      <c r="E8">
        <v>167378.50800000003</v>
      </c>
      <c r="F8">
        <v>169795.17466666666</v>
      </c>
      <c r="G8">
        <v>172211.84133333332</v>
      </c>
      <c r="H8">
        <v>174628.508</v>
      </c>
      <c r="I8">
        <v>177045.17466666666</v>
      </c>
      <c r="J8">
        <v>179461.84133333332</v>
      </c>
      <c r="K8" s="77" t="s">
        <v>70</v>
      </c>
      <c r="L8" s="77" t="s">
        <v>70</v>
      </c>
      <c r="M8" s="79" t="s">
        <v>70</v>
      </c>
      <c r="O8">
        <f ca="1">INDEX(INDIRECT($N$5),$Q$4,4)</f>
        <v>138461.30800000002</v>
      </c>
      <c r="S8">
        <f ca="1">INDEX(INDIRECT($R$5),4,$U$4)</f>
        <v>160711.30799999999</v>
      </c>
      <c r="AZ8" t="s">
        <v>124</v>
      </c>
    </row>
    <row r="9" spans="1:52" x14ac:dyDescent="0.3">
      <c r="A9">
        <v>600000</v>
      </c>
      <c r="B9" s="11">
        <v>170344.64133333333</v>
      </c>
      <c r="C9">
        <v>172578.50799999997</v>
      </c>
      <c r="D9">
        <v>174995.17466666669</v>
      </c>
      <c r="E9">
        <v>177411.84133333334</v>
      </c>
      <c r="F9">
        <v>179828.50799999997</v>
      </c>
      <c r="G9">
        <v>182245.17466666666</v>
      </c>
      <c r="H9">
        <v>184661.84133333334</v>
      </c>
      <c r="I9" s="77" t="s">
        <v>70</v>
      </c>
      <c r="J9" s="77" t="s">
        <v>70</v>
      </c>
      <c r="K9" s="77" t="s">
        <v>70</v>
      </c>
      <c r="L9" s="77" t="s">
        <v>70</v>
      </c>
      <c r="M9" s="79" t="s">
        <v>70</v>
      </c>
      <c r="O9">
        <f ca="1">INDEX(INDIRECT($N$5),$Q$4,5)</f>
        <v>140677.97466666668</v>
      </c>
      <c r="S9">
        <f ca="1">INDEX(INDIRECT($R$5),5,$U$4)</f>
        <v>170344.64133333333</v>
      </c>
      <c r="AZ9" t="s">
        <v>125</v>
      </c>
    </row>
    <row r="10" spans="1:52" x14ac:dyDescent="0.3">
      <c r="A10">
        <v>700000</v>
      </c>
      <c r="B10" s="11">
        <v>180195.17466666669</v>
      </c>
      <c r="C10">
        <v>182611.84133333332</v>
      </c>
      <c r="D10">
        <v>185028.508</v>
      </c>
      <c r="E10">
        <v>187445.17466666666</v>
      </c>
      <c r="F10">
        <v>189861.84133333332</v>
      </c>
      <c r="G10" s="77" t="s">
        <v>70</v>
      </c>
      <c r="H10" s="77" t="s">
        <v>70</v>
      </c>
      <c r="I10" s="77" t="s">
        <v>70</v>
      </c>
      <c r="J10" s="77" t="s">
        <v>70</v>
      </c>
      <c r="K10" s="77" t="s">
        <v>70</v>
      </c>
      <c r="L10" s="77" t="s">
        <v>70</v>
      </c>
      <c r="M10" s="79" t="s">
        <v>70</v>
      </c>
      <c r="O10">
        <f ca="1">INDEX(INDIRECT($N$5),$Q$4,6)</f>
        <v>142894.64133333333</v>
      </c>
      <c r="S10">
        <f ca="1">INDEX(INDIRECT($R$5),6,$U$4)</f>
        <v>180195.17466666669</v>
      </c>
      <c r="AZ10" t="s">
        <v>126</v>
      </c>
    </row>
    <row r="11" spans="1:52" x14ac:dyDescent="0.3">
      <c r="A11">
        <v>800000</v>
      </c>
      <c r="B11" s="11">
        <v>190228.508</v>
      </c>
      <c r="C11">
        <v>192645.17466666663</v>
      </c>
      <c r="D11">
        <v>195061.84133333332</v>
      </c>
      <c r="E11" s="77" t="s">
        <v>70</v>
      </c>
      <c r="F11" s="77" t="s">
        <v>70</v>
      </c>
      <c r="G11" s="77" t="s">
        <v>70</v>
      </c>
      <c r="H11" s="77" t="s">
        <v>70</v>
      </c>
      <c r="I11" s="77" t="s">
        <v>70</v>
      </c>
      <c r="J11" s="77" t="s">
        <v>70</v>
      </c>
      <c r="K11" s="77" t="s">
        <v>70</v>
      </c>
      <c r="L11" s="77" t="s">
        <v>70</v>
      </c>
      <c r="M11" s="79" t="s">
        <v>70</v>
      </c>
      <c r="O11">
        <f ca="1">INDEX(INDIRECT($N$5),$Q$4,7)</f>
        <v>145111.30800000002</v>
      </c>
      <c r="S11">
        <f ca="1">INDEX(INDIRECT($R$5),7,$U$4)</f>
        <v>190228.508</v>
      </c>
      <c r="AZ11" t="s">
        <v>127</v>
      </c>
    </row>
    <row r="12" spans="1:52" x14ac:dyDescent="0.3">
      <c r="A12">
        <v>900000</v>
      </c>
      <c r="B12" s="11">
        <v>200261.84133333334</v>
      </c>
      <c r="C12" s="77" t="s">
        <v>70</v>
      </c>
      <c r="D12" s="77" t="s">
        <v>70</v>
      </c>
      <c r="E12" s="77" t="s">
        <v>70</v>
      </c>
      <c r="F12" s="77" t="s">
        <v>70</v>
      </c>
      <c r="G12" s="77" t="s">
        <v>70</v>
      </c>
      <c r="H12" s="77" t="s">
        <v>70</v>
      </c>
      <c r="I12" s="77" t="s">
        <v>70</v>
      </c>
      <c r="J12" s="77" t="s">
        <v>70</v>
      </c>
      <c r="K12" s="77" t="s">
        <v>70</v>
      </c>
      <c r="L12" s="77" t="s">
        <v>70</v>
      </c>
      <c r="M12" s="79" t="s">
        <v>70</v>
      </c>
      <c r="O12">
        <f ca="1">INDEX(INDIRECT($N$5),$Q$4,8)</f>
        <v>147327.97466666668</v>
      </c>
      <c r="S12">
        <f ca="1">INDEX(INDIRECT($R$5),8,$U$4)</f>
        <v>200261.84133333334</v>
      </c>
      <c r="AZ12" t="s">
        <v>128</v>
      </c>
    </row>
    <row r="13" spans="1:52" x14ac:dyDescent="0.3">
      <c r="A13">
        <v>1000000</v>
      </c>
      <c r="B13" s="76" t="s">
        <v>70</v>
      </c>
      <c r="C13" s="78" t="s">
        <v>70</v>
      </c>
      <c r="D13" s="78" t="s">
        <v>70</v>
      </c>
      <c r="E13" s="78" t="s">
        <v>70</v>
      </c>
      <c r="F13" s="78" t="s">
        <v>70</v>
      </c>
      <c r="G13" s="78" t="s">
        <v>70</v>
      </c>
      <c r="H13" s="78" t="s">
        <v>70</v>
      </c>
      <c r="I13" s="78" t="s">
        <v>70</v>
      </c>
      <c r="J13" s="78" t="s">
        <v>70</v>
      </c>
      <c r="K13" s="78" t="s">
        <v>70</v>
      </c>
      <c r="L13" s="78" t="s">
        <v>70</v>
      </c>
      <c r="M13" s="80" t="s">
        <v>70</v>
      </c>
      <c r="O13">
        <f ca="1">INDEX(INDIRECT($N$5),$Q$4,9)</f>
        <v>149544.64133333333</v>
      </c>
      <c r="S13" t="str">
        <f ca="1">INDEX(INDIRECT($R$5),9,$U$4)</f>
        <v>Not feasible</v>
      </c>
      <c r="AZ13" t="s">
        <v>129</v>
      </c>
    </row>
    <row r="14" spans="1:52" x14ac:dyDescent="0.3">
      <c r="O14">
        <f ca="1">INDEX(INDIRECT($N$5),$Q$4,10)</f>
        <v>151778.508</v>
      </c>
      <c r="AZ14" t="s">
        <v>130</v>
      </c>
    </row>
    <row r="15" spans="1:52" x14ac:dyDescent="0.3">
      <c r="A15" s="74" t="s">
        <v>119</v>
      </c>
      <c r="B15">
        <v>50000</v>
      </c>
      <c r="C15">
        <v>100000</v>
      </c>
      <c r="D15">
        <v>150000</v>
      </c>
      <c r="E15">
        <v>200000</v>
      </c>
      <c r="F15">
        <v>250000</v>
      </c>
      <c r="G15">
        <v>300000</v>
      </c>
      <c r="H15">
        <v>350000</v>
      </c>
      <c r="I15">
        <v>400000</v>
      </c>
      <c r="J15">
        <v>450000</v>
      </c>
      <c r="K15">
        <v>500000</v>
      </c>
      <c r="L15">
        <v>550000</v>
      </c>
      <c r="M15">
        <v>600000</v>
      </c>
      <c r="O15">
        <f ca="1">INDEX(INDIRECT($N$5),$Q$4,11)</f>
        <v>154195.17466666666</v>
      </c>
      <c r="AZ15" t="s">
        <v>131</v>
      </c>
    </row>
    <row r="16" spans="1:52" x14ac:dyDescent="0.3">
      <c r="A16">
        <v>200000</v>
      </c>
      <c r="B16" s="91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O16">
        <f ca="1">INDEX(INDIRECT($N$5),$Q$4,12)</f>
        <v>156611.84133333334</v>
      </c>
      <c r="AZ16" t="s">
        <v>132</v>
      </c>
    </row>
    <row r="17" spans="1:52" x14ac:dyDescent="0.3">
      <c r="A17">
        <v>300000</v>
      </c>
      <c r="B17" s="1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7">
        <v>0</v>
      </c>
      <c r="AZ17" t="s">
        <v>133</v>
      </c>
    </row>
    <row r="18" spans="1:52" x14ac:dyDescent="0.3">
      <c r="A18">
        <v>400000</v>
      </c>
      <c r="B18" s="1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79" t="s">
        <v>70</v>
      </c>
      <c r="AZ18" t="s">
        <v>134</v>
      </c>
    </row>
    <row r="19" spans="1:52" x14ac:dyDescent="0.3">
      <c r="A19">
        <v>500000</v>
      </c>
      <c r="B19" s="1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77" t="s">
        <v>70</v>
      </c>
      <c r="L19" s="77" t="s">
        <v>70</v>
      </c>
      <c r="M19" s="79" t="s">
        <v>70</v>
      </c>
      <c r="AZ19" t="s">
        <v>135</v>
      </c>
    </row>
    <row r="20" spans="1:52" x14ac:dyDescent="0.3">
      <c r="A20">
        <v>600000</v>
      </c>
      <c r="B20" s="1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77" t="s">
        <v>70</v>
      </c>
      <c r="J20" s="77" t="s">
        <v>70</v>
      </c>
      <c r="K20" s="77" t="s">
        <v>70</v>
      </c>
      <c r="L20" s="77" t="s">
        <v>70</v>
      </c>
      <c r="M20" s="79" t="s">
        <v>70</v>
      </c>
      <c r="AZ20" t="s">
        <v>136</v>
      </c>
    </row>
    <row r="21" spans="1:52" x14ac:dyDescent="0.3">
      <c r="A21">
        <v>700000</v>
      </c>
      <c r="B21" s="11">
        <v>0</v>
      </c>
      <c r="C21">
        <v>0</v>
      </c>
      <c r="D21">
        <v>0</v>
      </c>
      <c r="E21">
        <v>0</v>
      </c>
      <c r="F21">
        <v>0</v>
      </c>
      <c r="G21" s="77" t="s">
        <v>70</v>
      </c>
      <c r="H21" s="77" t="s">
        <v>70</v>
      </c>
      <c r="I21" s="77" t="s">
        <v>70</v>
      </c>
      <c r="J21" s="77" t="s">
        <v>70</v>
      </c>
      <c r="K21" s="77" t="s">
        <v>70</v>
      </c>
      <c r="L21" s="77" t="s">
        <v>70</v>
      </c>
      <c r="M21" s="79" t="s">
        <v>70</v>
      </c>
    </row>
    <row r="22" spans="1:52" x14ac:dyDescent="0.3">
      <c r="A22">
        <v>800000</v>
      </c>
      <c r="B22" s="11">
        <v>0</v>
      </c>
      <c r="C22">
        <v>0</v>
      </c>
      <c r="D22">
        <v>0</v>
      </c>
      <c r="E22" s="77" t="s">
        <v>70</v>
      </c>
      <c r="F22" s="77" t="s">
        <v>70</v>
      </c>
      <c r="G22" s="77" t="s">
        <v>70</v>
      </c>
      <c r="H22" s="77" t="s">
        <v>70</v>
      </c>
      <c r="I22" s="77" t="s">
        <v>70</v>
      </c>
      <c r="J22" s="77" t="s">
        <v>70</v>
      </c>
      <c r="K22" s="77" t="s">
        <v>70</v>
      </c>
      <c r="L22" s="77" t="s">
        <v>70</v>
      </c>
      <c r="M22" s="79" t="s">
        <v>70</v>
      </c>
    </row>
    <row r="23" spans="1:52" x14ac:dyDescent="0.3">
      <c r="A23">
        <v>900000</v>
      </c>
      <c r="B23" s="11">
        <v>0</v>
      </c>
      <c r="C23" s="77" t="s">
        <v>70</v>
      </c>
      <c r="D23" s="77" t="s">
        <v>70</v>
      </c>
      <c r="E23" s="77" t="s">
        <v>70</v>
      </c>
      <c r="F23" s="77" t="s">
        <v>70</v>
      </c>
      <c r="G23" s="77" t="s">
        <v>70</v>
      </c>
      <c r="H23" s="77" t="s">
        <v>70</v>
      </c>
      <c r="I23" s="77" t="s">
        <v>70</v>
      </c>
      <c r="J23" s="77" t="s">
        <v>70</v>
      </c>
      <c r="K23" s="77" t="s">
        <v>70</v>
      </c>
      <c r="L23" s="77" t="s">
        <v>70</v>
      </c>
      <c r="M23" s="79" t="s">
        <v>70</v>
      </c>
    </row>
    <row r="24" spans="1:52" x14ac:dyDescent="0.3">
      <c r="A24">
        <v>1000000</v>
      </c>
      <c r="B24" s="76" t="s">
        <v>70</v>
      </c>
      <c r="C24" s="78" t="s">
        <v>70</v>
      </c>
      <c r="D24" s="78" t="s">
        <v>70</v>
      </c>
      <c r="E24" s="78" t="s">
        <v>70</v>
      </c>
      <c r="F24" s="78" t="s">
        <v>70</v>
      </c>
      <c r="G24" s="78" t="s">
        <v>70</v>
      </c>
      <c r="H24" s="78" t="s">
        <v>70</v>
      </c>
      <c r="I24" s="78" t="s">
        <v>70</v>
      </c>
      <c r="J24" s="78" t="s">
        <v>70</v>
      </c>
      <c r="K24" s="78" t="s">
        <v>70</v>
      </c>
      <c r="L24" s="78" t="s">
        <v>70</v>
      </c>
      <c r="M24" s="80" t="s">
        <v>70</v>
      </c>
    </row>
    <row r="26" spans="1:52" x14ac:dyDescent="0.3">
      <c r="A26" s="74" t="s">
        <v>120</v>
      </c>
      <c r="B26">
        <v>50000</v>
      </c>
      <c r="C26">
        <v>100000</v>
      </c>
      <c r="D26">
        <v>150000</v>
      </c>
      <c r="E26">
        <v>200000</v>
      </c>
      <c r="F26">
        <v>250000</v>
      </c>
      <c r="G26">
        <v>300000</v>
      </c>
      <c r="H26">
        <v>350000</v>
      </c>
      <c r="I26">
        <v>400000</v>
      </c>
      <c r="J26">
        <v>450000</v>
      </c>
      <c r="K26">
        <v>500000</v>
      </c>
      <c r="L26">
        <v>550000</v>
      </c>
      <c r="M26">
        <v>600000</v>
      </c>
    </row>
    <row r="27" spans="1:52" x14ac:dyDescent="0.3">
      <c r="A27">
        <v>200000</v>
      </c>
      <c r="B27" s="91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</row>
    <row r="28" spans="1:52" x14ac:dyDescent="0.3">
      <c r="A28">
        <v>300000</v>
      </c>
      <c r="B28" s="1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7">
        <v>0</v>
      </c>
    </row>
    <row r="29" spans="1:52" x14ac:dyDescent="0.3">
      <c r="A29">
        <v>400000</v>
      </c>
      <c r="B29" s="1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79" t="s">
        <v>70</v>
      </c>
    </row>
    <row r="30" spans="1:52" x14ac:dyDescent="0.3">
      <c r="A30">
        <v>500000</v>
      </c>
      <c r="B30" s="11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77" t="s">
        <v>70</v>
      </c>
      <c r="L30" s="77" t="s">
        <v>70</v>
      </c>
      <c r="M30" s="79" t="s">
        <v>70</v>
      </c>
    </row>
    <row r="31" spans="1:52" x14ac:dyDescent="0.3">
      <c r="A31">
        <v>600000</v>
      </c>
      <c r="B31" s="1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77" t="s">
        <v>70</v>
      </c>
      <c r="J31" s="77" t="s">
        <v>70</v>
      </c>
      <c r="K31" s="77" t="s">
        <v>70</v>
      </c>
      <c r="L31" s="77" t="s">
        <v>70</v>
      </c>
      <c r="M31" s="79" t="s">
        <v>70</v>
      </c>
    </row>
    <row r="32" spans="1:52" x14ac:dyDescent="0.3">
      <c r="A32">
        <v>700000</v>
      </c>
      <c r="B32" s="11">
        <v>0</v>
      </c>
      <c r="C32">
        <v>0</v>
      </c>
      <c r="D32">
        <v>0</v>
      </c>
      <c r="E32">
        <v>0</v>
      </c>
      <c r="F32">
        <v>0</v>
      </c>
      <c r="G32" s="77" t="s">
        <v>70</v>
      </c>
      <c r="H32" s="77" t="s">
        <v>70</v>
      </c>
      <c r="I32" s="77" t="s">
        <v>70</v>
      </c>
      <c r="J32" s="77" t="s">
        <v>70</v>
      </c>
      <c r="K32" s="77" t="s">
        <v>70</v>
      </c>
      <c r="L32" s="77" t="s">
        <v>70</v>
      </c>
      <c r="M32" s="79" t="s">
        <v>70</v>
      </c>
    </row>
    <row r="33" spans="1:13" x14ac:dyDescent="0.3">
      <c r="A33">
        <v>800000</v>
      </c>
      <c r="B33" s="11">
        <v>0</v>
      </c>
      <c r="C33">
        <v>0</v>
      </c>
      <c r="D33">
        <v>0</v>
      </c>
      <c r="E33" s="77" t="s">
        <v>70</v>
      </c>
      <c r="F33" s="77" t="s">
        <v>70</v>
      </c>
      <c r="G33" s="77" t="s">
        <v>70</v>
      </c>
      <c r="H33" s="77" t="s">
        <v>70</v>
      </c>
      <c r="I33" s="77" t="s">
        <v>70</v>
      </c>
      <c r="J33" s="77" t="s">
        <v>70</v>
      </c>
      <c r="K33" s="77" t="s">
        <v>70</v>
      </c>
      <c r="L33" s="77" t="s">
        <v>70</v>
      </c>
      <c r="M33" s="79" t="s">
        <v>70</v>
      </c>
    </row>
    <row r="34" spans="1:13" x14ac:dyDescent="0.3">
      <c r="A34">
        <v>900000</v>
      </c>
      <c r="B34" s="11">
        <v>0</v>
      </c>
      <c r="C34" s="77" t="s">
        <v>70</v>
      </c>
      <c r="D34" s="77" t="s">
        <v>70</v>
      </c>
      <c r="E34" s="77" t="s">
        <v>70</v>
      </c>
      <c r="F34" s="77" t="s">
        <v>70</v>
      </c>
      <c r="G34" s="77" t="s">
        <v>70</v>
      </c>
      <c r="H34" s="77" t="s">
        <v>70</v>
      </c>
      <c r="I34" s="77" t="s">
        <v>70</v>
      </c>
      <c r="J34" s="77" t="s">
        <v>70</v>
      </c>
      <c r="K34" s="77" t="s">
        <v>70</v>
      </c>
      <c r="L34" s="77" t="s">
        <v>70</v>
      </c>
      <c r="M34" s="79" t="s">
        <v>70</v>
      </c>
    </row>
    <row r="35" spans="1:13" x14ac:dyDescent="0.3">
      <c r="A35">
        <v>1000000</v>
      </c>
      <c r="B35" s="76" t="s">
        <v>70</v>
      </c>
      <c r="C35" s="78" t="s">
        <v>70</v>
      </c>
      <c r="D35" s="78" t="s">
        <v>70</v>
      </c>
      <c r="E35" s="78" t="s">
        <v>70</v>
      </c>
      <c r="F35" s="78" t="s">
        <v>70</v>
      </c>
      <c r="G35" s="78" t="s">
        <v>70</v>
      </c>
      <c r="H35" s="78" t="s">
        <v>70</v>
      </c>
      <c r="I35" s="78" t="s">
        <v>70</v>
      </c>
      <c r="J35" s="78" t="s">
        <v>70</v>
      </c>
      <c r="K35" s="78" t="s">
        <v>70</v>
      </c>
      <c r="L35" s="78" t="s">
        <v>70</v>
      </c>
      <c r="M35" s="80" t="s">
        <v>70</v>
      </c>
    </row>
    <row r="37" spans="1:13" x14ac:dyDescent="0.3">
      <c r="A37" s="74" t="s">
        <v>121</v>
      </c>
      <c r="B37">
        <v>50000</v>
      </c>
      <c r="C37">
        <v>100000</v>
      </c>
      <c r="D37">
        <v>150000</v>
      </c>
      <c r="E37">
        <v>200000</v>
      </c>
      <c r="F37">
        <v>250000</v>
      </c>
      <c r="G37">
        <v>300000</v>
      </c>
      <c r="H37">
        <v>350000</v>
      </c>
      <c r="I37">
        <v>400000</v>
      </c>
      <c r="J37">
        <v>450000</v>
      </c>
      <c r="K37">
        <v>500000</v>
      </c>
      <c r="L37">
        <v>550000</v>
      </c>
      <c r="M37">
        <v>600000</v>
      </c>
    </row>
    <row r="38" spans="1:13" x14ac:dyDescent="0.3">
      <c r="A38">
        <v>200000</v>
      </c>
      <c r="B38" s="91">
        <v>755042</v>
      </c>
      <c r="C38" s="5">
        <v>755042</v>
      </c>
      <c r="D38" s="5">
        <v>755042</v>
      </c>
      <c r="E38" s="5">
        <v>755042</v>
      </c>
      <c r="F38" s="5">
        <v>755042</v>
      </c>
      <c r="G38" s="5">
        <v>755042</v>
      </c>
      <c r="H38" s="5">
        <v>755042</v>
      </c>
      <c r="I38" s="5">
        <v>755042</v>
      </c>
      <c r="J38" s="5">
        <v>755042</v>
      </c>
      <c r="K38" s="5">
        <v>755042</v>
      </c>
      <c r="L38" s="5">
        <v>755042</v>
      </c>
      <c r="M38" s="6">
        <v>755042</v>
      </c>
    </row>
    <row r="39" spans="1:13" x14ac:dyDescent="0.3">
      <c r="A39">
        <v>300000</v>
      </c>
      <c r="B39" s="11">
        <v>755042</v>
      </c>
      <c r="C39">
        <v>755042</v>
      </c>
      <c r="D39">
        <v>755042</v>
      </c>
      <c r="E39">
        <v>755042</v>
      </c>
      <c r="F39">
        <v>755042</v>
      </c>
      <c r="G39">
        <v>755042</v>
      </c>
      <c r="H39">
        <v>755042</v>
      </c>
      <c r="I39">
        <v>755042</v>
      </c>
      <c r="J39">
        <v>755042</v>
      </c>
      <c r="K39">
        <v>755042</v>
      </c>
      <c r="L39">
        <v>755042</v>
      </c>
      <c r="M39" s="7">
        <v>755042</v>
      </c>
    </row>
    <row r="40" spans="1:13" x14ac:dyDescent="0.3">
      <c r="A40">
        <v>400000</v>
      </c>
      <c r="B40" s="11">
        <v>755042</v>
      </c>
      <c r="C40">
        <v>755042</v>
      </c>
      <c r="D40">
        <v>755042</v>
      </c>
      <c r="E40">
        <v>755042</v>
      </c>
      <c r="F40">
        <v>755042</v>
      </c>
      <c r="G40">
        <v>755042</v>
      </c>
      <c r="H40">
        <v>755042</v>
      </c>
      <c r="I40">
        <v>755042</v>
      </c>
      <c r="J40">
        <v>755042</v>
      </c>
      <c r="K40">
        <v>755042</v>
      </c>
      <c r="L40">
        <v>755042</v>
      </c>
      <c r="M40" s="79" t="s">
        <v>70</v>
      </c>
    </row>
    <row r="41" spans="1:13" x14ac:dyDescent="0.3">
      <c r="A41">
        <v>500000</v>
      </c>
      <c r="B41" s="11">
        <v>755042</v>
      </c>
      <c r="C41">
        <v>755042</v>
      </c>
      <c r="D41">
        <v>755042</v>
      </c>
      <c r="E41">
        <v>755042</v>
      </c>
      <c r="F41">
        <v>755042</v>
      </c>
      <c r="G41">
        <v>755042</v>
      </c>
      <c r="H41">
        <v>755042</v>
      </c>
      <c r="I41">
        <v>755042</v>
      </c>
      <c r="J41">
        <v>755042</v>
      </c>
      <c r="K41" s="77" t="s">
        <v>70</v>
      </c>
      <c r="L41" s="77" t="s">
        <v>70</v>
      </c>
      <c r="M41" s="79" t="s">
        <v>70</v>
      </c>
    </row>
    <row r="42" spans="1:13" x14ac:dyDescent="0.3">
      <c r="A42">
        <v>600000</v>
      </c>
      <c r="B42" s="11">
        <v>755042</v>
      </c>
      <c r="C42">
        <v>755042</v>
      </c>
      <c r="D42">
        <v>755042</v>
      </c>
      <c r="E42">
        <v>755042</v>
      </c>
      <c r="F42">
        <v>755042</v>
      </c>
      <c r="G42">
        <v>755042</v>
      </c>
      <c r="H42">
        <v>755042</v>
      </c>
      <c r="I42" s="77" t="s">
        <v>70</v>
      </c>
      <c r="J42" s="77" t="s">
        <v>70</v>
      </c>
      <c r="K42" s="77" t="s">
        <v>70</v>
      </c>
      <c r="L42" s="77" t="s">
        <v>70</v>
      </c>
      <c r="M42" s="79" t="s">
        <v>70</v>
      </c>
    </row>
    <row r="43" spans="1:13" x14ac:dyDescent="0.3">
      <c r="A43">
        <v>700000</v>
      </c>
      <c r="B43" s="11">
        <v>755042</v>
      </c>
      <c r="C43">
        <v>755042</v>
      </c>
      <c r="D43">
        <v>755042</v>
      </c>
      <c r="E43">
        <v>755042</v>
      </c>
      <c r="F43">
        <v>755042</v>
      </c>
      <c r="G43" s="77" t="s">
        <v>70</v>
      </c>
      <c r="H43" s="77" t="s">
        <v>70</v>
      </c>
      <c r="I43" s="77" t="s">
        <v>70</v>
      </c>
      <c r="J43" s="77" t="s">
        <v>70</v>
      </c>
      <c r="K43" s="77" t="s">
        <v>70</v>
      </c>
      <c r="L43" s="77" t="s">
        <v>70</v>
      </c>
      <c r="M43" s="79" t="s">
        <v>70</v>
      </c>
    </row>
    <row r="44" spans="1:13" x14ac:dyDescent="0.3">
      <c r="A44">
        <v>800000</v>
      </c>
      <c r="B44" s="11">
        <v>755042</v>
      </c>
      <c r="C44">
        <v>755042</v>
      </c>
      <c r="D44">
        <v>755042</v>
      </c>
      <c r="E44" s="77" t="s">
        <v>70</v>
      </c>
      <c r="F44" s="77" t="s">
        <v>70</v>
      </c>
      <c r="G44" s="77" t="s">
        <v>70</v>
      </c>
      <c r="H44" s="77" t="s">
        <v>70</v>
      </c>
      <c r="I44" s="77" t="s">
        <v>70</v>
      </c>
      <c r="J44" s="77" t="s">
        <v>70</v>
      </c>
      <c r="K44" s="77" t="s">
        <v>70</v>
      </c>
      <c r="L44" s="77" t="s">
        <v>70</v>
      </c>
      <c r="M44" s="79" t="s">
        <v>70</v>
      </c>
    </row>
    <row r="45" spans="1:13" x14ac:dyDescent="0.3">
      <c r="A45">
        <v>900000</v>
      </c>
      <c r="B45" s="11">
        <v>755042</v>
      </c>
      <c r="C45" s="77" t="s">
        <v>70</v>
      </c>
      <c r="D45" s="77" t="s">
        <v>70</v>
      </c>
      <c r="E45" s="77" t="s">
        <v>70</v>
      </c>
      <c r="F45" s="77" t="s">
        <v>70</v>
      </c>
      <c r="G45" s="77" t="s">
        <v>70</v>
      </c>
      <c r="H45" s="77" t="s">
        <v>70</v>
      </c>
      <c r="I45" s="77" t="s">
        <v>70</v>
      </c>
      <c r="J45" s="77" t="s">
        <v>70</v>
      </c>
      <c r="K45" s="77" t="s">
        <v>70</v>
      </c>
      <c r="L45" s="77" t="s">
        <v>70</v>
      </c>
      <c r="M45" s="79" t="s">
        <v>70</v>
      </c>
    </row>
    <row r="46" spans="1:13" x14ac:dyDescent="0.3">
      <c r="A46">
        <v>1000000</v>
      </c>
      <c r="B46" s="76" t="s">
        <v>70</v>
      </c>
      <c r="C46" s="78" t="s">
        <v>70</v>
      </c>
      <c r="D46" s="78" t="s">
        <v>70</v>
      </c>
      <c r="E46" s="78" t="s">
        <v>70</v>
      </c>
      <c r="F46" s="78" t="s">
        <v>70</v>
      </c>
      <c r="G46" s="78" t="s">
        <v>70</v>
      </c>
      <c r="H46" s="78" t="s">
        <v>70</v>
      </c>
      <c r="I46" s="78" t="s">
        <v>70</v>
      </c>
      <c r="J46" s="78" t="s">
        <v>70</v>
      </c>
      <c r="K46" s="78" t="s">
        <v>70</v>
      </c>
      <c r="L46" s="78" t="s">
        <v>70</v>
      </c>
      <c r="M46" s="80" t="s">
        <v>70</v>
      </c>
    </row>
    <row r="48" spans="1:13" x14ac:dyDescent="0.3">
      <c r="A48" s="92" t="s">
        <v>122</v>
      </c>
      <c r="B48">
        <v>50000</v>
      </c>
      <c r="C48">
        <v>100000</v>
      </c>
      <c r="D48">
        <v>150000</v>
      </c>
      <c r="E48">
        <v>200000</v>
      </c>
      <c r="F48">
        <v>250000</v>
      </c>
      <c r="G48">
        <v>300000</v>
      </c>
      <c r="H48">
        <v>350000</v>
      </c>
      <c r="I48">
        <v>400000</v>
      </c>
      <c r="J48">
        <v>450000</v>
      </c>
      <c r="K48">
        <v>500000</v>
      </c>
      <c r="L48">
        <v>550000</v>
      </c>
      <c r="M48">
        <v>600000</v>
      </c>
    </row>
    <row r="49" spans="1:13" x14ac:dyDescent="0.3">
      <c r="A49">
        <v>200000</v>
      </c>
      <c r="B49" s="91">
        <v>149258</v>
      </c>
      <c r="C49" s="5">
        <v>149258</v>
      </c>
      <c r="D49" s="5">
        <v>149258</v>
      </c>
      <c r="E49" s="5">
        <v>149258</v>
      </c>
      <c r="F49" s="5">
        <v>149258</v>
      </c>
      <c r="G49" s="5">
        <v>149258</v>
      </c>
      <c r="H49" s="5">
        <v>149258</v>
      </c>
      <c r="I49" s="5">
        <v>149258</v>
      </c>
      <c r="J49" s="5">
        <v>149258</v>
      </c>
      <c r="K49" s="5">
        <v>144958</v>
      </c>
      <c r="L49" s="5">
        <v>94958</v>
      </c>
      <c r="M49" s="6">
        <v>44958</v>
      </c>
    </row>
    <row r="50" spans="1:13" x14ac:dyDescent="0.3">
      <c r="A50">
        <v>300000</v>
      </c>
      <c r="B50" s="11">
        <v>249258</v>
      </c>
      <c r="C50">
        <v>249258</v>
      </c>
      <c r="D50">
        <v>249258</v>
      </c>
      <c r="E50">
        <v>249258</v>
      </c>
      <c r="F50">
        <v>249258</v>
      </c>
      <c r="G50">
        <v>249258</v>
      </c>
      <c r="H50">
        <v>249258</v>
      </c>
      <c r="I50">
        <v>244958</v>
      </c>
      <c r="J50">
        <v>194958</v>
      </c>
      <c r="K50">
        <v>144958</v>
      </c>
      <c r="L50">
        <v>94958</v>
      </c>
      <c r="M50" s="7">
        <v>44958</v>
      </c>
    </row>
    <row r="51" spans="1:13" x14ac:dyDescent="0.3">
      <c r="A51">
        <v>400000</v>
      </c>
      <c r="B51" s="11">
        <v>349258</v>
      </c>
      <c r="C51">
        <v>349258</v>
      </c>
      <c r="D51">
        <v>349258</v>
      </c>
      <c r="E51">
        <v>349258</v>
      </c>
      <c r="F51">
        <v>349258</v>
      </c>
      <c r="G51">
        <v>344958</v>
      </c>
      <c r="H51">
        <v>294958</v>
      </c>
      <c r="I51">
        <v>244958</v>
      </c>
      <c r="J51">
        <v>194958</v>
      </c>
      <c r="K51">
        <v>144958</v>
      </c>
      <c r="L51">
        <v>94958</v>
      </c>
      <c r="M51" s="79" t="s">
        <v>70</v>
      </c>
    </row>
    <row r="52" spans="1:13" x14ac:dyDescent="0.3">
      <c r="A52">
        <v>500000</v>
      </c>
      <c r="B52" s="11">
        <v>449258</v>
      </c>
      <c r="C52">
        <v>449258</v>
      </c>
      <c r="D52">
        <v>449258</v>
      </c>
      <c r="E52">
        <v>444958</v>
      </c>
      <c r="F52">
        <v>394958</v>
      </c>
      <c r="G52">
        <v>344958</v>
      </c>
      <c r="H52">
        <v>294958</v>
      </c>
      <c r="I52">
        <v>244958</v>
      </c>
      <c r="J52">
        <v>194958</v>
      </c>
      <c r="K52" s="77" t="s">
        <v>70</v>
      </c>
      <c r="L52" s="77" t="s">
        <v>70</v>
      </c>
      <c r="M52" s="79" t="s">
        <v>70</v>
      </c>
    </row>
    <row r="53" spans="1:13" x14ac:dyDescent="0.3">
      <c r="A53">
        <v>600000</v>
      </c>
      <c r="B53" s="11">
        <v>549258</v>
      </c>
      <c r="C53">
        <v>544958</v>
      </c>
      <c r="D53">
        <v>494958</v>
      </c>
      <c r="E53">
        <v>444958</v>
      </c>
      <c r="F53">
        <v>394958</v>
      </c>
      <c r="G53">
        <v>344958</v>
      </c>
      <c r="H53">
        <v>294958</v>
      </c>
      <c r="I53" s="77" t="s">
        <v>70</v>
      </c>
      <c r="J53" s="77" t="s">
        <v>70</v>
      </c>
      <c r="K53" s="77" t="s">
        <v>70</v>
      </c>
      <c r="L53" s="77" t="s">
        <v>70</v>
      </c>
      <c r="M53" s="79" t="s">
        <v>70</v>
      </c>
    </row>
    <row r="54" spans="1:13" x14ac:dyDescent="0.3">
      <c r="A54">
        <v>700000</v>
      </c>
      <c r="B54" s="11">
        <v>594958</v>
      </c>
      <c r="C54">
        <v>544958</v>
      </c>
      <c r="D54">
        <v>494958</v>
      </c>
      <c r="E54">
        <v>444958</v>
      </c>
      <c r="F54">
        <v>394958</v>
      </c>
      <c r="G54" s="77" t="s">
        <v>70</v>
      </c>
      <c r="H54" s="77" t="s">
        <v>70</v>
      </c>
      <c r="I54" s="77" t="s">
        <v>70</v>
      </c>
      <c r="J54" s="77" t="s">
        <v>70</v>
      </c>
      <c r="K54" s="77" t="s">
        <v>70</v>
      </c>
      <c r="L54" s="77" t="s">
        <v>70</v>
      </c>
      <c r="M54" s="79" t="s">
        <v>70</v>
      </c>
    </row>
    <row r="55" spans="1:13" x14ac:dyDescent="0.3">
      <c r="A55">
        <v>800000</v>
      </c>
      <c r="B55" s="11">
        <v>594958</v>
      </c>
      <c r="C55">
        <v>544958</v>
      </c>
      <c r="D55">
        <v>494958</v>
      </c>
      <c r="E55" s="77" t="s">
        <v>70</v>
      </c>
      <c r="F55" s="77" t="s">
        <v>70</v>
      </c>
      <c r="G55" s="77" t="s">
        <v>70</v>
      </c>
      <c r="H55" s="77" t="s">
        <v>70</v>
      </c>
      <c r="I55" s="77" t="s">
        <v>70</v>
      </c>
      <c r="J55" s="77" t="s">
        <v>70</v>
      </c>
      <c r="K55" s="77" t="s">
        <v>70</v>
      </c>
      <c r="L55" s="77" t="s">
        <v>70</v>
      </c>
      <c r="M55" s="79" t="s">
        <v>70</v>
      </c>
    </row>
    <row r="56" spans="1:13" x14ac:dyDescent="0.3">
      <c r="A56">
        <v>900000</v>
      </c>
      <c r="B56" s="11">
        <v>594958</v>
      </c>
      <c r="C56" s="77" t="s">
        <v>70</v>
      </c>
      <c r="D56" s="77" t="s">
        <v>70</v>
      </c>
      <c r="E56" s="77" t="s">
        <v>70</v>
      </c>
      <c r="F56" s="77" t="s">
        <v>70</v>
      </c>
      <c r="G56" s="77" t="s">
        <v>70</v>
      </c>
      <c r="H56" s="77" t="s">
        <v>70</v>
      </c>
      <c r="I56" s="77" t="s">
        <v>70</v>
      </c>
      <c r="J56" s="77" t="s">
        <v>70</v>
      </c>
      <c r="K56" s="77" t="s">
        <v>70</v>
      </c>
      <c r="L56" s="77" t="s">
        <v>70</v>
      </c>
      <c r="M56" s="79" t="s">
        <v>70</v>
      </c>
    </row>
    <row r="57" spans="1:13" x14ac:dyDescent="0.3">
      <c r="A57">
        <v>1000000</v>
      </c>
      <c r="B57" s="76" t="s">
        <v>70</v>
      </c>
      <c r="C57" s="78" t="s">
        <v>70</v>
      </c>
      <c r="D57" s="78" t="s">
        <v>70</v>
      </c>
      <c r="E57" s="78" t="s">
        <v>70</v>
      </c>
      <c r="F57" s="78" t="s">
        <v>70</v>
      </c>
      <c r="G57" s="78" t="s">
        <v>70</v>
      </c>
      <c r="H57" s="78" t="s">
        <v>70</v>
      </c>
      <c r="I57" s="78" t="s">
        <v>70</v>
      </c>
      <c r="J57" s="78" t="s">
        <v>70</v>
      </c>
      <c r="K57" s="78" t="s">
        <v>70</v>
      </c>
      <c r="L57" s="78" t="s">
        <v>70</v>
      </c>
      <c r="M57" s="80" t="s">
        <v>70</v>
      </c>
    </row>
    <row r="59" spans="1:13" x14ac:dyDescent="0.3">
      <c r="A59" s="74" t="s">
        <v>123</v>
      </c>
      <c r="B59">
        <v>50000</v>
      </c>
      <c r="C59">
        <v>100000</v>
      </c>
      <c r="D59">
        <v>150000</v>
      </c>
      <c r="E59">
        <v>200000</v>
      </c>
      <c r="F59">
        <v>250000</v>
      </c>
      <c r="G59">
        <v>300000</v>
      </c>
      <c r="H59">
        <v>350000</v>
      </c>
      <c r="I59">
        <v>400000</v>
      </c>
      <c r="J59">
        <v>450000</v>
      </c>
      <c r="K59">
        <v>500000</v>
      </c>
      <c r="L59">
        <v>550000</v>
      </c>
      <c r="M59">
        <v>600000</v>
      </c>
    </row>
    <row r="60" spans="1:13" x14ac:dyDescent="0.3">
      <c r="A60">
        <v>200000</v>
      </c>
      <c r="B60" s="91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</row>
    <row r="61" spans="1:13" x14ac:dyDescent="0.3">
      <c r="A61">
        <v>300000</v>
      </c>
      <c r="B61" s="1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7">
        <v>0</v>
      </c>
    </row>
    <row r="62" spans="1:13" x14ac:dyDescent="0.3">
      <c r="A62">
        <v>400000</v>
      </c>
      <c r="B62" s="1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79" t="s">
        <v>70</v>
      </c>
    </row>
    <row r="63" spans="1:13" x14ac:dyDescent="0.3">
      <c r="A63">
        <v>500000</v>
      </c>
      <c r="B63" s="1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77" t="s">
        <v>70</v>
      </c>
      <c r="L63" s="77" t="s">
        <v>70</v>
      </c>
      <c r="M63" s="79" t="s">
        <v>70</v>
      </c>
    </row>
    <row r="64" spans="1:13" x14ac:dyDescent="0.3">
      <c r="A64">
        <v>600000</v>
      </c>
      <c r="B64" s="1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77" t="s">
        <v>70</v>
      </c>
      <c r="J64" s="77" t="s">
        <v>70</v>
      </c>
      <c r="K64" s="77" t="s">
        <v>70</v>
      </c>
      <c r="L64" s="77" t="s">
        <v>70</v>
      </c>
      <c r="M64" s="79" t="s">
        <v>70</v>
      </c>
    </row>
    <row r="65" spans="1:13" x14ac:dyDescent="0.3">
      <c r="A65">
        <v>700000</v>
      </c>
      <c r="B65" s="11">
        <v>0</v>
      </c>
      <c r="C65">
        <v>0</v>
      </c>
      <c r="D65">
        <v>0</v>
      </c>
      <c r="E65">
        <v>0</v>
      </c>
      <c r="F65">
        <v>0</v>
      </c>
      <c r="G65" s="77" t="s">
        <v>70</v>
      </c>
      <c r="H65" s="77" t="s">
        <v>70</v>
      </c>
      <c r="I65" s="77" t="s">
        <v>70</v>
      </c>
      <c r="J65" s="77" t="s">
        <v>70</v>
      </c>
      <c r="K65" s="77" t="s">
        <v>70</v>
      </c>
      <c r="L65" s="77" t="s">
        <v>70</v>
      </c>
      <c r="M65" s="79" t="s">
        <v>70</v>
      </c>
    </row>
    <row r="66" spans="1:13" x14ac:dyDescent="0.3">
      <c r="A66">
        <v>800000</v>
      </c>
      <c r="B66" s="11">
        <v>0</v>
      </c>
      <c r="C66">
        <v>0</v>
      </c>
      <c r="D66">
        <v>0</v>
      </c>
      <c r="E66" s="77" t="s">
        <v>70</v>
      </c>
      <c r="F66" s="77" t="s">
        <v>70</v>
      </c>
      <c r="G66" s="77" t="s">
        <v>70</v>
      </c>
      <c r="H66" s="77" t="s">
        <v>70</v>
      </c>
      <c r="I66" s="77" t="s">
        <v>70</v>
      </c>
      <c r="J66" s="77" t="s">
        <v>70</v>
      </c>
      <c r="K66" s="77" t="s">
        <v>70</v>
      </c>
      <c r="L66" s="77" t="s">
        <v>70</v>
      </c>
      <c r="M66" s="79" t="s">
        <v>70</v>
      </c>
    </row>
    <row r="67" spans="1:13" x14ac:dyDescent="0.3">
      <c r="A67">
        <v>900000</v>
      </c>
      <c r="B67" s="11">
        <v>0</v>
      </c>
      <c r="C67" s="77" t="s">
        <v>70</v>
      </c>
      <c r="D67" s="77" t="s">
        <v>70</v>
      </c>
      <c r="E67" s="77" t="s">
        <v>70</v>
      </c>
      <c r="F67" s="77" t="s">
        <v>70</v>
      </c>
      <c r="G67" s="77" t="s">
        <v>70</v>
      </c>
      <c r="H67" s="77" t="s">
        <v>70</v>
      </c>
      <c r="I67" s="77" t="s">
        <v>70</v>
      </c>
      <c r="J67" s="77" t="s">
        <v>70</v>
      </c>
      <c r="K67" s="77" t="s">
        <v>70</v>
      </c>
      <c r="L67" s="77" t="s">
        <v>70</v>
      </c>
      <c r="M67" s="79" t="s">
        <v>70</v>
      </c>
    </row>
    <row r="68" spans="1:13" x14ac:dyDescent="0.3">
      <c r="A68">
        <v>1000000</v>
      </c>
      <c r="B68" s="76" t="s">
        <v>70</v>
      </c>
      <c r="C68" s="78" t="s">
        <v>70</v>
      </c>
      <c r="D68" s="78" t="s">
        <v>70</v>
      </c>
      <c r="E68" s="78" t="s">
        <v>70</v>
      </c>
      <c r="F68" s="78" t="s">
        <v>70</v>
      </c>
      <c r="G68" s="78" t="s">
        <v>70</v>
      </c>
      <c r="H68" s="78" t="s">
        <v>70</v>
      </c>
      <c r="I68" s="78" t="s">
        <v>70</v>
      </c>
      <c r="J68" s="78" t="s">
        <v>70</v>
      </c>
      <c r="K68" s="78" t="s">
        <v>70</v>
      </c>
      <c r="L68" s="78" t="s">
        <v>70</v>
      </c>
      <c r="M68" s="80" t="s">
        <v>70</v>
      </c>
    </row>
    <row r="70" spans="1:13" x14ac:dyDescent="0.3">
      <c r="A70" s="74" t="s">
        <v>124</v>
      </c>
      <c r="B70">
        <v>50000</v>
      </c>
      <c r="C70">
        <v>100000</v>
      </c>
      <c r="D70">
        <v>150000</v>
      </c>
      <c r="E70">
        <v>200000</v>
      </c>
      <c r="F70">
        <v>250000</v>
      </c>
      <c r="G70">
        <v>300000</v>
      </c>
      <c r="H70">
        <v>350000</v>
      </c>
      <c r="I70">
        <v>400000</v>
      </c>
      <c r="J70">
        <v>450000</v>
      </c>
      <c r="K70">
        <v>500000</v>
      </c>
      <c r="L70">
        <v>550000</v>
      </c>
      <c r="M70">
        <v>600000</v>
      </c>
    </row>
    <row r="71" spans="1:13" x14ac:dyDescent="0.3">
      <c r="A71">
        <v>200000</v>
      </c>
      <c r="B71" s="91">
        <v>50000</v>
      </c>
      <c r="C71" s="5">
        <v>100000</v>
      </c>
      <c r="D71" s="5">
        <v>150000</v>
      </c>
      <c r="E71" s="5">
        <v>200000</v>
      </c>
      <c r="F71" s="5">
        <v>250000</v>
      </c>
      <c r="G71" s="5">
        <v>300000</v>
      </c>
      <c r="H71" s="5">
        <v>350000</v>
      </c>
      <c r="I71" s="5">
        <v>400000</v>
      </c>
      <c r="J71" s="5">
        <v>450000</v>
      </c>
      <c r="K71" s="5">
        <v>500000</v>
      </c>
      <c r="L71" s="5">
        <v>550000</v>
      </c>
      <c r="M71" s="6">
        <v>600000</v>
      </c>
    </row>
    <row r="72" spans="1:13" x14ac:dyDescent="0.3">
      <c r="A72">
        <v>300000</v>
      </c>
      <c r="B72" s="11">
        <v>50000</v>
      </c>
      <c r="C72">
        <v>100000</v>
      </c>
      <c r="D72">
        <v>150000</v>
      </c>
      <c r="E72">
        <v>200000</v>
      </c>
      <c r="F72">
        <v>250000</v>
      </c>
      <c r="G72">
        <v>300000</v>
      </c>
      <c r="H72">
        <v>350000</v>
      </c>
      <c r="I72">
        <v>400000</v>
      </c>
      <c r="J72">
        <v>450000</v>
      </c>
      <c r="K72">
        <v>500000</v>
      </c>
      <c r="L72">
        <v>550000</v>
      </c>
      <c r="M72" s="7">
        <v>600000</v>
      </c>
    </row>
    <row r="73" spans="1:13" x14ac:dyDescent="0.3">
      <c r="A73">
        <v>400000</v>
      </c>
      <c r="B73" s="11">
        <v>50000</v>
      </c>
      <c r="C73">
        <v>100000</v>
      </c>
      <c r="D73">
        <v>150000</v>
      </c>
      <c r="E73">
        <v>200000</v>
      </c>
      <c r="F73">
        <v>250000</v>
      </c>
      <c r="G73">
        <v>300000</v>
      </c>
      <c r="H73">
        <v>350000</v>
      </c>
      <c r="I73">
        <v>400000</v>
      </c>
      <c r="J73">
        <v>450000</v>
      </c>
      <c r="K73">
        <v>500000</v>
      </c>
      <c r="L73">
        <v>550000</v>
      </c>
      <c r="M73" s="79" t="s">
        <v>70</v>
      </c>
    </row>
    <row r="74" spans="1:13" x14ac:dyDescent="0.3">
      <c r="A74">
        <v>500000</v>
      </c>
      <c r="B74" s="11">
        <v>50000</v>
      </c>
      <c r="C74">
        <v>100000</v>
      </c>
      <c r="D74">
        <v>150000</v>
      </c>
      <c r="E74">
        <v>200000</v>
      </c>
      <c r="F74">
        <v>250000</v>
      </c>
      <c r="G74">
        <v>300000</v>
      </c>
      <c r="H74">
        <v>350000</v>
      </c>
      <c r="I74">
        <v>400000</v>
      </c>
      <c r="J74">
        <v>450000</v>
      </c>
      <c r="K74" s="77" t="s">
        <v>70</v>
      </c>
      <c r="L74" s="77" t="s">
        <v>70</v>
      </c>
      <c r="M74" s="79" t="s">
        <v>70</v>
      </c>
    </row>
    <row r="75" spans="1:13" x14ac:dyDescent="0.3">
      <c r="A75">
        <v>600000</v>
      </c>
      <c r="B75" s="11">
        <v>50000</v>
      </c>
      <c r="C75">
        <v>100000</v>
      </c>
      <c r="D75">
        <v>150000</v>
      </c>
      <c r="E75">
        <v>200000</v>
      </c>
      <c r="F75">
        <v>250000</v>
      </c>
      <c r="G75">
        <v>300000</v>
      </c>
      <c r="H75">
        <v>350000</v>
      </c>
      <c r="I75" s="77" t="s">
        <v>70</v>
      </c>
      <c r="J75" s="77" t="s">
        <v>70</v>
      </c>
      <c r="K75" s="77" t="s">
        <v>70</v>
      </c>
      <c r="L75" s="77" t="s">
        <v>70</v>
      </c>
      <c r="M75" s="79" t="s">
        <v>70</v>
      </c>
    </row>
    <row r="76" spans="1:13" x14ac:dyDescent="0.3">
      <c r="A76">
        <v>700000</v>
      </c>
      <c r="B76" s="11">
        <v>50000</v>
      </c>
      <c r="C76">
        <v>100000</v>
      </c>
      <c r="D76">
        <v>150000</v>
      </c>
      <c r="E76">
        <v>200000</v>
      </c>
      <c r="F76">
        <v>250000</v>
      </c>
      <c r="G76" s="77" t="s">
        <v>70</v>
      </c>
      <c r="H76" s="77" t="s">
        <v>70</v>
      </c>
      <c r="I76" s="77" t="s">
        <v>70</v>
      </c>
      <c r="J76" s="77" t="s">
        <v>70</v>
      </c>
      <c r="K76" s="77" t="s">
        <v>70</v>
      </c>
      <c r="L76" s="77" t="s">
        <v>70</v>
      </c>
      <c r="M76" s="79" t="s">
        <v>70</v>
      </c>
    </row>
    <row r="77" spans="1:13" x14ac:dyDescent="0.3">
      <c r="A77">
        <v>800000</v>
      </c>
      <c r="B77" s="11">
        <v>50000</v>
      </c>
      <c r="C77">
        <v>100000</v>
      </c>
      <c r="D77">
        <v>150000</v>
      </c>
      <c r="E77" s="77" t="s">
        <v>70</v>
      </c>
      <c r="F77" s="77" t="s">
        <v>70</v>
      </c>
      <c r="G77" s="77" t="s">
        <v>70</v>
      </c>
      <c r="H77" s="77" t="s">
        <v>70</v>
      </c>
      <c r="I77" s="77" t="s">
        <v>70</v>
      </c>
      <c r="J77" s="77" t="s">
        <v>70</v>
      </c>
      <c r="K77" s="77" t="s">
        <v>70</v>
      </c>
      <c r="L77" s="77" t="s">
        <v>70</v>
      </c>
      <c r="M77" s="79" t="s">
        <v>70</v>
      </c>
    </row>
    <row r="78" spans="1:13" x14ac:dyDescent="0.3">
      <c r="A78">
        <v>900000</v>
      </c>
      <c r="B78" s="11">
        <v>50000</v>
      </c>
      <c r="C78" s="77" t="s">
        <v>70</v>
      </c>
      <c r="D78" s="77" t="s">
        <v>70</v>
      </c>
      <c r="E78" s="77" t="s">
        <v>70</v>
      </c>
      <c r="F78" s="77" t="s">
        <v>70</v>
      </c>
      <c r="G78" s="77" t="s">
        <v>70</v>
      </c>
      <c r="H78" s="77" t="s">
        <v>70</v>
      </c>
      <c r="I78" s="77" t="s">
        <v>70</v>
      </c>
      <c r="J78" s="77" t="s">
        <v>70</v>
      </c>
      <c r="K78" s="77" t="s">
        <v>70</v>
      </c>
      <c r="L78" s="77" t="s">
        <v>70</v>
      </c>
      <c r="M78" s="79" t="s">
        <v>70</v>
      </c>
    </row>
    <row r="79" spans="1:13" x14ac:dyDescent="0.3">
      <c r="A79">
        <v>1000000</v>
      </c>
      <c r="B79" s="76" t="s">
        <v>70</v>
      </c>
      <c r="C79" s="78" t="s">
        <v>70</v>
      </c>
      <c r="D79" s="78" t="s">
        <v>70</v>
      </c>
      <c r="E79" s="78" t="s">
        <v>70</v>
      </c>
      <c r="F79" s="78" t="s">
        <v>70</v>
      </c>
      <c r="G79" s="78" t="s">
        <v>70</v>
      </c>
      <c r="H79" s="78" t="s">
        <v>70</v>
      </c>
      <c r="I79" s="78" t="s">
        <v>70</v>
      </c>
      <c r="J79" s="78" t="s">
        <v>70</v>
      </c>
      <c r="K79" s="78" t="s">
        <v>70</v>
      </c>
      <c r="L79" s="78" t="s">
        <v>70</v>
      </c>
      <c r="M79" s="80" t="s">
        <v>70</v>
      </c>
    </row>
    <row r="81" spans="1:16" x14ac:dyDescent="0.3">
      <c r="A81" s="92" t="s">
        <v>125</v>
      </c>
      <c r="B81">
        <v>50000</v>
      </c>
      <c r="C81">
        <v>100000</v>
      </c>
      <c r="D81">
        <v>150000</v>
      </c>
      <c r="E81">
        <v>200000</v>
      </c>
      <c r="F81">
        <v>250000</v>
      </c>
      <c r="G81">
        <v>300000</v>
      </c>
      <c r="H81">
        <v>350000</v>
      </c>
      <c r="I81">
        <v>400000</v>
      </c>
      <c r="J81">
        <v>450000</v>
      </c>
      <c r="K81">
        <v>500000</v>
      </c>
      <c r="L81">
        <v>550000</v>
      </c>
      <c r="M81">
        <v>600000</v>
      </c>
    </row>
    <row r="82" spans="1:16" x14ac:dyDescent="0.3">
      <c r="A82">
        <v>200000</v>
      </c>
      <c r="B82" s="91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4300</v>
      </c>
      <c r="L82" s="5">
        <v>54300</v>
      </c>
      <c r="M82" s="6">
        <v>104300</v>
      </c>
      <c r="P82" t="s">
        <v>197</v>
      </c>
    </row>
    <row r="83" spans="1:16" x14ac:dyDescent="0.3">
      <c r="A83">
        <v>300000</v>
      </c>
      <c r="B83" s="1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4300</v>
      </c>
      <c r="J83">
        <v>54300</v>
      </c>
      <c r="K83">
        <v>104300</v>
      </c>
      <c r="L83">
        <v>154300</v>
      </c>
      <c r="M83" s="7">
        <v>204300</v>
      </c>
    </row>
    <row r="84" spans="1:16" x14ac:dyDescent="0.3">
      <c r="A84">
        <v>400000</v>
      </c>
      <c r="B84" s="11">
        <v>0</v>
      </c>
      <c r="C84">
        <v>0</v>
      </c>
      <c r="D84">
        <v>0</v>
      </c>
      <c r="E84">
        <v>0</v>
      </c>
      <c r="F84">
        <v>0</v>
      </c>
      <c r="G84">
        <v>4300</v>
      </c>
      <c r="H84">
        <v>54300</v>
      </c>
      <c r="I84">
        <v>104300</v>
      </c>
      <c r="J84">
        <v>154300</v>
      </c>
      <c r="K84">
        <v>204300</v>
      </c>
      <c r="L84">
        <v>254300</v>
      </c>
      <c r="M84" s="79" t="s">
        <v>70</v>
      </c>
    </row>
    <row r="85" spans="1:16" x14ac:dyDescent="0.3">
      <c r="A85">
        <v>500000</v>
      </c>
      <c r="B85" s="11">
        <v>0</v>
      </c>
      <c r="C85">
        <v>0</v>
      </c>
      <c r="D85">
        <v>0</v>
      </c>
      <c r="E85">
        <v>4300</v>
      </c>
      <c r="F85">
        <v>54300</v>
      </c>
      <c r="G85">
        <v>104300</v>
      </c>
      <c r="H85">
        <v>154300</v>
      </c>
      <c r="I85">
        <v>204300</v>
      </c>
      <c r="J85">
        <v>254300</v>
      </c>
      <c r="K85" s="77" t="s">
        <v>70</v>
      </c>
      <c r="L85" s="77" t="s">
        <v>70</v>
      </c>
      <c r="M85" s="79" t="s">
        <v>70</v>
      </c>
    </row>
    <row r="86" spans="1:16" x14ac:dyDescent="0.3">
      <c r="A86">
        <v>600000</v>
      </c>
      <c r="B86" s="11">
        <v>0</v>
      </c>
      <c r="C86">
        <v>4300</v>
      </c>
      <c r="D86">
        <v>54300</v>
      </c>
      <c r="E86">
        <v>104300</v>
      </c>
      <c r="F86">
        <v>154300</v>
      </c>
      <c r="G86">
        <v>204300</v>
      </c>
      <c r="H86">
        <v>254300</v>
      </c>
      <c r="I86" s="77" t="s">
        <v>70</v>
      </c>
      <c r="J86" s="77" t="s">
        <v>70</v>
      </c>
      <c r="K86" s="77" t="s">
        <v>70</v>
      </c>
      <c r="L86" s="77" t="s">
        <v>70</v>
      </c>
      <c r="M86" s="79" t="s">
        <v>70</v>
      </c>
    </row>
    <row r="87" spans="1:16" x14ac:dyDescent="0.3">
      <c r="A87">
        <v>700000</v>
      </c>
      <c r="B87" s="11">
        <v>54300</v>
      </c>
      <c r="C87">
        <v>104300</v>
      </c>
      <c r="D87">
        <v>154300</v>
      </c>
      <c r="E87">
        <v>204300</v>
      </c>
      <c r="F87">
        <v>254300</v>
      </c>
      <c r="G87" s="77" t="s">
        <v>70</v>
      </c>
      <c r="H87" s="77" t="s">
        <v>70</v>
      </c>
      <c r="I87" s="77" t="s">
        <v>70</v>
      </c>
      <c r="J87" s="77" t="s">
        <v>70</v>
      </c>
      <c r="K87" s="77" t="s">
        <v>70</v>
      </c>
      <c r="L87" s="77" t="s">
        <v>70</v>
      </c>
      <c r="M87" s="79" t="s">
        <v>70</v>
      </c>
    </row>
    <row r="88" spans="1:16" x14ac:dyDescent="0.3">
      <c r="A88">
        <v>800000</v>
      </c>
      <c r="B88" s="11">
        <v>154300</v>
      </c>
      <c r="C88">
        <v>204300</v>
      </c>
      <c r="D88">
        <v>254300</v>
      </c>
      <c r="E88" s="77" t="s">
        <v>70</v>
      </c>
      <c r="F88" s="77" t="s">
        <v>70</v>
      </c>
      <c r="G88" s="77" t="s">
        <v>70</v>
      </c>
      <c r="H88" s="77" t="s">
        <v>70</v>
      </c>
      <c r="I88" s="77" t="s">
        <v>70</v>
      </c>
      <c r="J88" s="77" t="s">
        <v>70</v>
      </c>
      <c r="K88" s="77" t="s">
        <v>70</v>
      </c>
      <c r="L88" s="77" t="s">
        <v>70</v>
      </c>
      <c r="M88" s="79" t="s">
        <v>70</v>
      </c>
    </row>
    <row r="89" spans="1:16" x14ac:dyDescent="0.3">
      <c r="A89">
        <v>900000</v>
      </c>
      <c r="B89" s="11">
        <v>254300</v>
      </c>
      <c r="C89" s="77" t="s">
        <v>70</v>
      </c>
      <c r="D89" s="77" t="s">
        <v>70</v>
      </c>
      <c r="E89" s="77" t="s">
        <v>70</v>
      </c>
      <c r="F89" s="77" t="s">
        <v>70</v>
      </c>
      <c r="G89" s="77" t="s">
        <v>70</v>
      </c>
      <c r="H89" s="77" t="s">
        <v>70</v>
      </c>
      <c r="I89" s="77" t="s">
        <v>70</v>
      </c>
      <c r="J89" s="77" t="s">
        <v>70</v>
      </c>
      <c r="K89" s="77" t="s">
        <v>70</v>
      </c>
      <c r="L89" s="77" t="s">
        <v>70</v>
      </c>
      <c r="M89" s="79" t="s">
        <v>70</v>
      </c>
    </row>
    <row r="90" spans="1:16" x14ac:dyDescent="0.3">
      <c r="A90">
        <v>1000000</v>
      </c>
      <c r="B90" s="76" t="s">
        <v>70</v>
      </c>
      <c r="C90" s="78" t="s">
        <v>70</v>
      </c>
      <c r="D90" s="78" t="s">
        <v>70</v>
      </c>
      <c r="E90" s="78" t="s">
        <v>70</v>
      </c>
      <c r="F90" s="78" t="s">
        <v>70</v>
      </c>
      <c r="G90" s="78" t="s">
        <v>70</v>
      </c>
      <c r="H90" s="78" t="s">
        <v>70</v>
      </c>
      <c r="I90" s="78" t="s">
        <v>70</v>
      </c>
      <c r="J90" s="78" t="s">
        <v>70</v>
      </c>
      <c r="K90" s="78" t="s">
        <v>70</v>
      </c>
      <c r="L90" s="78" t="s">
        <v>70</v>
      </c>
      <c r="M90" s="80" t="s">
        <v>70</v>
      </c>
    </row>
    <row r="91" spans="1:16" x14ac:dyDescent="0.3">
      <c r="P91" t="s">
        <v>193</v>
      </c>
    </row>
    <row r="92" spans="1:16" x14ac:dyDescent="0.3">
      <c r="A92" s="74" t="s">
        <v>126</v>
      </c>
      <c r="B92">
        <v>50000</v>
      </c>
      <c r="C92">
        <v>100000</v>
      </c>
      <c r="D92">
        <v>150000</v>
      </c>
      <c r="E92">
        <v>200000</v>
      </c>
      <c r="F92">
        <v>250000</v>
      </c>
      <c r="G92">
        <v>300000</v>
      </c>
      <c r="H92">
        <v>350000</v>
      </c>
      <c r="I92">
        <v>400000</v>
      </c>
      <c r="J92">
        <v>450000</v>
      </c>
      <c r="K92">
        <v>500000</v>
      </c>
      <c r="L92">
        <v>550000</v>
      </c>
      <c r="M92">
        <v>600000</v>
      </c>
    </row>
    <row r="93" spans="1:16" x14ac:dyDescent="0.3">
      <c r="A93">
        <v>200000</v>
      </c>
      <c r="B93" s="91">
        <v>852364</v>
      </c>
      <c r="C93" s="5">
        <v>852364</v>
      </c>
      <c r="D93" s="5">
        <v>852364</v>
      </c>
      <c r="E93" s="5">
        <v>852364</v>
      </c>
      <c r="F93" s="5">
        <v>852364</v>
      </c>
      <c r="G93" s="5">
        <v>852364</v>
      </c>
      <c r="H93" s="5">
        <v>852364</v>
      </c>
      <c r="I93" s="5">
        <v>852364</v>
      </c>
      <c r="J93" s="5">
        <v>852364</v>
      </c>
      <c r="K93" s="5">
        <v>852364</v>
      </c>
      <c r="L93" s="5">
        <v>852364</v>
      </c>
      <c r="M93" s="6">
        <v>852364</v>
      </c>
    </row>
    <row r="94" spans="1:16" x14ac:dyDescent="0.3">
      <c r="A94">
        <v>300000</v>
      </c>
      <c r="B94" s="11">
        <v>852364</v>
      </c>
      <c r="C94">
        <v>852364</v>
      </c>
      <c r="D94">
        <v>852364</v>
      </c>
      <c r="E94">
        <v>852364</v>
      </c>
      <c r="F94">
        <v>852364</v>
      </c>
      <c r="G94">
        <v>852364</v>
      </c>
      <c r="H94">
        <v>852364</v>
      </c>
      <c r="I94">
        <v>852364</v>
      </c>
      <c r="J94">
        <v>852364</v>
      </c>
      <c r="K94">
        <v>852364</v>
      </c>
      <c r="L94">
        <v>852364</v>
      </c>
      <c r="M94" s="7">
        <v>852364</v>
      </c>
    </row>
    <row r="95" spans="1:16" x14ac:dyDescent="0.3">
      <c r="A95">
        <v>400000</v>
      </c>
      <c r="B95" s="11">
        <v>852364</v>
      </c>
      <c r="C95">
        <v>852364</v>
      </c>
      <c r="D95">
        <v>852364</v>
      </c>
      <c r="E95">
        <v>852364</v>
      </c>
      <c r="F95">
        <v>852364</v>
      </c>
      <c r="G95">
        <v>852364</v>
      </c>
      <c r="H95">
        <v>852364</v>
      </c>
      <c r="I95">
        <v>852364</v>
      </c>
      <c r="J95">
        <v>852364</v>
      </c>
      <c r="K95">
        <v>852364</v>
      </c>
      <c r="L95">
        <v>852364</v>
      </c>
      <c r="M95" s="79" t="s">
        <v>70</v>
      </c>
    </row>
    <row r="96" spans="1:16" x14ac:dyDescent="0.3">
      <c r="A96">
        <v>500000</v>
      </c>
      <c r="B96" s="11">
        <v>852364</v>
      </c>
      <c r="C96">
        <v>852364</v>
      </c>
      <c r="D96">
        <v>852364</v>
      </c>
      <c r="E96">
        <v>852364</v>
      </c>
      <c r="F96">
        <v>852364</v>
      </c>
      <c r="G96">
        <v>852364</v>
      </c>
      <c r="H96">
        <v>852364</v>
      </c>
      <c r="I96">
        <v>852364</v>
      </c>
      <c r="J96">
        <v>852364</v>
      </c>
      <c r="K96" s="77" t="s">
        <v>70</v>
      </c>
      <c r="L96" s="77" t="s">
        <v>70</v>
      </c>
      <c r="M96" s="79" t="s">
        <v>70</v>
      </c>
    </row>
    <row r="97" spans="1:13" x14ac:dyDescent="0.3">
      <c r="A97">
        <v>600000</v>
      </c>
      <c r="B97" s="11">
        <v>852364</v>
      </c>
      <c r="C97">
        <v>852364</v>
      </c>
      <c r="D97">
        <v>852364</v>
      </c>
      <c r="E97">
        <v>852364</v>
      </c>
      <c r="F97">
        <v>852364</v>
      </c>
      <c r="G97">
        <v>852364</v>
      </c>
      <c r="H97">
        <v>852364</v>
      </c>
      <c r="I97" s="77" t="s">
        <v>70</v>
      </c>
      <c r="J97" s="77" t="s">
        <v>70</v>
      </c>
      <c r="K97" s="77" t="s">
        <v>70</v>
      </c>
      <c r="L97" s="77" t="s">
        <v>70</v>
      </c>
      <c r="M97" s="79" t="s">
        <v>70</v>
      </c>
    </row>
    <row r="98" spans="1:13" x14ac:dyDescent="0.3">
      <c r="A98">
        <v>700000</v>
      </c>
      <c r="B98" s="11">
        <v>852364</v>
      </c>
      <c r="C98">
        <v>852364</v>
      </c>
      <c r="D98">
        <v>852364</v>
      </c>
      <c r="E98">
        <v>852364</v>
      </c>
      <c r="F98">
        <v>852364</v>
      </c>
      <c r="G98" s="77" t="s">
        <v>70</v>
      </c>
      <c r="H98" s="77" t="s">
        <v>70</v>
      </c>
      <c r="I98" s="77" t="s">
        <v>70</v>
      </c>
      <c r="J98" s="77" t="s">
        <v>70</v>
      </c>
      <c r="K98" s="77" t="s">
        <v>70</v>
      </c>
      <c r="L98" s="77" t="s">
        <v>70</v>
      </c>
      <c r="M98" s="79" t="s">
        <v>70</v>
      </c>
    </row>
    <row r="99" spans="1:13" x14ac:dyDescent="0.3">
      <c r="A99">
        <v>800000</v>
      </c>
      <c r="B99" s="11">
        <v>852364</v>
      </c>
      <c r="C99">
        <v>852364</v>
      </c>
      <c r="D99">
        <v>852364</v>
      </c>
      <c r="E99" s="77" t="s">
        <v>70</v>
      </c>
      <c r="F99" s="77" t="s">
        <v>70</v>
      </c>
      <c r="G99" s="77" t="s">
        <v>70</v>
      </c>
      <c r="H99" s="77" t="s">
        <v>70</v>
      </c>
      <c r="I99" s="77" t="s">
        <v>70</v>
      </c>
      <c r="J99" s="77" t="s">
        <v>70</v>
      </c>
      <c r="K99" s="77" t="s">
        <v>70</v>
      </c>
      <c r="L99" s="77" t="s">
        <v>70</v>
      </c>
      <c r="M99" s="79" t="s">
        <v>70</v>
      </c>
    </row>
    <row r="100" spans="1:13" x14ac:dyDescent="0.3">
      <c r="A100">
        <v>900000</v>
      </c>
      <c r="B100" s="11">
        <v>852364</v>
      </c>
      <c r="C100" s="77" t="s">
        <v>70</v>
      </c>
      <c r="D100" s="77" t="s">
        <v>70</v>
      </c>
      <c r="E100" s="77" t="s">
        <v>70</v>
      </c>
      <c r="F100" s="77" t="s">
        <v>70</v>
      </c>
      <c r="G100" s="77" t="s">
        <v>70</v>
      </c>
      <c r="H100" s="77" t="s">
        <v>70</v>
      </c>
      <c r="I100" s="77" t="s">
        <v>70</v>
      </c>
      <c r="J100" s="77" t="s">
        <v>70</v>
      </c>
      <c r="K100" s="77" t="s">
        <v>70</v>
      </c>
      <c r="L100" s="77" t="s">
        <v>70</v>
      </c>
      <c r="M100" s="79" t="s">
        <v>70</v>
      </c>
    </row>
    <row r="101" spans="1:13" x14ac:dyDescent="0.3">
      <c r="A101">
        <v>1000000</v>
      </c>
      <c r="B101" s="76" t="s">
        <v>70</v>
      </c>
      <c r="C101" s="78" t="s">
        <v>70</v>
      </c>
      <c r="D101" s="78" t="s">
        <v>70</v>
      </c>
      <c r="E101" s="78" t="s">
        <v>70</v>
      </c>
      <c r="F101" s="78" t="s">
        <v>70</v>
      </c>
      <c r="G101" s="78" t="s">
        <v>70</v>
      </c>
      <c r="H101" s="78" t="s">
        <v>70</v>
      </c>
      <c r="I101" s="78" t="s">
        <v>70</v>
      </c>
      <c r="J101" s="78" t="s">
        <v>70</v>
      </c>
      <c r="K101" s="78" t="s">
        <v>70</v>
      </c>
      <c r="L101" s="78" t="s">
        <v>70</v>
      </c>
      <c r="M101" s="80" t="s">
        <v>70</v>
      </c>
    </row>
    <row r="103" spans="1:13" x14ac:dyDescent="0.3">
      <c r="A103" s="74" t="s">
        <v>127</v>
      </c>
      <c r="B103">
        <v>50000</v>
      </c>
      <c r="C103">
        <v>100000</v>
      </c>
      <c r="D103">
        <v>150000</v>
      </c>
      <c r="E103">
        <v>200000</v>
      </c>
      <c r="F103">
        <v>250000</v>
      </c>
      <c r="G103">
        <v>300000</v>
      </c>
      <c r="H103">
        <v>350000</v>
      </c>
      <c r="I103">
        <v>400000</v>
      </c>
      <c r="J103">
        <v>450000</v>
      </c>
      <c r="K103">
        <v>500000</v>
      </c>
      <c r="L103">
        <v>550000</v>
      </c>
      <c r="M103">
        <v>600000</v>
      </c>
    </row>
    <row r="104" spans="1:13" x14ac:dyDescent="0.3">
      <c r="A104">
        <v>200000</v>
      </c>
      <c r="B104" s="91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6">
        <v>0</v>
      </c>
    </row>
    <row r="105" spans="1:13" x14ac:dyDescent="0.3">
      <c r="A105">
        <v>300000</v>
      </c>
      <c r="B105" s="1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7">
        <v>0</v>
      </c>
    </row>
    <row r="106" spans="1:13" x14ac:dyDescent="0.3">
      <c r="A106">
        <v>400000</v>
      </c>
      <c r="B106" s="1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79" t="s">
        <v>70</v>
      </c>
    </row>
    <row r="107" spans="1:13" x14ac:dyDescent="0.3">
      <c r="A107">
        <v>500000</v>
      </c>
      <c r="B107" s="1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77" t="s">
        <v>70</v>
      </c>
      <c r="L107" s="77" t="s">
        <v>70</v>
      </c>
      <c r="M107" s="79" t="s">
        <v>70</v>
      </c>
    </row>
    <row r="108" spans="1:13" x14ac:dyDescent="0.3">
      <c r="A108">
        <v>600000</v>
      </c>
      <c r="B108" s="1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77" t="s">
        <v>70</v>
      </c>
      <c r="J108" s="77" t="s">
        <v>70</v>
      </c>
      <c r="K108" s="77" t="s">
        <v>70</v>
      </c>
      <c r="L108" s="77" t="s">
        <v>70</v>
      </c>
      <c r="M108" s="79" t="s">
        <v>70</v>
      </c>
    </row>
    <row r="109" spans="1:13" x14ac:dyDescent="0.3">
      <c r="A109">
        <v>700000</v>
      </c>
      <c r="B109" s="11">
        <v>0</v>
      </c>
      <c r="C109">
        <v>0</v>
      </c>
      <c r="D109">
        <v>0</v>
      </c>
      <c r="E109">
        <v>0</v>
      </c>
      <c r="F109">
        <v>0</v>
      </c>
      <c r="G109" s="77" t="s">
        <v>70</v>
      </c>
      <c r="H109" s="77" t="s">
        <v>70</v>
      </c>
      <c r="I109" s="77" t="s">
        <v>70</v>
      </c>
      <c r="J109" s="77" t="s">
        <v>70</v>
      </c>
      <c r="K109" s="77" t="s">
        <v>70</v>
      </c>
      <c r="L109" s="77" t="s">
        <v>70</v>
      </c>
      <c r="M109" s="79" t="s">
        <v>70</v>
      </c>
    </row>
    <row r="110" spans="1:13" x14ac:dyDescent="0.3">
      <c r="A110">
        <v>800000</v>
      </c>
      <c r="B110" s="11">
        <v>0</v>
      </c>
      <c r="C110">
        <v>0</v>
      </c>
      <c r="D110">
        <v>0</v>
      </c>
      <c r="E110" s="77" t="s">
        <v>70</v>
      </c>
      <c r="F110" s="77" t="s">
        <v>70</v>
      </c>
      <c r="G110" s="77" t="s">
        <v>70</v>
      </c>
      <c r="H110" s="77" t="s">
        <v>70</v>
      </c>
      <c r="I110" s="77" t="s">
        <v>70</v>
      </c>
      <c r="J110" s="77" t="s">
        <v>70</v>
      </c>
      <c r="K110" s="77" t="s">
        <v>70</v>
      </c>
      <c r="L110" s="77" t="s">
        <v>70</v>
      </c>
      <c r="M110" s="79" t="s">
        <v>70</v>
      </c>
    </row>
    <row r="111" spans="1:13" x14ac:dyDescent="0.3">
      <c r="A111">
        <v>900000</v>
      </c>
      <c r="B111" s="11">
        <v>0</v>
      </c>
      <c r="C111" s="77" t="s">
        <v>70</v>
      </c>
      <c r="D111" s="77" t="s">
        <v>70</v>
      </c>
      <c r="E111" s="77" t="s">
        <v>70</v>
      </c>
      <c r="F111" s="77" t="s">
        <v>70</v>
      </c>
      <c r="G111" s="77" t="s">
        <v>70</v>
      </c>
      <c r="H111" s="77" t="s">
        <v>70</v>
      </c>
      <c r="I111" s="77" t="s">
        <v>70</v>
      </c>
      <c r="J111" s="77" t="s">
        <v>70</v>
      </c>
      <c r="K111" s="77" t="s">
        <v>70</v>
      </c>
      <c r="L111" s="77" t="s">
        <v>70</v>
      </c>
      <c r="M111" s="79" t="s">
        <v>70</v>
      </c>
    </row>
    <row r="112" spans="1:13" x14ac:dyDescent="0.3">
      <c r="A112">
        <v>1000000</v>
      </c>
      <c r="B112" s="76" t="s">
        <v>70</v>
      </c>
      <c r="C112" s="78" t="s">
        <v>70</v>
      </c>
      <c r="D112" s="78" t="s">
        <v>70</v>
      </c>
      <c r="E112" s="78" t="s">
        <v>70</v>
      </c>
      <c r="F112" s="78" t="s">
        <v>70</v>
      </c>
      <c r="G112" s="78" t="s">
        <v>70</v>
      </c>
      <c r="H112" s="78" t="s">
        <v>70</v>
      </c>
      <c r="I112" s="78" t="s">
        <v>70</v>
      </c>
      <c r="J112" s="78" t="s">
        <v>70</v>
      </c>
      <c r="K112" s="78" t="s">
        <v>70</v>
      </c>
      <c r="L112" s="78" t="s">
        <v>70</v>
      </c>
      <c r="M112" s="80" t="s">
        <v>70</v>
      </c>
    </row>
    <row r="114" spans="1:13" x14ac:dyDescent="0.3">
      <c r="A114" s="74" t="s">
        <v>128</v>
      </c>
      <c r="B114">
        <v>50000</v>
      </c>
      <c r="C114">
        <v>100000</v>
      </c>
      <c r="D114">
        <v>150000</v>
      </c>
      <c r="E114">
        <v>200000</v>
      </c>
      <c r="F114">
        <v>250000</v>
      </c>
      <c r="G114">
        <v>300000</v>
      </c>
      <c r="H114">
        <v>350000</v>
      </c>
      <c r="I114">
        <v>400000</v>
      </c>
      <c r="J114">
        <v>450000</v>
      </c>
      <c r="K114">
        <v>500000</v>
      </c>
      <c r="L114">
        <v>550000</v>
      </c>
      <c r="M114">
        <v>600000</v>
      </c>
    </row>
    <row r="115" spans="1:13" x14ac:dyDescent="0.3">
      <c r="A115">
        <v>200000</v>
      </c>
      <c r="B115" s="91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6">
        <v>0</v>
      </c>
    </row>
    <row r="116" spans="1:13" x14ac:dyDescent="0.3">
      <c r="A116">
        <v>300000</v>
      </c>
      <c r="B116" s="1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7">
        <v>0</v>
      </c>
    </row>
    <row r="117" spans="1:13" x14ac:dyDescent="0.3">
      <c r="A117">
        <v>400000</v>
      </c>
      <c r="B117" s="1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79" t="s">
        <v>70</v>
      </c>
    </row>
    <row r="118" spans="1:13" x14ac:dyDescent="0.3">
      <c r="A118">
        <v>500000</v>
      </c>
      <c r="B118" s="1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77" t="s">
        <v>70</v>
      </c>
      <c r="L118" s="77" t="s">
        <v>70</v>
      </c>
      <c r="M118" s="79" t="s">
        <v>70</v>
      </c>
    </row>
    <row r="119" spans="1:13" x14ac:dyDescent="0.3">
      <c r="A119">
        <v>600000</v>
      </c>
      <c r="B119" s="1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77" t="s">
        <v>70</v>
      </c>
      <c r="J119" s="77" t="s">
        <v>70</v>
      </c>
      <c r="K119" s="77" t="s">
        <v>70</v>
      </c>
      <c r="L119" s="77" t="s">
        <v>70</v>
      </c>
      <c r="M119" s="79" t="s">
        <v>70</v>
      </c>
    </row>
    <row r="120" spans="1:13" x14ac:dyDescent="0.3">
      <c r="A120">
        <v>700000</v>
      </c>
      <c r="B120" s="11">
        <v>0</v>
      </c>
      <c r="C120">
        <v>0</v>
      </c>
      <c r="D120">
        <v>0</v>
      </c>
      <c r="E120">
        <v>0</v>
      </c>
      <c r="F120">
        <v>0</v>
      </c>
      <c r="G120" s="77" t="s">
        <v>70</v>
      </c>
      <c r="H120" s="77" t="s">
        <v>70</v>
      </c>
      <c r="I120" s="77" t="s">
        <v>70</v>
      </c>
      <c r="J120" s="77" t="s">
        <v>70</v>
      </c>
      <c r="K120" s="77" t="s">
        <v>70</v>
      </c>
      <c r="L120" s="77" t="s">
        <v>70</v>
      </c>
      <c r="M120" s="79" t="s">
        <v>70</v>
      </c>
    </row>
    <row r="121" spans="1:13" x14ac:dyDescent="0.3">
      <c r="A121">
        <v>800000</v>
      </c>
      <c r="B121" s="11">
        <v>0</v>
      </c>
      <c r="C121">
        <v>0</v>
      </c>
      <c r="D121">
        <v>0</v>
      </c>
      <c r="E121" s="77" t="s">
        <v>70</v>
      </c>
      <c r="F121" s="77" t="s">
        <v>70</v>
      </c>
      <c r="G121" s="77" t="s">
        <v>70</v>
      </c>
      <c r="H121" s="77" t="s">
        <v>70</v>
      </c>
      <c r="I121" s="77" t="s">
        <v>70</v>
      </c>
      <c r="J121" s="77" t="s">
        <v>70</v>
      </c>
      <c r="K121" s="77" t="s">
        <v>70</v>
      </c>
      <c r="L121" s="77" t="s">
        <v>70</v>
      </c>
      <c r="M121" s="79" t="s">
        <v>70</v>
      </c>
    </row>
    <row r="122" spans="1:13" x14ac:dyDescent="0.3">
      <c r="A122">
        <v>900000</v>
      </c>
      <c r="B122" s="11">
        <v>0</v>
      </c>
      <c r="C122" s="77" t="s">
        <v>70</v>
      </c>
      <c r="D122" s="77" t="s">
        <v>70</v>
      </c>
      <c r="E122" s="77" t="s">
        <v>70</v>
      </c>
      <c r="F122" s="77" t="s">
        <v>70</v>
      </c>
      <c r="G122" s="77" t="s">
        <v>70</v>
      </c>
      <c r="H122" s="77" t="s">
        <v>70</v>
      </c>
      <c r="I122" s="77" t="s">
        <v>70</v>
      </c>
      <c r="J122" s="77" t="s">
        <v>70</v>
      </c>
      <c r="K122" s="77" t="s">
        <v>70</v>
      </c>
      <c r="L122" s="77" t="s">
        <v>70</v>
      </c>
      <c r="M122" s="79" t="s">
        <v>70</v>
      </c>
    </row>
    <row r="123" spans="1:13" x14ac:dyDescent="0.3">
      <c r="A123">
        <v>1000000</v>
      </c>
      <c r="B123" s="76" t="s">
        <v>70</v>
      </c>
      <c r="C123" s="78" t="s">
        <v>70</v>
      </c>
      <c r="D123" s="78" t="s">
        <v>70</v>
      </c>
      <c r="E123" s="78" t="s">
        <v>70</v>
      </c>
      <c r="F123" s="78" t="s">
        <v>70</v>
      </c>
      <c r="G123" s="78" t="s">
        <v>70</v>
      </c>
      <c r="H123" s="78" t="s">
        <v>70</v>
      </c>
      <c r="I123" s="78" t="s">
        <v>70</v>
      </c>
      <c r="J123" s="78" t="s">
        <v>70</v>
      </c>
      <c r="K123" s="78" t="s">
        <v>70</v>
      </c>
      <c r="L123" s="78" t="s">
        <v>70</v>
      </c>
      <c r="M123" s="80" t="s">
        <v>70</v>
      </c>
    </row>
    <row r="125" spans="1:13" x14ac:dyDescent="0.3">
      <c r="A125" s="74" t="s">
        <v>129</v>
      </c>
      <c r="B125">
        <v>50000</v>
      </c>
      <c r="C125">
        <v>100000</v>
      </c>
      <c r="D125">
        <v>150000</v>
      </c>
      <c r="E125">
        <v>200000</v>
      </c>
      <c r="F125">
        <v>250000</v>
      </c>
      <c r="G125">
        <v>300000</v>
      </c>
      <c r="H125">
        <v>350000</v>
      </c>
      <c r="I125">
        <v>400000</v>
      </c>
      <c r="J125">
        <v>450000</v>
      </c>
      <c r="K125">
        <v>500000</v>
      </c>
      <c r="L125">
        <v>550000</v>
      </c>
      <c r="M125">
        <v>600000</v>
      </c>
    </row>
    <row r="126" spans="1:13" x14ac:dyDescent="0.3">
      <c r="A126">
        <v>200000</v>
      </c>
      <c r="B126" s="91">
        <v>447289</v>
      </c>
      <c r="C126" s="5">
        <v>447289</v>
      </c>
      <c r="D126" s="5">
        <v>447289</v>
      </c>
      <c r="E126" s="5">
        <v>447289</v>
      </c>
      <c r="F126" s="5">
        <v>447289</v>
      </c>
      <c r="G126" s="5">
        <v>447289</v>
      </c>
      <c r="H126" s="5">
        <v>447289</v>
      </c>
      <c r="I126" s="5">
        <v>447289</v>
      </c>
      <c r="J126" s="5">
        <v>447289</v>
      </c>
      <c r="K126" s="5">
        <v>447289</v>
      </c>
      <c r="L126" s="5">
        <v>447289</v>
      </c>
      <c r="M126" s="6">
        <v>447289</v>
      </c>
    </row>
    <row r="127" spans="1:13" x14ac:dyDescent="0.3">
      <c r="A127">
        <v>300000</v>
      </c>
      <c r="B127" s="11">
        <v>447289</v>
      </c>
      <c r="C127">
        <v>447289</v>
      </c>
      <c r="D127">
        <v>447289</v>
      </c>
      <c r="E127">
        <v>447289</v>
      </c>
      <c r="F127">
        <v>447289</v>
      </c>
      <c r="G127">
        <v>447289</v>
      </c>
      <c r="H127">
        <v>447289</v>
      </c>
      <c r="I127">
        <v>447289</v>
      </c>
      <c r="J127">
        <v>447289</v>
      </c>
      <c r="K127">
        <v>447289</v>
      </c>
      <c r="L127">
        <v>447289</v>
      </c>
      <c r="M127" s="7">
        <v>447289</v>
      </c>
    </row>
    <row r="128" spans="1:13" x14ac:dyDescent="0.3">
      <c r="A128">
        <v>400000</v>
      </c>
      <c r="B128" s="11">
        <v>447289</v>
      </c>
      <c r="C128">
        <v>447289</v>
      </c>
      <c r="D128">
        <v>447289</v>
      </c>
      <c r="E128">
        <v>447289</v>
      </c>
      <c r="F128">
        <v>447289</v>
      </c>
      <c r="G128">
        <v>447289</v>
      </c>
      <c r="H128">
        <v>447289</v>
      </c>
      <c r="I128">
        <v>447289</v>
      </c>
      <c r="J128">
        <v>447289</v>
      </c>
      <c r="K128">
        <v>447289</v>
      </c>
      <c r="L128">
        <v>447289</v>
      </c>
      <c r="M128" s="79" t="s">
        <v>70</v>
      </c>
    </row>
    <row r="129" spans="1:13" x14ac:dyDescent="0.3">
      <c r="A129">
        <v>500000</v>
      </c>
      <c r="B129" s="11">
        <v>447289</v>
      </c>
      <c r="C129">
        <v>447289</v>
      </c>
      <c r="D129">
        <v>447289</v>
      </c>
      <c r="E129">
        <v>447289</v>
      </c>
      <c r="F129">
        <v>447289</v>
      </c>
      <c r="G129">
        <v>447289</v>
      </c>
      <c r="H129">
        <v>447289</v>
      </c>
      <c r="I129">
        <v>447289</v>
      </c>
      <c r="J129">
        <v>447289</v>
      </c>
      <c r="K129" s="77" t="s">
        <v>70</v>
      </c>
      <c r="L129" s="77" t="s">
        <v>70</v>
      </c>
      <c r="M129" s="79" t="s">
        <v>70</v>
      </c>
    </row>
    <row r="130" spans="1:13" x14ac:dyDescent="0.3">
      <c r="A130">
        <v>600000</v>
      </c>
      <c r="B130" s="11">
        <v>447289</v>
      </c>
      <c r="C130">
        <v>447289</v>
      </c>
      <c r="D130">
        <v>447289</v>
      </c>
      <c r="E130">
        <v>447289</v>
      </c>
      <c r="F130">
        <v>447289</v>
      </c>
      <c r="G130">
        <v>447289</v>
      </c>
      <c r="H130">
        <v>447289</v>
      </c>
      <c r="I130" s="77" t="s">
        <v>70</v>
      </c>
      <c r="J130" s="77" t="s">
        <v>70</v>
      </c>
      <c r="K130" s="77" t="s">
        <v>70</v>
      </c>
      <c r="L130" s="77" t="s">
        <v>70</v>
      </c>
      <c r="M130" s="79" t="s">
        <v>70</v>
      </c>
    </row>
    <row r="131" spans="1:13" x14ac:dyDescent="0.3">
      <c r="A131">
        <v>700000</v>
      </c>
      <c r="B131" s="11">
        <v>447289</v>
      </c>
      <c r="C131">
        <v>447289</v>
      </c>
      <c r="D131">
        <v>447289</v>
      </c>
      <c r="E131">
        <v>447289</v>
      </c>
      <c r="F131">
        <v>447289</v>
      </c>
      <c r="G131" s="77" t="s">
        <v>70</v>
      </c>
      <c r="H131" s="77" t="s">
        <v>70</v>
      </c>
      <c r="I131" s="77" t="s">
        <v>70</v>
      </c>
      <c r="J131" s="77" t="s">
        <v>70</v>
      </c>
      <c r="K131" s="77" t="s">
        <v>70</v>
      </c>
      <c r="L131" s="77" t="s">
        <v>70</v>
      </c>
      <c r="M131" s="79" t="s">
        <v>70</v>
      </c>
    </row>
    <row r="132" spans="1:13" x14ac:dyDescent="0.3">
      <c r="A132">
        <v>800000</v>
      </c>
      <c r="B132" s="11">
        <v>447289</v>
      </c>
      <c r="C132">
        <v>447289</v>
      </c>
      <c r="D132">
        <v>447289</v>
      </c>
      <c r="E132" s="77" t="s">
        <v>70</v>
      </c>
      <c r="F132" s="77" t="s">
        <v>70</v>
      </c>
      <c r="G132" s="77" t="s">
        <v>70</v>
      </c>
      <c r="H132" s="77" t="s">
        <v>70</v>
      </c>
      <c r="I132" s="77" t="s">
        <v>70</v>
      </c>
      <c r="J132" s="77" t="s">
        <v>70</v>
      </c>
      <c r="K132" s="77" t="s">
        <v>70</v>
      </c>
      <c r="L132" s="77" t="s">
        <v>70</v>
      </c>
      <c r="M132" s="79" t="s">
        <v>70</v>
      </c>
    </row>
    <row r="133" spans="1:13" x14ac:dyDescent="0.3">
      <c r="A133">
        <v>900000</v>
      </c>
      <c r="B133" s="11">
        <v>447289</v>
      </c>
      <c r="C133" s="77" t="s">
        <v>70</v>
      </c>
      <c r="D133" s="77" t="s">
        <v>70</v>
      </c>
      <c r="E133" s="77" t="s">
        <v>70</v>
      </c>
      <c r="F133" s="77" t="s">
        <v>70</v>
      </c>
      <c r="G133" s="77" t="s">
        <v>70</v>
      </c>
      <c r="H133" s="77" t="s">
        <v>70</v>
      </c>
      <c r="I133" s="77" t="s">
        <v>70</v>
      </c>
      <c r="J133" s="77" t="s">
        <v>70</v>
      </c>
      <c r="K133" s="77" t="s">
        <v>70</v>
      </c>
      <c r="L133" s="77" t="s">
        <v>70</v>
      </c>
      <c r="M133" s="79" t="s">
        <v>70</v>
      </c>
    </row>
    <row r="134" spans="1:13" x14ac:dyDescent="0.3">
      <c r="A134">
        <v>1000000</v>
      </c>
      <c r="B134" s="76" t="s">
        <v>70</v>
      </c>
      <c r="C134" s="78" t="s">
        <v>70</v>
      </c>
      <c r="D134" s="78" t="s">
        <v>70</v>
      </c>
      <c r="E134" s="78" t="s">
        <v>70</v>
      </c>
      <c r="F134" s="78" t="s">
        <v>70</v>
      </c>
      <c r="G134" s="78" t="s">
        <v>70</v>
      </c>
      <c r="H134" s="78" t="s">
        <v>70</v>
      </c>
      <c r="I134" s="78" t="s">
        <v>70</v>
      </c>
      <c r="J134" s="78" t="s">
        <v>70</v>
      </c>
      <c r="K134" s="78" t="s">
        <v>70</v>
      </c>
      <c r="L134" s="78" t="s">
        <v>70</v>
      </c>
      <c r="M134" s="80" t="s">
        <v>70</v>
      </c>
    </row>
    <row r="136" spans="1:13" x14ac:dyDescent="0.3">
      <c r="A136" s="74" t="s">
        <v>130</v>
      </c>
      <c r="B136">
        <v>50000</v>
      </c>
      <c r="C136">
        <v>100000</v>
      </c>
      <c r="D136">
        <v>150000</v>
      </c>
      <c r="E136">
        <v>200000</v>
      </c>
      <c r="F136">
        <v>250000</v>
      </c>
      <c r="G136">
        <v>300000</v>
      </c>
      <c r="H136">
        <v>350000</v>
      </c>
      <c r="I136">
        <v>400000</v>
      </c>
      <c r="J136">
        <v>450000</v>
      </c>
      <c r="K136">
        <v>500000</v>
      </c>
      <c r="L136">
        <v>550000</v>
      </c>
      <c r="M136">
        <v>600000</v>
      </c>
    </row>
    <row r="137" spans="1:13" x14ac:dyDescent="0.3">
      <c r="A137">
        <v>200000</v>
      </c>
      <c r="B137" s="91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6">
        <v>0</v>
      </c>
    </row>
    <row r="138" spans="1:13" x14ac:dyDescent="0.3">
      <c r="A138">
        <v>300000</v>
      </c>
      <c r="B138" s="1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7">
        <v>0</v>
      </c>
    </row>
    <row r="139" spans="1:13" x14ac:dyDescent="0.3">
      <c r="A139">
        <v>400000</v>
      </c>
      <c r="B139" s="1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79" t="s">
        <v>70</v>
      </c>
    </row>
    <row r="140" spans="1:13" x14ac:dyDescent="0.3">
      <c r="A140">
        <v>500000</v>
      </c>
      <c r="B140" s="1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77" t="s">
        <v>70</v>
      </c>
      <c r="L140" s="77" t="s">
        <v>70</v>
      </c>
      <c r="M140" s="79" t="s">
        <v>70</v>
      </c>
    </row>
    <row r="141" spans="1:13" x14ac:dyDescent="0.3">
      <c r="A141">
        <v>600000</v>
      </c>
      <c r="B141" s="1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77" t="s">
        <v>70</v>
      </c>
      <c r="J141" s="77" t="s">
        <v>70</v>
      </c>
      <c r="K141" s="77" t="s">
        <v>70</v>
      </c>
      <c r="L141" s="77" t="s">
        <v>70</v>
      </c>
      <c r="M141" s="79" t="s">
        <v>70</v>
      </c>
    </row>
    <row r="142" spans="1:13" x14ac:dyDescent="0.3">
      <c r="A142">
        <v>700000</v>
      </c>
      <c r="B142" s="11">
        <v>0</v>
      </c>
      <c r="C142">
        <v>0</v>
      </c>
      <c r="D142">
        <v>0</v>
      </c>
      <c r="E142">
        <v>0</v>
      </c>
      <c r="F142">
        <v>0</v>
      </c>
      <c r="G142" s="77" t="s">
        <v>70</v>
      </c>
      <c r="H142" s="77" t="s">
        <v>70</v>
      </c>
      <c r="I142" s="77" t="s">
        <v>70</v>
      </c>
      <c r="J142" s="77" t="s">
        <v>70</v>
      </c>
      <c r="K142" s="77" t="s">
        <v>70</v>
      </c>
      <c r="L142" s="77" t="s">
        <v>70</v>
      </c>
      <c r="M142" s="79" t="s">
        <v>70</v>
      </c>
    </row>
    <row r="143" spans="1:13" x14ac:dyDescent="0.3">
      <c r="A143">
        <v>800000</v>
      </c>
      <c r="B143" s="11">
        <v>0</v>
      </c>
      <c r="C143">
        <v>0</v>
      </c>
      <c r="D143">
        <v>0</v>
      </c>
      <c r="E143" s="77" t="s">
        <v>70</v>
      </c>
      <c r="F143" s="77" t="s">
        <v>70</v>
      </c>
      <c r="G143" s="77" t="s">
        <v>70</v>
      </c>
      <c r="H143" s="77" t="s">
        <v>70</v>
      </c>
      <c r="I143" s="77" t="s">
        <v>70</v>
      </c>
      <c r="J143" s="77" t="s">
        <v>70</v>
      </c>
      <c r="K143" s="77" t="s">
        <v>70</v>
      </c>
      <c r="L143" s="77" t="s">
        <v>70</v>
      </c>
      <c r="M143" s="79" t="s">
        <v>70</v>
      </c>
    </row>
    <row r="144" spans="1:13" x14ac:dyDescent="0.3">
      <c r="A144">
        <v>900000</v>
      </c>
      <c r="B144" s="11">
        <v>0</v>
      </c>
      <c r="C144" s="77" t="s">
        <v>70</v>
      </c>
      <c r="D144" s="77" t="s">
        <v>70</v>
      </c>
      <c r="E144" s="77" t="s">
        <v>70</v>
      </c>
      <c r="F144" s="77" t="s">
        <v>70</v>
      </c>
      <c r="G144" s="77" t="s">
        <v>70</v>
      </c>
      <c r="H144" s="77" t="s">
        <v>70</v>
      </c>
      <c r="I144" s="77" t="s">
        <v>70</v>
      </c>
      <c r="J144" s="77" t="s">
        <v>70</v>
      </c>
      <c r="K144" s="77" t="s">
        <v>70</v>
      </c>
      <c r="L144" s="77" t="s">
        <v>70</v>
      </c>
      <c r="M144" s="79" t="s">
        <v>70</v>
      </c>
    </row>
    <row r="145" spans="1:13" x14ac:dyDescent="0.3">
      <c r="A145">
        <v>1000000</v>
      </c>
      <c r="B145" s="76" t="s">
        <v>70</v>
      </c>
      <c r="C145" s="78" t="s">
        <v>70</v>
      </c>
      <c r="D145" s="78" t="s">
        <v>70</v>
      </c>
      <c r="E145" s="78" t="s">
        <v>70</v>
      </c>
      <c r="F145" s="78" t="s">
        <v>70</v>
      </c>
      <c r="G145" s="78" t="s">
        <v>70</v>
      </c>
      <c r="H145" s="78" t="s">
        <v>70</v>
      </c>
      <c r="I145" s="78" t="s">
        <v>70</v>
      </c>
      <c r="J145" s="78" t="s">
        <v>70</v>
      </c>
      <c r="K145" s="78" t="s">
        <v>70</v>
      </c>
      <c r="L145" s="78" t="s">
        <v>70</v>
      </c>
      <c r="M145" s="80" t="s">
        <v>70</v>
      </c>
    </row>
    <row r="147" spans="1:13" x14ac:dyDescent="0.3">
      <c r="A147" s="74" t="s">
        <v>131</v>
      </c>
      <c r="B147">
        <v>50000</v>
      </c>
      <c r="C147">
        <v>100000</v>
      </c>
      <c r="D147">
        <v>150000</v>
      </c>
      <c r="E147">
        <v>200000</v>
      </c>
      <c r="F147">
        <v>250000</v>
      </c>
      <c r="G147">
        <v>300000</v>
      </c>
      <c r="H147">
        <v>350000</v>
      </c>
      <c r="I147">
        <v>400000</v>
      </c>
      <c r="J147">
        <v>450000</v>
      </c>
      <c r="K147">
        <v>500000</v>
      </c>
      <c r="L147">
        <v>550000</v>
      </c>
      <c r="M147">
        <v>600000</v>
      </c>
    </row>
    <row r="148" spans="1:13" x14ac:dyDescent="0.3">
      <c r="A148">
        <v>200000</v>
      </c>
      <c r="B148" s="91">
        <v>200000</v>
      </c>
      <c r="C148" s="5">
        <v>200000</v>
      </c>
      <c r="D148" s="5">
        <v>200000</v>
      </c>
      <c r="E148" s="5">
        <v>200000</v>
      </c>
      <c r="F148" s="5">
        <v>200000</v>
      </c>
      <c r="G148" s="5">
        <v>200000</v>
      </c>
      <c r="H148" s="5">
        <v>200000</v>
      </c>
      <c r="I148" s="5">
        <v>200000</v>
      </c>
      <c r="J148" s="5">
        <v>200000</v>
      </c>
      <c r="K148" s="5">
        <v>195700</v>
      </c>
      <c r="L148" s="5">
        <v>145700</v>
      </c>
      <c r="M148" s="6">
        <v>95700</v>
      </c>
    </row>
    <row r="149" spans="1:13" x14ac:dyDescent="0.3">
      <c r="A149">
        <v>300000</v>
      </c>
      <c r="B149" s="11">
        <v>300000</v>
      </c>
      <c r="C149">
        <v>300000</v>
      </c>
      <c r="D149">
        <v>300000</v>
      </c>
      <c r="E149">
        <v>300000</v>
      </c>
      <c r="F149">
        <v>300000</v>
      </c>
      <c r="G149">
        <v>300000</v>
      </c>
      <c r="H149">
        <v>300000</v>
      </c>
      <c r="I149">
        <v>295700</v>
      </c>
      <c r="J149">
        <v>245700</v>
      </c>
      <c r="K149">
        <v>195700</v>
      </c>
      <c r="L149">
        <v>145700</v>
      </c>
      <c r="M149" s="7">
        <v>95700</v>
      </c>
    </row>
    <row r="150" spans="1:13" x14ac:dyDescent="0.3">
      <c r="A150">
        <v>400000</v>
      </c>
      <c r="B150" s="11">
        <v>400000</v>
      </c>
      <c r="C150">
        <v>400000</v>
      </c>
      <c r="D150">
        <v>400000</v>
      </c>
      <c r="E150">
        <v>400000</v>
      </c>
      <c r="F150">
        <v>400000</v>
      </c>
      <c r="G150">
        <v>395700</v>
      </c>
      <c r="H150">
        <v>345700</v>
      </c>
      <c r="I150">
        <v>295700</v>
      </c>
      <c r="J150">
        <v>245700</v>
      </c>
      <c r="K150">
        <v>195700</v>
      </c>
      <c r="L150">
        <v>145700</v>
      </c>
      <c r="M150" s="79" t="s">
        <v>70</v>
      </c>
    </row>
    <row r="151" spans="1:13" x14ac:dyDescent="0.3">
      <c r="A151">
        <v>500000</v>
      </c>
      <c r="B151" s="11">
        <v>500000</v>
      </c>
      <c r="C151">
        <v>500000</v>
      </c>
      <c r="D151">
        <v>500000</v>
      </c>
      <c r="E151">
        <v>495700</v>
      </c>
      <c r="F151">
        <v>445700</v>
      </c>
      <c r="G151">
        <v>395700</v>
      </c>
      <c r="H151">
        <v>345700</v>
      </c>
      <c r="I151">
        <v>295700</v>
      </c>
      <c r="J151">
        <v>245700</v>
      </c>
      <c r="K151" s="77" t="s">
        <v>70</v>
      </c>
      <c r="L151" s="77" t="s">
        <v>70</v>
      </c>
      <c r="M151" s="79" t="s">
        <v>70</v>
      </c>
    </row>
    <row r="152" spans="1:13" x14ac:dyDescent="0.3">
      <c r="A152">
        <v>600000</v>
      </c>
      <c r="B152" s="11">
        <v>600000</v>
      </c>
      <c r="C152">
        <v>595700</v>
      </c>
      <c r="D152">
        <v>545700</v>
      </c>
      <c r="E152">
        <v>495700</v>
      </c>
      <c r="F152">
        <v>445700</v>
      </c>
      <c r="G152">
        <v>395700</v>
      </c>
      <c r="H152">
        <v>345700</v>
      </c>
      <c r="I152" s="77" t="s">
        <v>70</v>
      </c>
      <c r="J152" s="77" t="s">
        <v>70</v>
      </c>
      <c r="K152" s="77" t="s">
        <v>70</v>
      </c>
      <c r="L152" s="77" t="s">
        <v>70</v>
      </c>
      <c r="M152" s="79" t="s">
        <v>70</v>
      </c>
    </row>
    <row r="153" spans="1:13" x14ac:dyDescent="0.3">
      <c r="A153">
        <v>700000</v>
      </c>
      <c r="B153" s="11">
        <v>645700</v>
      </c>
      <c r="C153">
        <v>595700</v>
      </c>
      <c r="D153">
        <v>545700</v>
      </c>
      <c r="E153">
        <v>495700</v>
      </c>
      <c r="F153">
        <v>445700</v>
      </c>
      <c r="G153" s="77" t="s">
        <v>70</v>
      </c>
      <c r="H153" s="77" t="s">
        <v>70</v>
      </c>
      <c r="I153" s="77" t="s">
        <v>70</v>
      </c>
      <c r="J153" s="77" t="s">
        <v>70</v>
      </c>
      <c r="K153" s="77" t="s">
        <v>70</v>
      </c>
      <c r="L153" s="77" t="s">
        <v>70</v>
      </c>
      <c r="M153" s="79" t="s">
        <v>70</v>
      </c>
    </row>
    <row r="154" spans="1:13" x14ac:dyDescent="0.3">
      <c r="A154">
        <v>800000</v>
      </c>
      <c r="B154" s="11">
        <v>645700</v>
      </c>
      <c r="C154">
        <v>595700</v>
      </c>
      <c r="D154">
        <v>545700</v>
      </c>
      <c r="E154" s="77" t="s">
        <v>70</v>
      </c>
      <c r="F154" s="77" t="s">
        <v>70</v>
      </c>
      <c r="G154" s="77" t="s">
        <v>70</v>
      </c>
      <c r="H154" s="77" t="s">
        <v>70</v>
      </c>
      <c r="I154" s="77" t="s">
        <v>70</v>
      </c>
      <c r="J154" s="77" t="s">
        <v>70</v>
      </c>
      <c r="K154" s="77" t="s">
        <v>70</v>
      </c>
      <c r="L154" s="77" t="s">
        <v>70</v>
      </c>
      <c r="M154" s="79" t="s">
        <v>70</v>
      </c>
    </row>
    <row r="155" spans="1:13" x14ac:dyDescent="0.3">
      <c r="A155">
        <v>900000</v>
      </c>
      <c r="B155" s="11">
        <v>645700</v>
      </c>
      <c r="C155" s="77" t="s">
        <v>70</v>
      </c>
      <c r="D155" s="77" t="s">
        <v>70</v>
      </c>
      <c r="E155" s="77" t="s">
        <v>70</v>
      </c>
      <c r="F155" s="77" t="s">
        <v>70</v>
      </c>
      <c r="G155" s="77" t="s">
        <v>70</v>
      </c>
      <c r="H155" s="77" t="s">
        <v>70</v>
      </c>
      <c r="I155" s="77" t="s">
        <v>70</v>
      </c>
      <c r="J155" s="77" t="s">
        <v>70</v>
      </c>
      <c r="K155" s="77" t="s">
        <v>70</v>
      </c>
      <c r="L155" s="77" t="s">
        <v>70</v>
      </c>
      <c r="M155" s="79" t="s">
        <v>70</v>
      </c>
    </row>
    <row r="156" spans="1:13" x14ac:dyDescent="0.3">
      <c r="A156">
        <v>1000000</v>
      </c>
      <c r="B156" s="76" t="s">
        <v>70</v>
      </c>
      <c r="C156" s="78" t="s">
        <v>70</v>
      </c>
      <c r="D156" s="78" t="s">
        <v>70</v>
      </c>
      <c r="E156" s="78" t="s">
        <v>70</v>
      </c>
      <c r="F156" s="78" t="s">
        <v>70</v>
      </c>
      <c r="G156" s="78" t="s">
        <v>70</v>
      </c>
      <c r="H156" s="78" t="s">
        <v>70</v>
      </c>
      <c r="I156" s="78" t="s">
        <v>70</v>
      </c>
      <c r="J156" s="78" t="s">
        <v>70</v>
      </c>
      <c r="K156" s="78" t="s">
        <v>70</v>
      </c>
      <c r="L156" s="78" t="s">
        <v>70</v>
      </c>
      <c r="M156" s="80" t="s">
        <v>70</v>
      </c>
    </row>
    <row r="158" spans="1:13" x14ac:dyDescent="0.3">
      <c r="A158" s="74" t="s">
        <v>132</v>
      </c>
      <c r="B158">
        <v>50000</v>
      </c>
      <c r="C158">
        <v>100000</v>
      </c>
      <c r="D158">
        <v>150000</v>
      </c>
      <c r="E158">
        <v>200000</v>
      </c>
      <c r="F158">
        <v>250000</v>
      </c>
      <c r="G158">
        <v>300000</v>
      </c>
      <c r="H158">
        <v>350000</v>
      </c>
      <c r="I158">
        <v>400000</v>
      </c>
      <c r="J158">
        <v>450000</v>
      </c>
      <c r="K158">
        <v>500000</v>
      </c>
      <c r="L158">
        <v>550000</v>
      </c>
      <c r="M158">
        <v>600000</v>
      </c>
    </row>
    <row r="159" spans="1:13" x14ac:dyDescent="0.3">
      <c r="A159">
        <v>200000</v>
      </c>
      <c r="B159" s="91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6">
        <v>0</v>
      </c>
    </row>
    <row r="160" spans="1:13" x14ac:dyDescent="0.3">
      <c r="A160">
        <v>300000</v>
      </c>
      <c r="B160" s="1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7">
        <v>0</v>
      </c>
    </row>
    <row r="161" spans="1:13" x14ac:dyDescent="0.3">
      <c r="A161">
        <v>400000</v>
      </c>
      <c r="B161" s="1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79" t="s">
        <v>70</v>
      </c>
    </row>
    <row r="162" spans="1:13" x14ac:dyDescent="0.3">
      <c r="A162">
        <v>500000</v>
      </c>
      <c r="B162" s="1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77" t="s">
        <v>70</v>
      </c>
      <c r="L162" s="77" t="s">
        <v>70</v>
      </c>
      <c r="M162" s="79" t="s">
        <v>70</v>
      </c>
    </row>
    <row r="163" spans="1:13" x14ac:dyDescent="0.3">
      <c r="A163">
        <v>600000</v>
      </c>
      <c r="B163" s="1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77" t="s">
        <v>70</v>
      </c>
      <c r="J163" s="77" t="s">
        <v>70</v>
      </c>
      <c r="K163" s="77" t="s">
        <v>70</v>
      </c>
      <c r="L163" s="77" t="s">
        <v>70</v>
      </c>
      <c r="M163" s="79" t="s">
        <v>70</v>
      </c>
    </row>
    <row r="164" spans="1:13" x14ac:dyDescent="0.3">
      <c r="A164">
        <v>700000</v>
      </c>
      <c r="B164" s="11">
        <v>0</v>
      </c>
      <c r="C164">
        <v>0</v>
      </c>
      <c r="D164">
        <v>0</v>
      </c>
      <c r="E164">
        <v>0</v>
      </c>
      <c r="F164">
        <v>0</v>
      </c>
      <c r="G164" s="77" t="s">
        <v>70</v>
      </c>
      <c r="H164" s="77" t="s">
        <v>70</v>
      </c>
      <c r="I164" s="77" t="s">
        <v>70</v>
      </c>
      <c r="J164" s="77" t="s">
        <v>70</v>
      </c>
      <c r="K164" s="77" t="s">
        <v>70</v>
      </c>
      <c r="L164" s="77" t="s">
        <v>70</v>
      </c>
      <c r="M164" s="79" t="s">
        <v>70</v>
      </c>
    </row>
    <row r="165" spans="1:13" x14ac:dyDescent="0.3">
      <c r="A165">
        <v>800000</v>
      </c>
      <c r="B165" s="11">
        <v>0</v>
      </c>
      <c r="C165">
        <v>0</v>
      </c>
      <c r="D165">
        <v>0</v>
      </c>
      <c r="E165" s="77" t="s">
        <v>70</v>
      </c>
      <c r="F165" s="77" t="s">
        <v>70</v>
      </c>
      <c r="G165" s="77" t="s">
        <v>70</v>
      </c>
      <c r="H165" s="77" t="s">
        <v>70</v>
      </c>
      <c r="I165" s="77" t="s">
        <v>70</v>
      </c>
      <c r="J165" s="77" t="s">
        <v>70</v>
      </c>
      <c r="K165" s="77" t="s">
        <v>70</v>
      </c>
      <c r="L165" s="77" t="s">
        <v>70</v>
      </c>
      <c r="M165" s="79" t="s">
        <v>70</v>
      </c>
    </row>
    <row r="166" spans="1:13" x14ac:dyDescent="0.3">
      <c r="A166">
        <v>900000</v>
      </c>
      <c r="B166" s="11">
        <v>0</v>
      </c>
      <c r="C166" s="77" t="s">
        <v>70</v>
      </c>
      <c r="D166" s="77" t="s">
        <v>70</v>
      </c>
      <c r="E166" s="77" t="s">
        <v>70</v>
      </c>
      <c r="F166" s="77" t="s">
        <v>70</v>
      </c>
      <c r="G166" s="77" t="s">
        <v>70</v>
      </c>
      <c r="H166" s="77" t="s">
        <v>70</v>
      </c>
      <c r="I166" s="77" t="s">
        <v>70</v>
      </c>
      <c r="J166" s="77" t="s">
        <v>70</v>
      </c>
      <c r="K166" s="77" t="s">
        <v>70</v>
      </c>
      <c r="L166" s="77" t="s">
        <v>70</v>
      </c>
      <c r="M166" s="79" t="s">
        <v>70</v>
      </c>
    </row>
    <row r="167" spans="1:13" x14ac:dyDescent="0.3">
      <c r="A167">
        <v>1000000</v>
      </c>
      <c r="B167" s="76" t="s">
        <v>70</v>
      </c>
      <c r="C167" s="78" t="s">
        <v>70</v>
      </c>
      <c r="D167" s="78" t="s">
        <v>70</v>
      </c>
      <c r="E167" s="78" t="s">
        <v>70</v>
      </c>
      <c r="F167" s="78" t="s">
        <v>70</v>
      </c>
      <c r="G167" s="78" t="s">
        <v>70</v>
      </c>
      <c r="H167" s="78" t="s">
        <v>70</v>
      </c>
      <c r="I167" s="78" t="s">
        <v>70</v>
      </c>
      <c r="J167" s="78" t="s">
        <v>70</v>
      </c>
      <c r="K167" s="78" t="s">
        <v>70</v>
      </c>
      <c r="L167" s="78" t="s">
        <v>70</v>
      </c>
      <c r="M167" s="80" t="s">
        <v>70</v>
      </c>
    </row>
    <row r="169" spans="1:13" x14ac:dyDescent="0.3">
      <c r="A169" s="74" t="s">
        <v>133</v>
      </c>
      <c r="B169">
        <v>50000</v>
      </c>
      <c r="C169">
        <v>100000</v>
      </c>
      <c r="D169">
        <v>150000</v>
      </c>
      <c r="E169">
        <v>200000</v>
      </c>
      <c r="F169">
        <v>250000</v>
      </c>
      <c r="G169">
        <v>300000</v>
      </c>
      <c r="H169">
        <v>350000</v>
      </c>
      <c r="I169">
        <v>400000</v>
      </c>
      <c r="J169">
        <v>450000</v>
      </c>
      <c r="K169">
        <v>500000</v>
      </c>
      <c r="L169">
        <v>550000</v>
      </c>
      <c r="M169">
        <v>600000</v>
      </c>
    </row>
    <row r="170" spans="1:13" x14ac:dyDescent="0.3">
      <c r="A170">
        <v>200000</v>
      </c>
      <c r="B170" s="91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0</v>
      </c>
    </row>
    <row r="171" spans="1:13" x14ac:dyDescent="0.3">
      <c r="A171">
        <v>300000</v>
      </c>
      <c r="B171" s="1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7">
        <v>0</v>
      </c>
    </row>
    <row r="172" spans="1:13" x14ac:dyDescent="0.3">
      <c r="A172">
        <v>400000</v>
      </c>
      <c r="B172" s="1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79" t="s">
        <v>70</v>
      </c>
    </row>
    <row r="173" spans="1:13" x14ac:dyDescent="0.3">
      <c r="A173">
        <v>500000</v>
      </c>
      <c r="B173" s="1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77" t="s">
        <v>70</v>
      </c>
      <c r="L173" s="77" t="s">
        <v>70</v>
      </c>
      <c r="M173" s="79" t="s">
        <v>70</v>
      </c>
    </row>
    <row r="174" spans="1:13" x14ac:dyDescent="0.3">
      <c r="A174">
        <v>600000</v>
      </c>
      <c r="B174" s="1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77" t="s">
        <v>70</v>
      </c>
      <c r="J174" s="77" t="s">
        <v>70</v>
      </c>
      <c r="K174" s="77" t="s">
        <v>70</v>
      </c>
      <c r="L174" s="77" t="s">
        <v>70</v>
      </c>
      <c r="M174" s="79" t="s">
        <v>70</v>
      </c>
    </row>
    <row r="175" spans="1:13" x14ac:dyDescent="0.3">
      <c r="A175">
        <v>700000</v>
      </c>
      <c r="B175" s="11">
        <v>0</v>
      </c>
      <c r="C175">
        <v>0</v>
      </c>
      <c r="D175">
        <v>0</v>
      </c>
      <c r="E175">
        <v>0</v>
      </c>
      <c r="F175">
        <v>0</v>
      </c>
      <c r="G175" s="77" t="s">
        <v>70</v>
      </c>
      <c r="H175" s="77" t="s">
        <v>70</v>
      </c>
      <c r="I175" s="77" t="s">
        <v>70</v>
      </c>
      <c r="J175" s="77" t="s">
        <v>70</v>
      </c>
      <c r="K175" s="77" t="s">
        <v>70</v>
      </c>
      <c r="L175" s="77" t="s">
        <v>70</v>
      </c>
      <c r="M175" s="79" t="s">
        <v>70</v>
      </c>
    </row>
    <row r="176" spans="1:13" x14ac:dyDescent="0.3">
      <c r="A176">
        <v>800000</v>
      </c>
      <c r="B176" s="11">
        <v>0</v>
      </c>
      <c r="C176">
        <v>0</v>
      </c>
      <c r="D176">
        <v>0</v>
      </c>
      <c r="E176" s="77" t="s">
        <v>70</v>
      </c>
      <c r="F176" s="77" t="s">
        <v>70</v>
      </c>
      <c r="G176" s="77" t="s">
        <v>70</v>
      </c>
      <c r="H176" s="77" t="s">
        <v>70</v>
      </c>
      <c r="I176" s="77" t="s">
        <v>70</v>
      </c>
      <c r="J176" s="77" t="s">
        <v>70</v>
      </c>
      <c r="K176" s="77" t="s">
        <v>70</v>
      </c>
      <c r="L176" s="77" t="s">
        <v>70</v>
      </c>
      <c r="M176" s="79" t="s">
        <v>70</v>
      </c>
    </row>
    <row r="177" spans="1:22" x14ac:dyDescent="0.3">
      <c r="A177">
        <v>900000</v>
      </c>
      <c r="B177" s="11">
        <v>0</v>
      </c>
      <c r="C177" s="77" t="s">
        <v>70</v>
      </c>
      <c r="D177" s="77" t="s">
        <v>70</v>
      </c>
      <c r="E177" s="77" t="s">
        <v>70</v>
      </c>
      <c r="F177" s="77" t="s">
        <v>70</v>
      </c>
      <c r="G177" s="77" t="s">
        <v>70</v>
      </c>
      <c r="H177" s="77" t="s">
        <v>70</v>
      </c>
      <c r="I177" s="77" t="s">
        <v>70</v>
      </c>
      <c r="J177" s="77" t="s">
        <v>70</v>
      </c>
      <c r="K177" s="77" t="s">
        <v>70</v>
      </c>
      <c r="L177" s="77" t="s">
        <v>70</v>
      </c>
      <c r="M177" s="79" t="s">
        <v>70</v>
      </c>
    </row>
    <row r="178" spans="1:22" x14ac:dyDescent="0.3">
      <c r="A178">
        <v>1000000</v>
      </c>
      <c r="B178" s="76" t="s">
        <v>70</v>
      </c>
      <c r="C178" s="78" t="s">
        <v>70</v>
      </c>
      <c r="D178" s="78" t="s">
        <v>70</v>
      </c>
      <c r="E178" s="78" t="s">
        <v>70</v>
      </c>
      <c r="F178" s="78" t="s">
        <v>70</v>
      </c>
      <c r="G178" s="78" t="s">
        <v>70</v>
      </c>
      <c r="H178" s="78" t="s">
        <v>70</v>
      </c>
      <c r="I178" s="78" t="s">
        <v>70</v>
      </c>
      <c r="J178" s="78" t="s">
        <v>70</v>
      </c>
      <c r="K178" s="78" t="s">
        <v>70</v>
      </c>
      <c r="L178" s="78" t="s">
        <v>70</v>
      </c>
      <c r="M178" s="80" t="s">
        <v>70</v>
      </c>
      <c r="Q178" s="77" t="s">
        <v>194</v>
      </c>
      <c r="R178" t="s">
        <v>188</v>
      </c>
      <c r="S178" t="s">
        <v>189</v>
      </c>
      <c r="T178" t="s">
        <v>190</v>
      </c>
      <c r="U178" t="s">
        <v>192</v>
      </c>
      <c r="V178" t="s">
        <v>191</v>
      </c>
    </row>
    <row r="179" spans="1:22" x14ac:dyDescent="0.3">
      <c r="Q179" t="s">
        <v>195</v>
      </c>
      <c r="R179" s="1" t="s">
        <v>6</v>
      </c>
      <c r="S179" t="s">
        <v>5</v>
      </c>
      <c r="T179" t="s">
        <v>7</v>
      </c>
      <c r="U179" t="s">
        <v>8</v>
      </c>
      <c r="V179" s="1" t="s">
        <v>9</v>
      </c>
    </row>
    <row r="180" spans="1:22" x14ac:dyDescent="0.3">
      <c r="A180" s="74" t="s">
        <v>134</v>
      </c>
      <c r="B180">
        <v>50000</v>
      </c>
      <c r="C180">
        <v>100000</v>
      </c>
      <c r="D180">
        <v>150000</v>
      </c>
      <c r="E180">
        <v>200000</v>
      </c>
      <c r="F180">
        <v>250000</v>
      </c>
      <c r="G180">
        <v>300000</v>
      </c>
      <c r="H180">
        <v>350000</v>
      </c>
      <c r="I180">
        <v>400000</v>
      </c>
      <c r="J180">
        <v>450000</v>
      </c>
      <c r="K180">
        <v>500000</v>
      </c>
      <c r="L180">
        <v>550000</v>
      </c>
      <c r="M180">
        <v>600000</v>
      </c>
    </row>
    <row r="181" spans="1:22" x14ac:dyDescent="0.3">
      <c r="A181">
        <v>200000</v>
      </c>
      <c r="B181" s="91">
        <v>500000</v>
      </c>
      <c r="C181" s="5">
        <v>500000</v>
      </c>
      <c r="D181" s="5">
        <v>500000</v>
      </c>
      <c r="E181" s="5">
        <v>500000</v>
      </c>
      <c r="F181" s="5">
        <v>500000</v>
      </c>
      <c r="G181" s="5">
        <v>500000</v>
      </c>
      <c r="H181" s="5">
        <v>500000</v>
      </c>
      <c r="I181" s="5">
        <v>500000</v>
      </c>
      <c r="J181" s="5">
        <v>500000</v>
      </c>
      <c r="K181" s="5">
        <v>504300</v>
      </c>
      <c r="L181" s="5">
        <v>554300</v>
      </c>
      <c r="M181" s="6">
        <v>604300</v>
      </c>
      <c r="O181">
        <v>21</v>
      </c>
      <c r="P181" s="37" t="s">
        <v>2</v>
      </c>
      <c r="T181" t="s">
        <v>196</v>
      </c>
    </row>
    <row r="182" spans="1:22" x14ac:dyDescent="0.3">
      <c r="A182">
        <v>300000</v>
      </c>
      <c r="B182" s="11">
        <v>400000</v>
      </c>
      <c r="C182">
        <v>400000</v>
      </c>
      <c r="D182">
        <v>400000</v>
      </c>
      <c r="E182">
        <v>400000</v>
      </c>
      <c r="F182">
        <v>400000</v>
      </c>
      <c r="G182">
        <v>400000</v>
      </c>
      <c r="H182">
        <v>400000</v>
      </c>
      <c r="I182">
        <v>404300</v>
      </c>
      <c r="J182">
        <v>454300</v>
      </c>
      <c r="K182">
        <v>504300</v>
      </c>
      <c r="L182">
        <v>554300</v>
      </c>
      <c r="M182" s="7">
        <v>604300</v>
      </c>
      <c r="O182">
        <v>22</v>
      </c>
      <c r="P182" s="37" t="s">
        <v>3</v>
      </c>
      <c r="Q182" t="s">
        <v>196</v>
      </c>
    </row>
    <row r="183" spans="1:22" ht="15" thickBot="1" x14ac:dyDescent="0.35">
      <c r="A183">
        <v>400000</v>
      </c>
      <c r="B183" s="11">
        <v>300000</v>
      </c>
      <c r="C183">
        <v>300000</v>
      </c>
      <c r="D183">
        <v>300000</v>
      </c>
      <c r="E183">
        <v>300000</v>
      </c>
      <c r="F183">
        <v>300000</v>
      </c>
      <c r="G183">
        <v>304300</v>
      </c>
      <c r="H183">
        <v>354300</v>
      </c>
      <c r="I183">
        <v>404300</v>
      </c>
      <c r="J183">
        <v>454300</v>
      </c>
      <c r="K183">
        <v>504300</v>
      </c>
      <c r="L183">
        <v>554300</v>
      </c>
      <c r="M183" s="79" t="s">
        <v>70</v>
      </c>
      <c r="O183">
        <v>23</v>
      </c>
      <c r="P183" s="38" t="s">
        <v>4</v>
      </c>
      <c r="Q183" t="s">
        <v>196</v>
      </c>
      <c r="T183" t="s">
        <v>196</v>
      </c>
    </row>
    <row r="184" spans="1:22" x14ac:dyDescent="0.3">
      <c r="A184">
        <v>500000</v>
      </c>
      <c r="B184" s="11">
        <v>200000</v>
      </c>
      <c r="C184">
        <v>200000</v>
      </c>
      <c r="D184">
        <v>200000</v>
      </c>
      <c r="E184">
        <v>204300</v>
      </c>
      <c r="F184">
        <v>254300</v>
      </c>
      <c r="G184">
        <v>304300</v>
      </c>
      <c r="H184">
        <v>354300</v>
      </c>
      <c r="I184">
        <v>404300</v>
      </c>
      <c r="J184">
        <v>454300</v>
      </c>
      <c r="K184" s="77" t="s">
        <v>70</v>
      </c>
      <c r="L184" s="77" t="s">
        <v>70</v>
      </c>
      <c r="M184" s="79" t="s">
        <v>70</v>
      </c>
    </row>
    <row r="185" spans="1:22" x14ac:dyDescent="0.3">
      <c r="A185">
        <v>600000</v>
      </c>
      <c r="B185" s="11">
        <v>100000</v>
      </c>
      <c r="C185">
        <v>104300</v>
      </c>
      <c r="D185">
        <v>154300</v>
      </c>
      <c r="E185">
        <v>204300</v>
      </c>
      <c r="F185">
        <v>254300</v>
      </c>
      <c r="G185">
        <v>304300</v>
      </c>
      <c r="H185">
        <v>354300</v>
      </c>
      <c r="I185" s="77" t="s">
        <v>70</v>
      </c>
      <c r="J185" s="77" t="s">
        <v>70</v>
      </c>
      <c r="K185" s="77" t="s">
        <v>70</v>
      </c>
      <c r="L185" s="77" t="s">
        <v>70</v>
      </c>
      <c r="M185" s="79" t="s">
        <v>70</v>
      </c>
    </row>
    <row r="186" spans="1:22" x14ac:dyDescent="0.3">
      <c r="A186">
        <v>700000</v>
      </c>
      <c r="B186" s="11">
        <v>54300</v>
      </c>
      <c r="C186">
        <v>104300</v>
      </c>
      <c r="D186">
        <v>154300</v>
      </c>
      <c r="E186">
        <v>204300</v>
      </c>
      <c r="F186">
        <v>254300</v>
      </c>
      <c r="G186" s="77" t="s">
        <v>70</v>
      </c>
      <c r="H186" s="77" t="s">
        <v>70</v>
      </c>
      <c r="I186" s="77" t="s">
        <v>70</v>
      </c>
      <c r="J186" s="77" t="s">
        <v>70</v>
      </c>
      <c r="K186" s="77" t="s">
        <v>70</v>
      </c>
      <c r="L186" s="77" t="s">
        <v>70</v>
      </c>
      <c r="M186" s="79" t="s">
        <v>70</v>
      </c>
    </row>
    <row r="187" spans="1:22" x14ac:dyDescent="0.3">
      <c r="A187">
        <v>800000</v>
      </c>
      <c r="B187" s="11">
        <v>54300</v>
      </c>
      <c r="C187">
        <v>104300</v>
      </c>
      <c r="D187">
        <v>154300</v>
      </c>
      <c r="E187" s="77" t="s">
        <v>70</v>
      </c>
      <c r="F187" s="77" t="s">
        <v>70</v>
      </c>
      <c r="G187" s="77" t="s">
        <v>70</v>
      </c>
      <c r="H187" s="77" t="s">
        <v>70</v>
      </c>
      <c r="I187" s="77" t="s">
        <v>70</v>
      </c>
      <c r="J187" s="77" t="s">
        <v>70</v>
      </c>
      <c r="K187" s="77" t="s">
        <v>70</v>
      </c>
      <c r="L187" s="77" t="s">
        <v>70</v>
      </c>
      <c r="M187" s="79" t="s">
        <v>70</v>
      </c>
    </row>
    <row r="188" spans="1:22" x14ac:dyDescent="0.3">
      <c r="A188">
        <v>900000</v>
      </c>
      <c r="B188" s="11">
        <v>54300</v>
      </c>
      <c r="C188" s="77" t="s">
        <v>70</v>
      </c>
      <c r="D188" s="77" t="s">
        <v>70</v>
      </c>
      <c r="E188" s="77" t="s">
        <v>70</v>
      </c>
      <c r="F188" s="77" t="s">
        <v>70</v>
      </c>
      <c r="G188" s="77" t="s">
        <v>70</v>
      </c>
      <c r="H188" s="77" t="s">
        <v>70</v>
      </c>
      <c r="I188" s="77" t="s">
        <v>70</v>
      </c>
      <c r="J188" s="77" t="s">
        <v>70</v>
      </c>
      <c r="K188" s="77" t="s">
        <v>70</v>
      </c>
      <c r="L188" s="77" t="s">
        <v>70</v>
      </c>
      <c r="M188" s="79" t="s">
        <v>70</v>
      </c>
    </row>
    <row r="189" spans="1:22" x14ac:dyDescent="0.3">
      <c r="A189">
        <v>1000000</v>
      </c>
      <c r="B189" s="76" t="s">
        <v>70</v>
      </c>
      <c r="C189" s="78" t="s">
        <v>70</v>
      </c>
      <c r="D189" s="78" t="s">
        <v>70</v>
      </c>
      <c r="E189" s="78" t="s">
        <v>70</v>
      </c>
      <c r="F189" s="78" t="s">
        <v>70</v>
      </c>
      <c r="G189" s="78" t="s">
        <v>70</v>
      </c>
      <c r="H189" s="78" t="s">
        <v>70</v>
      </c>
      <c r="I189" s="78" t="s">
        <v>70</v>
      </c>
      <c r="J189" s="78" t="s">
        <v>70</v>
      </c>
      <c r="K189" s="78" t="s">
        <v>70</v>
      </c>
      <c r="L189" s="78" t="s">
        <v>70</v>
      </c>
      <c r="M189" s="80" t="s">
        <v>70</v>
      </c>
    </row>
    <row r="191" spans="1:22" x14ac:dyDescent="0.3">
      <c r="A191" s="74" t="s">
        <v>135</v>
      </c>
      <c r="B191">
        <v>50000</v>
      </c>
      <c r="C191">
        <v>100000</v>
      </c>
      <c r="D191">
        <v>150000</v>
      </c>
      <c r="E191">
        <v>200000</v>
      </c>
      <c r="F191">
        <v>250000</v>
      </c>
      <c r="G191">
        <v>300000</v>
      </c>
      <c r="H191">
        <v>350000</v>
      </c>
      <c r="I191">
        <v>400000</v>
      </c>
      <c r="J191">
        <v>450000</v>
      </c>
      <c r="K191">
        <v>500000</v>
      </c>
      <c r="L191">
        <v>550000</v>
      </c>
      <c r="M191">
        <v>600000</v>
      </c>
    </row>
    <row r="192" spans="1:22" x14ac:dyDescent="0.3">
      <c r="A192">
        <v>200000</v>
      </c>
      <c r="B192" s="91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6">
        <v>0</v>
      </c>
    </row>
    <row r="193" spans="1:13" x14ac:dyDescent="0.3">
      <c r="A193">
        <v>300000</v>
      </c>
      <c r="B193" s="1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7">
        <v>0</v>
      </c>
    </row>
    <row r="194" spans="1:13" x14ac:dyDescent="0.3">
      <c r="A194">
        <v>400000</v>
      </c>
      <c r="B194" s="1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79" t="s">
        <v>70</v>
      </c>
    </row>
    <row r="195" spans="1:13" x14ac:dyDescent="0.3">
      <c r="A195">
        <v>500000</v>
      </c>
      <c r="B195" s="1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77" t="s">
        <v>70</v>
      </c>
      <c r="L195" s="77" t="s">
        <v>70</v>
      </c>
      <c r="M195" s="79" t="s">
        <v>70</v>
      </c>
    </row>
    <row r="196" spans="1:13" x14ac:dyDescent="0.3">
      <c r="A196">
        <v>600000</v>
      </c>
      <c r="B196" s="1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77" t="s">
        <v>70</v>
      </c>
      <c r="J196" s="77" t="s">
        <v>70</v>
      </c>
      <c r="K196" s="77" t="s">
        <v>70</v>
      </c>
      <c r="L196" s="77" t="s">
        <v>70</v>
      </c>
      <c r="M196" s="79" t="s">
        <v>70</v>
      </c>
    </row>
    <row r="197" spans="1:13" x14ac:dyDescent="0.3">
      <c r="A197">
        <v>700000</v>
      </c>
      <c r="B197" s="11">
        <v>0</v>
      </c>
      <c r="C197">
        <v>0</v>
      </c>
      <c r="D197">
        <v>0</v>
      </c>
      <c r="E197">
        <v>0</v>
      </c>
      <c r="F197">
        <v>0</v>
      </c>
      <c r="G197" s="77" t="s">
        <v>70</v>
      </c>
      <c r="H197" s="77" t="s">
        <v>70</v>
      </c>
      <c r="I197" s="77" t="s">
        <v>70</v>
      </c>
      <c r="J197" s="77" t="s">
        <v>70</v>
      </c>
      <c r="K197" s="77" t="s">
        <v>70</v>
      </c>
      <c r="L197" s="77" t="s">
        <v>70</v>
      </c>
      <c r="M197" s="79" t="s">
        <v>70</v>
      </c>
    </row>
    <row r="198" spans="1:13" x14ac:dyDescent="0.3">
      <c r="A198">
        <v>800000</v>
      </c>
      <c r="B198" s="11">
        <v>0</v>
      </c>
      <c r="C198">
        <v>0</v>
      </c>
      <c r="D198">
        <v>0</v>
      </c>
      <c r="E198" s="77" t="s">
        <v>70</v>
      </c>
      <c r="F198" s="77" t="s">
        <v>70</v>
      </c>
      <c r="G198" s="77" t="s">
        <v>70</v>
      </c>
      <c r="H198" s="77" t="s">
        <v>70</v>
      </c>
      <c r="I198" s="77" t="s">
        <v>70</v>
      </c>
      <c r="J198" s="77" t="s">
        <v>70</v>
      </c>
      <c r="K198" s="77" t="s">
        <v>70</v>
      </c>
      <c r="L198" s="77" t="s">
        <v>70</v>
      </c>
      <c r="M198" s="79" t="s">
        <v>70</v>
      </c>
    </row>
    <row r="199" spans="1:13" x14ac:dyDescent="0.3">
      <c r="A199">
        <v>900000</v>
      </c>
      <c r="B199" s="11">
        <v>0</v>
      </c>
      <c r="C199" s="77" t="s">
        <v>70</v>
      </c>
      <c r="D199" s="77" t="s">
        <v>70</v>
      </c>
      <c r="E199" s="77" t="s">
        <v>70</v>
      </c>
      <c r="F199" s="77" t="s">
        <v>70</v>
      </c>
      <c r="G199" s="77" t="s">
        <v>70</v>
      </c>
      <c r="H199" s="77" t="s">
        <v>70</v>
      </c>
      <c r="I199" s="77" t="s">
        <v>70</v>
      </c>
      <c r="J199" s="77" t="s">
        <v>70</v>
      </c>
      <c r="K199" s="77" t="s">
        <v>70</v>
      </c>
      <c r="L199" s="77" t="s">
        <v>70</v>
      </c>
      <c r="M199" s="79" t="s">
        <v>70</v>
      </c>
    </row>
    <row r="200" spans="1:13" x14ac:dyDescent="0.3">
      <c r="A200">
        <v>1000000</v>
      </c>
      <c r="B200" s="76" t="s">
        <v>70</v>
      </c>
      <c r="C200" s="78" t="s">
        <v>70</v>
      </c>
      <c r="D200" s="78" t="s">
        <v>70</v>
      </c>
      <c r="E200" s="78" t="s">
        <v>70</v>
      </c>
      <c r="F200" s="78" t="s">
        <v>70</v>
      </c>
      <c r="G200" s="78" t="s">
        <v>70</v>
      </c>
      <c r="H200" s="78" t="s">
        <v>70</v>
      </c>
      <c r="I200" s="78" t="s">
        <v>70</v>
      </c>
      <c r="J200" s="78" t="s">
        <v>70</v>
      </c>
      <c r="K200" s="78" t="s">
        <v>70</v>
      </c>
      <c r="L200" s="78" t="s">
        <v>70</v>
      </c>
      <c r="M200" s="80" t="s">
        <v>70</v>
      </c>
    </row>
    <row r="202" spans="1:13" x14ac:dyDescent="0.3">
      <c r="A202" s="74" t="s">
        <v>136</v>
      </c>
      <c r="B202">
        <v>50000</v>
      </c>
      <c r="C202">
        <v>100000</v>
      </c>
      <c r="D202">
        <v>150000</v>
      </c>
      <c r="E202">
        <v>200000</v>
      </c>
      <c r="F202">
        <v>250000</v>
      </c>
      <c r="G202">
        <v>300000</v>
      </c>
      <c r="H202">
        <v>350000</v>
      </c>
      <c r="I202">
        <v>400000</v>
      </c>
      <c r="J202">
        <v>450000</v>
      </c>
      <c r="K202">
        <v>500000</v>
      </c>
      <c r="L202">
        <v>550000</v>
      </c>
      <c r="M202">
        <v>600000</v>
      </c>
    </row>
    <row r="203" spans="1:13" x14ac:dyDescent="0.3">
      <c r="A203">
        <v>200000</v>
      </c>
      <c r="B203" s="91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6">
        <v>0</v>
      </c>
    </row>
    <row r="204" spans="1:13" x14ac:dyDescent="0.3">
      <c r="A204">
        <v>300000</v>
      </c>
      <c r="B204" s="1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7">
        <v>0</v>
      </c>
    </row>
    <row r="205" spans="1:13" x14ac:dyDescent="0.3">
      <c r="A205">
        <v>400000</v>
      </c>
      <c r="B205" s="1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79" t="s">
        <v>70</v>
      </c>
    </row>
    <row r="206" spans="1:13" x14ac:dyDescent="0.3">
      <c r="A206">
        <v>500000</v>
      </c>
      <c r="B206" s="1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77" t="s">
        <v>70</v>
      </c>
      <c r="L206" s="77" t="s">
        <v>70</v>
      </c>
      <c r="M206" s="79" t="s">
        <v>70</v>
      </c>
    </row>
    <row r="207" spans="1:13" x14ac:dyDescent="0.3">
      <c r="A207">
        <v>600000</v>
      </c>
      <c r="B207" s="1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77" t="s">
        <v>70</v>
      </c>
      <c r="J207" s="77" t="s">
        <v>70</v>
      </c>
      <c r="K207" s="77" t="s">
        <v>70</v>
      </c>
      <c r="L207" s="77" t="s">
        <v>70</v>
      </c>
      <c r="M207" s="79" t="s">
        <v>70</v>
      </c>
    </row>
    <row r="208" spans="1:13" x14ac:dyDescent="0.3">
      <c r="A208">
        <v>700000</v>
      </c>
      <c r="B208" s="11">
        <v>0</v>
      </c>
      <c r="C208">
        <v>0</v>
      </c>
      <c r="D208">
        <v>0</v>
      </c>
      <c r="E208">
        <v>0</v>
      </c>
      <c r="F208">
        <v>0</v>
      </c>
      <c r="G208" s="77" t="s">
        <v>70</v>
      </c>
      <c r="H208" s="77" t="s">
        <v>70</v>
      </c>
      <c r="I208" s="77" t="s">
        <v>70</v>
      </c>
      <c r="J208" s="77" t="s">
        <v>70</v>
      </c>
      <c r="K208" s="77" t="s">
        <v>70</v>
      </c>
      <c r="L208" s="77" t="s">
        <v>70</v>
      </c>
      <c r="M208" s="79" t="s">
        <v>70</v>
      </c>
    </row>
    <row r="209" spans="1:13" x14ac:dyDescent="0.3">
      <c r="A209">
        <v>800000</v>
      </c>
      <c r="B209" s="11">
        <v>0</v>
      </c>
      <c r="C209">
        <v>0</v>
      </c>
      <c r="D209">
        <v>0</v>
      </c>
      <c r="E209" s="77" t="s">
        <v>70</v>
      </c>
      <c r="F209" s="77" t="s">
        <v>70</v>
      </c>
      <c r="G209" s="77" t="s">
        <v>70</v>
      </c>
      <c r="H209" s="77" t="s">
        <v>70</v>
      </c>
      <c r="I209" s="77" t="s">
        <v>70</v>
      </c>
      <c r="J209" s="77" t="s">
        <v>70</v>
      </c>
      <c r="K209" s="77" t="s">
        <v>70</v>
      </c>
      <c r="L209" s="77" t="s">
        <v>70</v>
      </c>
      <c r="M209" s="79" t="s">
        <v>70</v>
      </c>
    </row>
    <row r="210" spans="1:13" x14ac:dyDescent="0.3">
      <c r="A210">
        <v>900000</v>
      </c>
      <c r="B210" s="11">
        <v>0</v>
      </c>
      <c r="C210" s="77" t="s">
        <v>70</v>
      </c>
      <c r="D210" s="77" t="s">
        <v>70</v>
      </c>
      <c r="E210" s="77" t="s">
        <v>70</v>
      </c>
      <c r="F210" s="77" t="s">
        <v>70</v>
      </c>
      <c r="G210" s="77" t="s">
        <v>70</v>
      </c>
      <c r="H210" s="77" t="s">
        <v>70</v>
      </c>
      <c r="I210" s="77" t="s">
        <v>70</v>
      </c>
      <c r="J210" s="77" t="s">
        <v>70</v>
      </c>
      <c r="K210" s="77" t="s">
        <v>70</v>
      </c>
      <c r="L210" s="77" t="s">
        <v>70</v>
      </c>
      <c r="M210" s="79" t="s">
        <v>70</v>
      </c>
    </row>
    <row r="211" spans="1:13" x14ac:dyDescent="0.3">
      <c r="A211">
        <v>1000000</v>
      </c>
      <c r="B211" s="76" t="s">
        <v>70</v>
      </c>
      <c r="C211" s="78" t="s">
        <v>70</v>
      </c>
      <c r="D211" s="78" t="s">
        <v>70</v>
      </c>
      <c r="E211" s="78" t="s">
        <v>70</v>
      </c>
      <c r="F211" s="78" t="s">
        <v>70</v>
      </c>
      <c r="G211" s="78" t="s">
        <v>70</v>
      </c>
      <c r="H211" s="78" t="s">
        <v>70</v>
      </c>
      <c r="I211" s="78" t="s">
        <v>70</v>
      </c>
      <c r="J211" s="78" t="s">
        <v>70</v>
      </c>
      <c r="K211" s="78" t="s">
        <v>70</v>
      </c>
      <c r="L211" s="78" t="s">
        <v>70</v>
      </c>
      <c r="M211" s="80" t="s">
        <v>70</v>
      </c>
    </row>
  </sheetData>
  <dataValidations count="3">
    <dataValidation type="list" allowBlank="1" showInputMessage="1" showErrorMessage="1" sqref="O4 S4" xr:uid="{33C1BB32-3C34-4ECE-BA29-F8E768272B8B}">
      <formula1>OutputAddresses</formula1>
    </dataValidation>
    <dataValidation type="list" allowBlank="1" showInputMessage="1" showErrorMessage="1" sqref="P4" xr:uid="{D205DCFD-1C0B-47B0-BD8D-45CFDCEED48A}">
      <formula1>InputValues1</formula1>
    </dataValidation>
    <dataValidation type="list" allowBlank="1" showInputMessage="1" showErrorMessage="1" sqref="T4" xr:uid="{4FA3D079-EBC1-4A97-B256-9CA35B8C9C43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EBF0-6955-4A80-BEFD-A14E09D18CAE}">
  <dimension ref="A1:Q157"/>
  <sheetViews>
    <sheetView workbookViewId="0">
      <selection activeCell="I22" sqref="I22"/>
    </sheetView>
  </sheetViews>
  <sheetFormatPr defaultRowHeight="14.4" x14ac:dyDescent="0.3"/>
  <cols>
    <col min="1" max="1" width="6.5546875" bestFit="1" customWidth="1"/>
    <col min="2" max="2" width="9.44140625" bestFit="1" customWidth="1"/>
    <col min="3" max="3" width="7.88671875" bestFit="1" customWidth="1"/>
    <col min="4" max="4" width="7.33203125" bestFit="1" customWidth="1"/>
    <col min="5" max="5" width="11.21875" bestFit="1" customWidth="1"/>
    <col min="6" max="6" width="10.77734375" bestFit="1" customWidth="1"/>
    <col min="7" max="7" width="8.5546875" bestFit="1" customWidth="1"/>
    <col min="16" max="16" width="10.77734375" bestFit="1" customWidth="1"/>
  </cols>
  <sheetData>
    <row r="1" spans="1:17" x14ac:dyDescent="0.3">
      <c r="A1" s="81" t="s">
        <v>76</v>
      </c>
      <c r="B1" s="81" t="s">
        <v>10</v>
      </c>
      <c r="C1" s="81" t="s">
        <v>5</v>
      </c>
      <c r="D1" s="81" t="s">
        <v>6</v>
      </c>
      <c r="E1" s="81" t="s">
        <v>77</v>
      </c>
      <c r="F1" s="81" t="s">
        <v>8</v>
      </c>
      <c r="G1" s="81" t="s">
        <v>9</v>
      </c>
      <c r="L1" s="1" t="s">
        <v>10</v>
      </c>
      <c r="M1" s="1" t="s">
        <v>5</v>
      </c>
      <c r="N1" s="1" t="s">
        <v>6</v>
      </c>
      <c r="O1" s="1" t="s">
        <v>77</v>
      </c>
      <c r="P1" s="81" t="s">
        <v>8</v>
      </c>
      <c r="Q1" s="81" t="s">
        <v>9</v>
      </c>
    </row>
    <row r="2" spans="1:17" x14ac:dyDescent="0.3">
      <c r="A2" s="82">
        <v>1</v>
      </c>
      <c r="B2" s="82">
        <v>552080</v>
      </c>
      <c r="C2" s="82">
        <v>847223</v>
      </c>
      <c r="D2" s="82">
        <v>820125</v>
      </c>
      <c r="E2" s="82">
        <v>649266</v>
      </c>
      <c r="F2" s="82">
        <v>447492</v>
      </c>
      <c r="G2" s="82">
        <v>356065</v>
      </c>
      <c r="L2">
        <v>554121</v>
      </c>
      <c r="M2" t="e" cm="1">
        <f t="array" aca="1" ref="M2" ca="1">_xll.RiskNormal(852364,52664,_xll.RiskName("Chennai 2"))</f>
        <v>#NAME?</v>
      </c>
      <c r="N2" t="e" cm="1">
        <f t="array" aca="1" ref="N2" ca="1">_xll.RiskNormal(755042,32811,_xll.RiskName("Mysore"))</f>
        <v>#NAME?</v>
      </c>
      <c r="O2" t="e" cm="1">
        <f t="array" aca="1" ref="O2" ca="1">_xll.RiskNormal(649258,42497,_xll.RiskName("Hyderabaad"))</f>
        <v>#NAME?</v>
      </c>
      <c r="P2" t="e" cm="1">
        <f t="array" aca="1" ref="P2" ca="1">_xll.RiskNormal(447289,27411,_xll.RiskName("Haryana"))</f>
        <v>#NAME?</v>
      </c>
      <c r="Q2" t="e" cm="1">
        <f t="array" aca="1" ref="Q2" ca="1">_xll.RiskNormal(355063,13876,_xll.RiskName("Tirupathi"))</f>
        <v>#NAME?</v>
      </c>
    </row>
    <row r="3" spans="1:17" x14ac:dyDescent="0.3">
      <c r="A3" s="82">
        <v>2</v>
      </c>
      <c r="B3" s="82">
        <v>581612</v>
      </c>
      <c r="C3" s="82">
        <v>724358</v>
      </c>
      <c r="D3" s="82">
        <v>778444</v>
      </c>
      <c r="E3" s="82">
        <v>675432</v>
      </c>
      <c r="F3" s="82">
        <v>434849</v>
      </c>
      <c r="G3" s="82">
        <v>362160</v>
      </c>
    </row>
    <row r="4" spans="1:17" x14ac:dyDescent="0.3">
      <c r="A4" s="82">
        <v>3</v>
      </c>
      <c r="B4" s="82">
        <v>497834</v>
      </c>
      <c r="C4" s="82">
        <v>807848</v>
      </c>
      <c r="D4" s="82">
        <v>760041</v>
      </c>
      <c r="E4" s="82">
        <v>626512</v>
      </c>
      <c r="F4" s="82">
        <v>508464</v>
      </c>
      <c r="G4" s="82">
        <v>350548</v>
      </c>
    </row>
    <row r="5" spans="1:17" x14ac:dyDescent="0.3">
      <c r="A5" s="82">
        <v>4</v>
      </c>
      <c r="B5" s="82">
        <v>532542</v>
      </c>
      <c r="C5" s="82">
        <v>882657</v>
      </c>
      <c r="D5" s="82">
        <v>785555</v>
      </c>
      <c r="E5" s="82">
        <v>681258</v>
      </c>
      <c r="F5" s="82">
        <v>421911</v>
      </c>
      <c r="G5" s="82">
        <v>365249</v>
      </c>
    </row>
    <row r="6" spans="1:17" x14ac:dyDescent="0.3">
      <c r="A6" s="82">
        <v>5</v>
      </c>
      <c r="B6" s="82">
        <v>573318</v>
      </c>
      <c r="C6" s="82">
        <v>794817</v>
      </c>
      <c r="D6" s="82">
        <v>767269</v>
      </c>
      <c r="E6" s="82">
        <v>676520</v>
      </c>
      <c r="F6" s="82">
        <v>455494</v>
      </c>
      <c r="G6" s="82">
        <v>382459</v>
      </c>
    </row>
    <row r="7" spans="1:17" x14ac:dyDescent="0.3">
      <c r="A7" s="82">
        <v>6</v>
      </c>
      <c r="B7" s="82">
        <v>605068</v>
      </c>
      <c r="C7" s="82">
        <v>915346</v>
      </c>
      <c r="D7" s="82">
        <v>772851</v>
      </c>
      <c r="E7" s="82">
        <v>645207</v>
      </c>
      <c r="F7" s="82">
        <v>401225</v>
      </c>
      <c r="G7" s="82">
        <v>351515</v>
      </c>
    </row>
    <row r="8" spans="1:17" x14ac:dyDescent="0.3">
      <c r="A8" s="82">
        <v>7</v>
      </c>
      <c r="B8" s="82">
        <v>521871</v>
      </c>
      <c r="C8" s="82">
        <v>851275</v>
      </c>
      <c r="D8" s="82">
        <v>724795</v>
      </c>
      <c r="E8" s="82">
        <v>666058</v>
      </c>
      <c r="F8" s="82">
        <v>459766</v>
      </c>
      <c r="G8" s="82">
        <v>355311</v>
      </c>
    </row>
    <row r="9" spans="1:17" x14ac:dyDescent="0.3">
      <c r="A9" s="82">
        <v>8</v>
      </c>
      <c r="B9" s="82">
        <v>560642</v>
      </c>
      <c r="C9" s="82">
        <v>830059</v>
      </c>
      <c r="D9" s="82">
        <v>727400</v>
      </c>
      <c r="E9" s="82">
        <v>623084</v>
      </c>
      <c r="F9" s="82">
        <v>432904</v>
      </c>
      <c r="G9" s="82">
        <v>348554</v>
      </c>
    </row>
    <row r="10" spans="1:17" x14ac:dyDescent="0.3">
      <c r="A10" s="82">
        <v>9</v>
      </c>
      <c r="B10" s="82">
        <v>578412</v>
      </c>
      <c r="C10" s="82">
        <v>963669</v>
      </c>
      <c r="D10" s="82">
        <v>701797</v>
      </c>
      <c r="E10" s="82">
        <v>708222</v>
      </c>
      <c r="F10" s="82">
        <v>452937</v>
      </c>
      <c r="G10" s="82">
        <v>344065</v>
      </c>
    </row>
    <row r="11" spans="1:17" x14ac:dyDescent="0.3">
      <c r="A11" s="82">
        <v>10</v>
      </c>
      <c r="B11" s="82">
        <v>512921</v>
      </c>
      <c r="C11" s="82">
        <v>841963</v>
      </c>
      <c r="D11" s="82">
        <v>772420</v>
      </c>
      <c r="E11" s="82">
        <v>649990</v>
      </c>
      <c r="F11" s="82">
        <v>410769</v>
      </c>
      <c r="G11" s="82">
        <v>360152</v>
      </c>
    </row>
    <row r="12" spans="1:17" x14ac:dyDescent="0.3">
      <c r="A12" s="82">
        <v>11</v>
      </c>
      <c r="B12" s="82">
        <v>548677</v>
      </c>
      <c r="C12" s="82">
        <v>825237</v>
      </c>
      <c r="D12" s="82">
        <v>745872</v>
      </c>
      <c r="E12" s="82">
        <v>562707</v>
      </c>
      <c r="F12" s="82">
        <v>430985</v>
      </c>
      <c r="G12" s="82">
        <v>334158</v>
      </c>
    </row>
    <row r="13" spans="1:17" x14ac:dyDescent="0.3">
      <c r="A13" s="82">
        <v>12</v>
      </c>
      <c r="B13" s="82">
        <v>496554</v>
      </c>
      <c r="C13" s="82">
        <v>826955</v>
      </c>
      <c r="D13" s="82">
        <v>730481</v>
      </c>
      <c r="E13" s="82">
        <v>649106</v>
      </c>
      <c r="F13" s="82">
        <v>455192</v>
      </c>
      <c r="G13" s="82">
        <v>385761</v>
      </c>
    </row>
    <row r="14" spans="1:17" x14ac:dyDescent="0.3">
      <c r="A14" s="82">
        <v>13</v>
      </c>
      <c r="B14" s="82">
        <v>548451</v>
      </c>
      <c r="C14" s="82">
        <v>927318</v>
      </c>
      <c r="D14" s="82">
        <v>704138</v>
      </c>
      <c r="E14" s="82">
        <v>638025</v>
      </c>
      <c r="F14" s="82">
        <v>493618</v>
      </c>
      <c r="G14" s="82">
        <v>355647</v>
      </c>
    </row>
    <row r="15" spans="1:17" x14ac:dyDescent="0.3">
      <c r="A15" s="82">
        <v>14</v>
      </c>
      <c r="B15" s="82">
        <v>546406</v>
      </c>
      <c r="C15" s="82">
        <v>864457</v>
      </c>
      <c r="D15" s="82">
        <v>837204</v>
      </c>
      <c r="E15" s="82">
        <v>728318</v>
      </c>
      <c r="F15" s="82">
        <v>460799</v>
      </c>
      <c r="G15" s="82">
        <v>383417</v>
      </c>
    </row>
    <row r="16" spans="1:17" x14ac:dyDescent="0.3">
      <c r="A16" s="82">
        <v>15</v>
      </c>
      <c r="B16" s="82">
        <v>562304</v>
      </c>
      <c r="C16" s="82">
        <v>873818</v>
      </c>
      <c r="D16" s="82">
        <v>731346</v>
      </c>
      <c r="E16" s="82">
        <v>621855</v>
      </c>
      <c r="F16" s="82">
        <v>427810</v>
      </c>
      <c r="G16" s="82">
        <v>389693</v>
      </c>
    </row>
    <row r="17" spans="1:7" x14ac:dyDescent="0.3">
      <c r="A17" s="82">
        <v>16</v>
      </c>
      <c r="B17" s="82">
        <v>551161</v>
      </c>
      <c r="C17" s="82">
        <v>867485</v>
      </c>
      <c r="D17" s="82">
        <v>724095</v>
      </c>
      <c r="E17" s="82">
        <v>674343</v>
      </c>
      <c r="F17" s="82">
        <v>470198</v>
      </c>
      <c r="G17" s="82">
        <v>348468</v>
      </c>
    </row>
    <row r="18" spans="1:7" x14ac:dyDescent="0.3">
      <c r="A18" s="82">
        <v>17</v>
      </c>
      <c r="B18" s="82">
        <v>514165</v>
      </c>
      <c r="C18" s="82">
        <v>776969</v>
      </c>
      <c r="D18" s="82">
        <v>755917</v>
      </c>
      <c r="E18" s="82">
        <v>724043</v>
      </c>
      <c r="F18" s="82">
        <v>447123</v>
      </c>
      <c r="G18" s="82">
        <v>367863</v>
      </c>
    </row>
    <row r="19" spans="1:7" x14ac:dyDescent="0.3">
      <c r="A19" s="82">
        <v>18</v>
      </c>
      <c r="B19" s="82">
        <v>622731</v>
      </c>
      <c r="C19" s="82">
        <v>841962</v>
      </c>
      <c r="D19" s="82">
        <v>753936</v>
      </c>
      <c r="E19" s="82">
        <v>670877</v>
      </c>
      <c r="F19" s="82">
        <v>390611</v>
      </c>
      <c r="G19" s="82">
        <v>350473</v>
      </c>
    </row>
    <row r="20" spans="1:7" x14ac:dyDescent="0.3">
      <c r="A20" s="82">
        <v>19</v>
      </c>
      <c r="B20" s="82">
        <v>545653</v>
      </c>
      <c r="C20" s="82">
        <v>979588</v>
      </c>
      <c r="D20" s="82">
        <v>818303</v>
      </c>
      <c r="E20" s="82">
        <v>637892</v>
      </c>
      <c r="F20" s="82">
        <v>444021</v>
      </c>
      <c r="G20" s="82">
        <v>330938</v>
      </c>
    </row>
    <row r="21" spans="1:7" x14ac:dyDescent="0.3">
      <c r="A21" s="82">
        <v>20</v>
      </c>
      <c r="B21" s="82">
        <v>541150</v>
      </c>
      <c r="C21" s="82">
        <v>793237</v>
      </c>
      <c r="D21" s="82">
        <v>723080</v>
      </c>
      <c r="E21" s="82">
        <v>637279</v>
      </c>
      <c r="F21" s="82">
        <v>486824</v>
      </c>
      <c r="G21" s="82">
        <v>353530</v>
      </c>
    </row>
    <row r="22" spans="1:7" x14ac:dyDescent="0.3">
      <c r="A22" s="82">
        <v>21</v>
      </c>
      <c r="B22" s="82">
        <v>528151</v>
      </c>
      <c r="C22" s="82">
        <v>870565</v>
      </c>
      <c r="D22" s="82">
        <v>750623</v>
      </c>
      <c r="E22" s="82">
        <v>647261</v>
      </c>
      <c r="F22" s="82">
        <v>438915</v>
      </c>
      <c r="G22" s="82">
        <v>333621</v>
      </c>
    </row>
    <row r="23" spans="1:7" x14ac:dyDescent="0.3">
      <c r="A23" s="82">
        <v>22</v>
      </c>
      <c r="B23" s="82">
        <v>565804</v>
      </c>
      <c r="C23" s="82">
        <v>815841</v>
      </c>
      <c r="D23" s="82">
        <v>716277</v>
      </c>
      <c r="E23" s="82">
        <v>627792</v>
      </c>
      <c r="F23" s="82">
        <v>458731</v>
      </c>
      <c r="G23" s="82">
        <v>360306</v>
      </c>
    </row>
    <row r="24" spans="1:7" x14ac:dyDescent="0.3">
      <c r="A24" s="82">
        <v>23</v>
      </c>
      <c r="B24" s="82">
        <v>522617</v>
      </c>
      <c r="C24" s="82">
        <v>853778</v>
      </c>
      <c r="D24" s="82">
        <v>740159</v>
      </c>
      <c r="E24" s="82">
        <v>671396</v>
      </c>
      <c r="F24" s="82">
        <v>406059</v>
      </c>
      <c r="G24" s="82">
        <v>335620</v>
      </c>
    </row>
    <row r="25" spans="1:7" x14ac:dyDescent="0.3">
      <c r="A25" s="82">
        <v>24</v>
      </c>
      <c r="B25" s="82">
        <v>571803</v>
      </c>
      <c r="C25" s="82">
        <v>878036</v>
      </c>
      <c r="D25" s="82">
        <v>722725</v>
      </c>
      <c r="E25" s="82">
        <v>619845</v>
      </c>
      <c r="F25" s="82">
        <v>489205</v>
      </c>
      <c r="G25" s="82">
        <v>345762</v>
      </c>
    </row>
    <row r="26" spans="1:7" x14ac:dyDescent="0.3">
      <c r="A26" s="82">
        <v>25</v>
      </c>
      <c r="B26" s="82">
        <v>597841</v>
      </c>
      <c r="C26" s="82">
        <v>883363</v>
      </c>
      <c r="D26" s="82">
        <v>754798</v>
      </c>
      <c r="E26" s="82">
        <v>723846</v>
      </c>
      <c r="F26" s="82">
        <v>416450</v>
      </c>
      <c r="G26" s="82">
        <v>375144</v>
      </c>
    </row>
    <row r="27" spans="1:7" x14ac:dyDescent="0.3">
      <c r="A27" s="82">
        <v>26</v>
      </c>
      <c r="B27" s="82">
        <v>509785</v>
      </c>
      <c r="C27" s="82">
        <v>873832</v>
      </c>
      <c r="D27" s="82">
        <v>748337</v>
      </c>
      <c r="E27" s="82">
        <v>680437</v>
      </c>
      <c r="F27" s="82">
        <v>407849</v>
      </c>
      <c r="G27" s="82">
        <v>364752</v>
      </c>
    </row>
    <row r="28" spans="1:7" x14ac:dyDescent="0.3">
      <c r="A28" s="82">
        <v>27</v>
      </c>
      <c r="B28" s="82">
        <v>583746</v>
      </c>
      <c r="C28" s="82">
        <v>897131</v>
      </c>
      <c r="D28" s="82">
        <v>814493</v>
      </c>
      <c r="E28" s="82">
        <v>647025</v>
      </c>
      <c r="F28" s="82">
        <v>477912</v>
      </c>
      <c r="G28" s="82">
        <v>347129</v>
      </c>
    </row>
    <row r="29" spans="1:7" x14ac:dyDescent="0.3">
      <c r="A29" s="82">
        <v>28</v>
      </c>
      <c r="B29" s="82">
        <v>559051</v>
      </c>
      <c r="C29" s="82">
        <v>931668</v>
      </c>
      <c r="D29" s="82">
        <v>761851</v>
      </c>
      <c r="E29" s="82">
        <v>675962</v>
      </c>
      <c r="F29" s="82">
        <v>447512</v>
      </c>
      <c r="G29" s="82">
        <v>354697</v>
      </c>
    </row>
    <row r="30" spans="1:7" x14ac:dyDescent="0.3">
      <c r="A30" s="82">
        <v>29</v>
      </c>
      <c r="B30" s="82">
        <v>555436</v>
      </c>
      <c r="C30" s="82">
        <v>849676</v>
      </c>
      <c r="D30" s="82">
        <v>769950</v>
      </c>
      <c r="E30" s="82">
        <v>672396</v>
      </c>
      <c r="F30" s="82">
        <v>427778</v>
      </c>
      <c r="G30" s="82">
        <v>342870</v>
      </c>
    </row>
    <row r="31" spans="1:7" x14ac:dyDescent="0.3">
      <c r="A31" s="82">
        <v>30</v>
      </c>
      <c r="B31" s="82">
        <v>559477</v>
      </c>
      <c r="C31" s="82">
        <v>717261</v>
      </c>
      <c r="D31" s="82">
        <v>779868</v>
      </c>
      <c r="E31" s="82">
        <v>648434</v>
      </c>
      <c r="F31" s="82">
        <v>454229</v>
      </c>
      <c r="G31" s="82">
        <v>345142</v>
      </c>
    </row>
    <row r="32" spans="1:7" x14ac:dyDescent="0.3">
      <c r="A32" s="82">
        <v>31</v>
      </c>
      <c r="B32" s="82">
        <v>547351</v>
      </c>
      <c r="C32" s="82">
        <v>843785</v>
      </c>
      <c r="D32" s="82">
        <v>756997</v>
      </c>
      <c r="E32" s="82">
        <v>600373</v>
      </c>
      <c r="F32" s="82">
        <v>412911</v>
      </c>
      <c r="G32" s="82">
        <v>363972</v>
      </c>
    </row>
    <row r="33" spans="1:7" x14ac:dyDescent="0.3">
      <c r="A33" s="82">
        <v>32</v>
      </c>
      <c r="B33" s="82">
        <v>589657</v>
      </c>
      <c r="C33" s="82">
        <v>787012</v>
      </c>
      <c r="D33" s="82">
        <v>780234</v>
      </c>
      <c r="E33" s="82">
        <v>668731</v>
      </c>
      <c r="F33" s="82">
        <v>478630</v>
      </c>
      <c r="G33" s="82">
        <v>353616</v>
      </c>
    </row>
    <row r="34" spans="1:7" x14ac:dyDescent="0.3">
      <c r="A34" s="82">
        <v>33</v>
      </c>
      <c r="B34" s="82">
        <v>550022</v>
      </c>
      <c r="C34" s="82">
        <v>767617</v>
      </c>
      <c r="D34" s="82">
        <v>697542</v>
      </c>
      <c r="E34" s="82">
        <v>657815</v>
      </c>
      <c r="F34" s="82">
        <v>467610</v>
      </c>
      <c r="G34" s="82">
        <v>356805</v>
      </c>
    </row>
    <row r="35" spans="1:7" x14ac:dyDescent="0.3">
      <c r="A35" s="82">
        <v>34</v>
      </c>
      <c r="B35" s="82">
        <v>585639</v>
      </c>
      <c r="C35" s="82">
        <v>855249</v>
      </c>
      <c r="D35" s="82">
        <v>788227</v>
      </c>
      <c r="E35" s="82">
        <v>571450</v>
      </c>
      <c r="F35" s="82">
        <v>468772</v>
      </c>
      <c r="G35" s="82">
        <v>350777</v>
      </c>
    </row>
    <row r="36" spans="1:7" x14ac:dyDescent="0.3">
      <c r="A36" s="82">
        <v>35</v>
      </c>
      <c r="B36" s="82">
        <v>542279</v>
      </c>
      <c r="C36" s="82">
        <v>943176</v>
      </c>
      <c r="D36" s="82">
        <v>771774</v>
      </c>
      <c r="E36" s="82">
        <v>617916</v>
      </c>
      <c r="F36" s="82">
        <v>478119</v>
      </c>
      <c r="G36" s="82">
        <v>363736</v>
      </c>
    </row>
    <row r="37" spans="1:7" x14ac:dyDescent="0.3">
      <c r="A37" s="82">
        <v>36</v>
      </c>
      <c r="B37" s="82">
        <v>529845</v>
      </c>
      <c r="C37" s="82">
        <v>841799</v>
      </c>
      <c r="D37" s="82">
        <v>770471</v>
      </c>
      <c r="E37" s="82">
        <v>707762</v>
      </c>
      <c r="F37" s="82">
        <v>439126</v>
      </c>
      <c r="G37" s="82">
        <v>360747</v>
      </c>
    </row>
    <row r="38" spans="1:7" x14ac:dyDescent="0.3">
      <c r="A38" s="82">
        <v>37</v>
      </c>
      <c r="B38" s="82">
        <v>596390</v>
      </c>
      <c r="C38" s="82">
        <v>840876</v>
      </c>
      <c r="D38" s="82">
        <v>758003</v>
      </c>
      <c r="E38" s="82">
        <v>666854</v>
      </c>
      <c r="F38" s="82">
        <v>486239</v>
      </c>
      <c r="G38" s="82">
        <v>356294</v>
      </c>
    </row>
    <row r="39" spans="1:7" x14ac:dyDescent="0.3">
      <c r="A39" s="82">
        <v>38</v>
      </c>
      <c r="B39" s="82">
        <v>546804</v>
      </c>
      <c r="C39" s="82">
        <v>847629</v>
      </c>
      <c r="D39" s="82">
        <v>778395</v>
      </c>
      <c r="E39" s="82">
        <v>611051</v>
      </c>
      <c r="F39" s="82">
        <v>451287</v>
      </c>
      <c r="G39" s="82">
        <v>336226</v>
      </c>
    </row>
    <row r="40" spans="1:7" x14ac:dyDescent="0.3">
      <c r="A40" s="82">
        <v>39</v>
      </c>
      <c r="B40" s="82">
        <v>542951</v>
      </c>
      <c r="C40" s="82">
        <v>844016</v>
      </c>
      <c r="D40" s="82">
        <v>774336</v>
      </c>
      <c r="E40" s="82">
        <v>647051</v>
      </c>
      <c r="F40" s="82">
        <v>477522</v>
      </c>
      <c r="G40" s="82">
        <v>329276</v>
      </c>
    </row>
    <row r="41" spans="1:7" x14ac:dyDescent="0.3">
      <c r="A41" s="82">
        <v>40</v>
      </c>
      <c r="B41" s="82">
        <v>538478</v>
      </c>
      <c r="C41" s="82">
        <v>884635</v>
      </c>
      <c r="D41" s="82">
        <v>733699</v>
      </c>
      <c r="E41" s="82">
        <v>665892</v>
      </c>
      <c r="F41" s="82">
        <v>469420</v>
      </c>
      <c r="G41" s="82">
        <v>352703</v>
      </c>
    </row>
    <row r="42" spans="1:7" x14ac:dyDescent="0.3">
      <c r="A42" s="82">
        <v>41</v>
      </c>
      <c r="B42" s="82">
        <v>562575</v>
      </c>
      <c r="C42" s="82">
        <v>866129</v>
      </c>
      <c r="D42" s="82">
        <v>804017</v>
      </c>
      <c r="E42" s="82">
        <v>713413</v>
      </c>
      <c r="F42" s="82">
        <v>472205</v>
      </c>
      <c r="G42" s="82">
        <v>353359</v>
      </c>
    </row>
    <row r="43" spans="1:7" x14ac:dyDescent="0.3">
      <c r="A43" s="82">
        <v>42</v>
      </c>
      <c r="B43" s="82">
        <v>540533</v>
      </c>
      <c r="C43" s="82">
        <v>820405</v>
      </c>
      <c r="D43" s="82">
        <v>742296</v>
      </c>
      <c r="E43" s="82">
        <v>671380</v>
      </c>
      <c r="F43" s="82">
        <v>413115</v>
      </c>
      <c r="G43" s="82">
        <v>386888</v>
      </c>
    </row>
    <row r="44" spans="1:7" x14ac:dyDescent="0.3">
      <c r="A44" s="82">
        <v>43</v>
      </c>
      <c r="B44" s="82">
        <v>550908</v>
      </c>
      <c r="C44" s="82">
        <v>816283</v>
      </c>
      <c r="D44" s="82">
        <v>700868</v>
      </c>
      <c r="E44" s="82">
        <v>684259</v>
      </c>
      <c r="F44" s="82">
        <v>419355</v>
      </c>
      <c r="G44" s="82">
        <v>379568</v>
      </c>
    </row>
    <row r="45" spans="1:7" x14ac:dyDescent="0.3">
      <c r="A45" s="82">
        <v>44</v>
      </c>
      <c r="B45" s="82">
        <v>540671</v>
      </c>
      <c r="C45" s="82">
        <v>840099</v>
      </c>
      <c r="D45" s="82">
        <v>803505</v>
      </c>
      <c r="E45" s="82">
        <v>642412</v>
      </c>
      <c r="F45" s="82">
        <v>464356</v>
      </c>
      <c r="G45" s="82">
        <v>368258</v>
      </c>
    </row>
    <row r="46" spans="1:7" x14ac:dyDescent="0.3">
      <c r="A46" s="82">
        <v>45</v>
      </c>
      <c r="B46" s="82">
        <v>530076</v>
      </c>
      <c r="C46" s="82">
        <v>734585</v>
      </c>
      <c r="D46" s="82">
        <v>748393</v>
      </c>
      <c r="E46" s="82">
        <v>650498</v>
      </c>
      <c r="F46" s="82">
        <v>464621</v>
      </c>
      <c r="G46" s="82">
        <v>353300</v>
      </c>
    </row>
    <row r="47" spans="1:7" x14ac:dyDescent="0.3">
      <c r="A47" s="82">
        <v>46</v>
      </c>
      <c r="B47" s="82">
        <v>572778</v>
      </c>
      <c r="C47" s="82">
        <v>835682</v>
      </c>
      <c r="D47" s="82">
        <v>798130</v>
      </c>
      <c r="E47" s="82">
        <v>641176</v>
      </c>
      <c r="F47" s="82">
        <v>498870</v>
      </c>
      <c r="G47" s="82">
        <v>362390</v>
      </c>
    </row>
    <row r="48" spans="1:7" x14ac:dyDescent="0.3">
      <c r="A48" s="82">
        <v>47</v>
      </c>
      <c r="B48" s="82">
        <v>589015</v>
      </c>
      <c r="C48" s="82">
        <v>819897</v>
      </c>
      <c r="D48" s="82">
        <v>720079</v>
      </c>
      <c r="E48" s="82">
        <v>623332</v>
      </c>
      <c r="F48" s="82">
        <v>462698</v>
      </c>
      <c r="G48" s="82">
        <v>339115</v>
      </c>
    </row>
    <row r="49" spans="1:7" x14ac:dyDescent="0.3">
      <c r="A49" s="82">
        <v>48</v>
      </c>
      <c r="B49" s="82">
        <v>535358</v>
      </c>
      <c r="C49" s="82">
        <v>876801</v>
      </c>
      <c r="D49" s="82">
        <v>767799</v>
      </c>
      <c r="E49" s="82">
        <v>684397</v>
      </c>
      <c r="F49" s="82">
        <v>460045</v>
      </c>
      <c r="G49" s="82">
        <v>360731</v>
      </c>
    </row>
    <row r="50" spans="1:7" x14ac:dyDescent="0.3">
      <c r="A50" s="82">
        <v>49</v>
      </c>
      <c r="B50" s="82">
        <v>571317</v>
      </c>
      <c r="C50" s="82">
        <v>853203</v>
      </c>
      <c r="D50" s="82">
        <v>713495</v>
      </c>
      <c r="E50" s="82">
        <v>688326</v>
      </c>
      <c r="F50" s="82">
        <v>446136</v>
      </c>
      <c r="G50" s="82">
        <v>359737</v>
      </c>
    </row>
    <row r="51" spans="1:7" x14ac:dyDescent="0.3">
      <c r="A51" s="82">
        <v>50</v>
      </c>
      <c r="B51" s="82">
        <v>482937</v>
      </c>
      <c r="C51" s="82">
        <v>884419</v>
      </c>
      <c r="D51" s="82">
        <v>744483</v>
      </c>
      <c r="E51" s="82">
        <v>713660</v>
      </c>
      <c r="F51" s="82">
        <v>483561</v>
      </c>
      <c r="G51" s="82">
        <v>352943</v>
      </c>
    </row>
    <row r="52" spans="1:7" x14ac:dyDescent="0.3">
      <c r="A52" s="82">
        <v>51</v>
      </c>
      <c r="B52" s="82">
        <v>542712</v>
      </c>
      <c r="C52" s="82">
        <v>845566</v>
      </c>
      <c r="D52" s="82">
        <v>725859</v>
      </c>
      <c r="E52" s="82">
        <v>661893</v>
      </c>
      <c r="F52" s="82">
        <v>460037</v>
      </c>
      <c r="G52" s="82">
        <v>366628</v>
      </c>
    </row>
    <row r="53" spans="1:7" x14ac:dyDescent="0.3">
      <c r="A53" s="82">
        <v>52</v>
      </c>
      <c r="B53" s="82">
        <v>519692</v>
      </c>
      <c r="C53" s="82">
        <v>879839</v>
      </c>
      <c r="D53" s="82">
        <v>748965</v>
      </c>
      <c r="E53" s="82">
        <v>574121</v>
      </c>
      <c r="F53" s="82">
        <v>458691</v>
      </c>
      <c r="G53" s="82">
        <v>373920</v>
      </c>
    </row>
    <row r="54" spans="1:7" x14ac:dyDescent="0.3">
      <c r="A54" s="82">
        <v>53</v>
      </c>
      <c r="B54" s="82">
        <v>593260</v>
      </c>
      <c r="C54" s="82">
        <v>803947</v>
      </c>
      <c r="D54" s="82">
        <v>717292</v>
      </c>
      <c r="E54" s="82">
        <v>629908</v>
      </c>
      <c r="F54" s="82">
        <v>471229</v>
      </c>
      <c r="G54" s="82">
        <v>361159</v>
      </c>
    </row>
    <row r="55" spans="1:7" x14ac:dyDescent="0.3">
      <c r="A55" s="82">
        <v>54</v>
      </c>
      <c r="B55" s="82">
        <v>607674</v>
      </c>
      <c r="C55" s="82">
        <v>980607</v>
      </c>
      <c r="D55" s="82">
        <v>720991</v>
      </c>
      <c r="E55" s="82">
        <v>638836</v>
      </c>
      <c r="F55" s="82">
        <v>454067</v>
      </c>
      <c r="G55" s="82">
        <v>370998</v>
      </c>
    </row>
    <row r="56" spans="1:7" x14ac:dyDescent="0.3">
      <c r="A56" s="82">
        <v>55</v>
      </c>
      <c r="B56" s="82">
        <v>563552</v>
      </c>
      <c r="C56" s="82">
        <v>807987</v>
      </c>
      <c r="D56" s="82">
        <v>708082</v>
      </c>
      <c r="E56" s="82">
        <v>687126</v>
      </c>
      <c r="F56" s="82">
        <v>489634</v>
      </c>
      <c r="G56" s="82">
        <v>361290</v>
      </c>
    </row>
    <row r="57" spans="1:7" x14ac:dyDescent="0.3">
      <c r="A57" s="82">
        <v>56</v>
      </c>
      <c r="B57" s="82">
        <v>566133</v>
      </c>
      <c r="C57" s="82">
        <v>739497</v>
      </c>
      <c r="D57" s="82">
        <v>744583</v>
      </c>
      <c r="E57" s="82">
        <v>692117</v>
      </c>
      <c r="F57" s="82">
        <v>461917</v>
      </c>
      <c r="G57" s="82">
        <v>374134</v>
      </c>
    </row>
    <row r="58" spans="1:7" x14ac:dyDescent="0.3">
      <c r="A58" s="82">
        <v>57</v>
      </c>
      <c r="B58" s="82">
        <v>520056</v>
      </c>
      <c r="C58" s="82">
        <v>890580</v>
      </c>
      <c r="D58" s="82">
        <v>786027</v>
      </c>
      <c r="E58" s="82">
        <v>641536</v>
      </c>
      <c r="F58" s="82">
        <v>476911</v>
      </c>
      <c r="G58" s="82">
        <v>351754</v>
      </c>
    </row>
    <row r="59" spans="1:7" x14ac:dyDescent="0.3">
      <c r="A59" s="82">
        <v>58</v>
      </c>
      <c r="B59" s="82">
        <v>569618</v>
      </c>
      <c r="C59" s="82">
        <v>932897</v>
      </c>
      <c r="D59" s="82">
        <v>807260</v>
      </c>
      <c r="E59" s="82">
        <v>672758</v>
      </c>
      <c r="F59" s="82">
        <v>437669</v>
      </c>
      <c r="G59" s="82">
        <v>367400</v>
      </c>
    </row>
    <row r="60" spans="1:7" x14ac:dyDescent="0.3">
      <c r="A60" s="82">
        <v>59</v>
      </c>
      <c r="B60" s="82">
        <v>493724</v>
      </c>
      <c r="C60" s="82">
        <v>810917</v>
      </c>
      <c r="D60" s="82">
        <v>740511</v>
      </c>
      <c r="E60" s="82">
        <v>714294</v>
      </c>
      <c r="F60" s="82">
        <v>488750</v>
      </c>
      <c r="G60" s="82">
        <v>357263</v>
      </c>
    </row>
    <row r="61" spans="1:7" x14ac:dyDescent="0.3">
      <c r="A61" s="82">
        <v>60</v>
      </c>
      <c r="B61" s="82">
        <v>598207</v>
      </c>
      <c r="C61" s="82">
        <v>900044</v>
      </c>
      <c r="D61" s="82">
        <v>749741</v>
      </c>
      <c r="E61" s="82">
        <v>567199</v>
      </c>
      <c r="F61" s="82">
        <v>480437</v>
      </c>
      <c r="G61" s="82">
        <v>350653</v>
      </c>
    </row>
    <row r="62" spans="1:7" x14ac:dyDescent="0.3">
      <c r="A62" s="82">
        <v>61</v>
      </c>
      <c r="B62" s="82">
        <v>556896</v>
      </c>
      <c r="C62" s="82">
        <v>819311</v>
      </c>
      <c r="D62" s="82">
        <v>774416</v>
      </c>
      <c r="E62" s="82">
        <v>672026</v>
      </c>
      <c r="F62" s="82">
        <v>424827</v>
      </c>
      <c r="G62" s="82">
        <v>359079</v>
      </c>
    </row>
    <row r="63" spans="1:7" x14ac:dyDescent="0.3">
      <c r="A63" s="82">
        <v>62</v>
      </c>
      <c r="B63" s="82">
        <v>557308</v>
      </c>
      <c r="C63" s="82">
        <v>833284</v>
      </c>
      <c r="D63" s="82">
        <v>809827</v>
      </c>
      <c r="E63" s="82">
        <v>573478</v>
      </c>
      <c r="F63" s="82">
        <v>481557</v>
      </c>
      <c r="G63" s="82">
        <v>365768</v>
      </c>
    </row>
    <row r="64" spans="1:7" x14ac:dyDescent="0.3">
      <c r="A64" s="82">
        <v>63</v>
      </c>
      <c r="B64" s="82">
        <v>506444</v>
      </c>
      <c r="C64" s="82">
        <v>920807</v>
      </c>
      <c r="D64" s="82">
        <v>776910</v>
      </c>
      <c r="E64" s="82">
        <v>669631</v>
      </c>
      <c r="F64" s="82">
        <v>416026</v>
      </c>
      <c r="G64" s="82">
        <v>333617</v>
      </c>
    </row>
    <row r="65" spans="1:7" x14ac:dyDescent="0.3">
      <c r="A65" s="82">
        <v>64</v>
      </c>
      <c r="B65" s="82">
        <v>576419</v>
      </c>
      <c r="C65" s="82">
        <v>784041</v>
      </c>
      <c r="D65" s="82">
        <v>750707</v>
      </c>
      <c r="E65" s="82">
        <v>629407</v>
      </c>
      <c r="F65" s="82">
        <v>435133</v>
      </c>
      <c r="G65" s="82">
        <v>347555</v>
      </c>
    </row>
    <row r="66" spans="1:7" x14ac:dyDescent="0.3">
      <c r="A66" s="82">
        <v>65</v>
      </c>
      <c r="B66" s="82">
        <v>548310</v>
      </c>
      <c r="C66" s="82">
        <v>828872</v>
      </c>
      <c r="D66" s="82">
        <v>695152</v>
      </c>
      <c r="E66" s="82">
        <v>695602</v>
      </c>
      <c r="F66" s="82">
        <v>438313</v>
      </c>
      <c r="G66" s="82">
        <v>363786</v>
      </c>
    </row>
    <row r="67" spans="1:7" x14ac:dyDescent="0.3">
      <c r="A67" s="82">
        <v>66</v>
      </c>
      <c r="B67" s="82">
        <v>594240</v>
      </c>
      <c r="C67" s="82">
        <v>815011</v>
      </c>
      <c r="D67" s="82">
        <v>771826</v>
      </c>
      <c r="E67" s="82">
        <v>661190</v>
      </c>
      <c r="F67" s="82">
        <v>427865</v>
      </c>
      <c r="G67" s="82">
        <v>355237</v>
      </c>
    </row>
    <row r="68" spans="1:7" x14ac:dyDescent="0.3">
      <c r="A68" s="82">
        <v>67</v>
      </c>
      <c r="B68" s="82">
        <v>500940</v>
      </c>
      <c r="C68" s="82">
        <v>885314</v>
      </c>
      <c r="D68" s="82">
        <v>802425</v>
      </c>
      <c r="E68" s="82">
        <v>616927</v>
      </c>
      <c r="F68" s="82">
        <v>462875</v>
      </c>
      <c r="G68" s="82">
        <v>345005</v>
      </c>
    </row>
    <row r="69" spans="1:7" x14ac:dyDescent="0.3">
      <c r="A69" s="82">
        <v>68</v>
      </c>
      <c r="B69" s="82">
        <v>545831</v>
      </c>
      <c r="C69" s="82">
        <v>968970</v>
      </c>
      <c r="D69" s="82">
        <v>786879</v>
      </c>
      <c r="E69" s="82">
        <v>668928</v>
      </c>
      <c r="F69" s="82">
        <v>383155</v>
      </c>
      <c r="G69" s="82">
        <v>361193</v>
      </c>
    </row>
    <row r="70" spans="1:7" x14ac:dyDescent="0.3">
      <c r="A70" s="82">
        <v>69</v>
      </c>
      <c r="B70" s="82">
        <v>521885</v>
      </c>
      <c r="C70" s="82">
        <v>854556</v>
      </c>
      <c r="D70" s="82">
        <v>733049</v>
      </c>
      <c r="E70" s="82">
        <v>671392</v>
      </c>
      <c r="F70" s="82">
        <v>446158</v>
      </c>
      <c r="G70" s="82">
        <v>354716</v>
      </c>
    </row>
    <row r="71" spans="1:7" x14ac:dyDescent="0.3">
      <c r="A71" s="82">
        <v>70</v>
      </c>
      <c r="B71" s="82">
        <v>553406</v>
      </c>
      <c r="C71" s="82">
        <v>730384</v>
      </c>
      <c r="D71" s="82">
        <v>764852</v>
      </c>
      <c r="E71" s="82">
        <v>637697</v>
      </c>
      <c r="F71" s="82">
        <v>485204</v>
      </c>
      <c r="G71" s="82">
        <v>332292</v>
      </c>
    </row>
    <row r="72" spans="1:7" x14ac:dyDescent="0.3">
      <c r="A72" s="82">
        <v>71</v>
      </c>
      <c r="B72" s="82">
        <v>582888</v>
      </c>
      <c r="C72" s="82">
        <v>928667</v>
      </c>
      <c r="D72" s="82">
        <v>765979</v>
      </c>
      <c r="E72" s="82">
        <v>660974</v>
      </c>
      <c r="F72" s="82">
        <v>427671</v>
      </c>
      <c r="G72" s="82">
        <v>373833</v>
      </c>
    </row>
    <row r="73" spans="1:7" x14ac:dyDescent="0.3">
      <c r="A73" s="82">
        <v>72</v>
      </c>
      <c r="B73" s="82">
        <v>564647</v>
      </c>
      <c r="C73" s="82">
        <v>850953</v>
      </c>
      <c r="D73" s="82">
        <v>784549</v>
      </c>
      <c r="E73" s="82">
        <v>677676</v>
      </c>
      <c r="F73" s="82">
        <v>446329</v>
      </c>
      <c r="G73" s="82">
        <v>356474</v>
      </c>
    </row>
    <row r="74" spans="1:7" x14ac:dyDescent="0.3">
      <c r="A74" s="82">
        <v>73</v>
      </c>
      <c r="B74" s="82">
        <v>528483</v>
      </c>
      <c r="C74" s="82">
        <v>817998</v>
      </c>
      <c r="D74" s="82">
        <v>738610</v>
      </c>
      <c r="E74" s="82">
        <v>627239</v>
      </c>
      <c r="F74" s="82">
        <v>383159</v>
      </c>
      <c r="G74" s="82">
        <v>362286</v>
      </c>
    </row>
    <row r="75" spans="1:7" x14ac:dyDescent="0.3">
      <c r="A75" s="82">
        <v>74</v>
      </c>
      <c r="B75" s="82">
        <v>599696</v>
      </c>
      <c r="C75" s="82">
        <v>800533</v>
      </c>
      <c r="D75" s="82">
        <v>720866</v>
      </c>
      <c r="E75" s="82">
        <v>679293</v>
      </c>
      <c r="F75" s="82">
        <v>410991</v>
      </c>
      <c r="G75" s="82">
        <v>351558</v>
      </c>
    </row>
    <row r="76" spans="1:7" x14ac:dyDescent="0.3">
      <c r="A76" s="82">
        <v>75</v>
      </c>
      <c r="B76" s="82">
        <v>513895</v>
      </c>
      <c r="C76" s="82">
        <v>862320</v>
      </c>
      <c r="D76" s="82">
        <v>712344</v>
      </c>
      <c r="E76" s="82">
        <v>666336</v>
      </c>
      <c r="F76" s="82">
        <v>468584</v>
      </c>
      <c r="G76" s="82">
        <v>354403</v>
      </c>
    </row>
    <row r="77" spans="1:7" x14ac:dyDescent="0.3">
      <c r="A77" s="82">
        <v>76</v>
      </c>
      <c r="B77" s="82">
        <v>518399</v>
      </c>
      <c r="C77" s="82">
        <v>837432</v>
      </c>
      <c r="D77" s="82">
        <v>763106</v>
      </c>
      <c r="E77" s="82">
        <v>684136</v>
      </c>
      <c r="F77" s="82">
        <v>403994</v>
      </c>
      <c r="G77" s="82">
        <v>358570</v>
      </c>
    </row>
    <row r="78" spans="1:7" x14ac:dyDescent="0.3">
      <c r="A78" s="82">
        <v>77</v>
      </c>
      <c r="B78" s="82">
        <v>577553</v>
      </c>
      <c r="C78" s="82">
        <v>866330</v>
      </c>
      <c r="D78" s="82">
        <v>772761</v>
      </c>
      <c r="E78" s="82">
        <v>690118</v>
      </c>
      <c r="F78" s="82">
        <v>448520</v>
      </c>
      <c r="G78" s="82">
        <v>360679</v>
      </c>
    </row>
    <row r="79" spans="1:7" x14ac:dyDescent="0.3">
      <c r="A79" s="82">
        <v>78</v>
      </c>
      <c r="B79" s="82">
        <v>565870</v>
      </c>
      <c r="C79" s="82">
        <v>767622</v>
      </c>
      <c r="D79" s="82">
        <v>788897</v>
      </c>
      <c r="E79" s="82">
        <v>587193</v>
      </c>
      <c r="F79" s="82">
        <v>424756</v>
      </c>
      <c r="G79" s="82">
        <v>325363</v>
      </c>
    </row>
    <row r="80" spans="1:7" x14ac:dyDescent="0.3">
      <c r="A80" s="82">
        <v>79</v>
      </c>
      <c r="B80" s="82">
        <v>543473</v>
      </c>
      <c r="C80" s="82">
        <v>826791</v>
      </c>
      <c r="D80" s="82">
        <v>774297</v>
      </c>
      <c r="E80" s="82">
        <v>588013</v>
      </c>
      <c r="F80" s="82">
        <v>438260</v>
      </c>
      <c r="G80" s="82">
        <v>366984</v>
      </c>
    </row>
    <row r="81" spans="1:7" x14ac:dyDescent="0.3">
      <c r="A81" s="82">
        <v>80</v>
      </c>
      <c r="B81" s="82">
        <v>573936</v>
      </c>
      <c r="C81" s="82">
        <v>848528</v>
      </c>
      <c r="D81" s="82">
        <v>727052</v>
      </c>
      <c r="E81" s="82">
        <v>610429</v>
      </c>
      <c r="F81" s="82">
        <v>466856</v>
      </c>
      <c r="G81" s="82">
        <v>375771</v>
      </c>
    </row>
    <row r="82" spans="1:7" x14ac:dyDescent="0.3">
      <c r="A82" s="82">
        <v>81</v>
      </c>
      <c r="B82" s="82">
        <v>584455</v>
      </c>
      <c r="C82" s="82">
        <v>840208</v>
      </c>
      <c r="D82" s="82">
        <v>784455</v>
      </c>
      <c r="E82" s="82">
        <v>770374</v>
      </c>
      <c r="F82" s="82">
        <v>467883</v>
      </c>
      <c r="G82" s="82">
        <v>335792</v>
      </c>
    </row>
    <row r="83" spans="1:7" x14ac:dyDescent="0.3">
      <c r="A83" s="82">
        <v>82</v>
      </c>
      <c r="B83" s="82">
        <v>563255</v>
      </c>
      <c r="C83" s="82">
        <v>833529</v>
      </c>
      <c r="D83" s="82">
        <v>682793</v>
      </c>
      <c r="E83" s="82">
        <v>627535</v>
      </c>
      <c r="F83" s="82">
        <v>471349</v>
      </c>
      <c r="G83" s="82">
        <v>345260</v>
      </c>
    </row>
    <row r="84" spans="1:7" x14ac:dyDescent="0.3">
      <c r="A84" s="82">
        <v>83</v>
      </c>
      <c r="B84" s="82">
        <v>542047</v>
      </c>
      <c r="C84" s="82">
        <v>905271</v>
      </c>
      <c r="D84" s="82">
        <v>786529</v>
      </c>
      <c r="E84" s="82">
        <v>661474</v>
      </c>
      <c r="F84" s="82">
        <v>412587</v>
      </c>
      <c r="G84" s="82">
        <v>371530</v>
      </c>
    </row>
    <row r="85" spans="1:7" x14ac:dyDescent="0.3">
      <c r="A85" s="82">
        <v>84</v>
      </c>
      <c r="B85" s="82">
        <v>546678</v>
      </c>
      <c r="C85" s="82">
        <v>893859</v>
      </c>
      <c r="D85" s="82">
        <v>730987</v>
      </c>
      <c r="E85" s="82">
        <v>609436</v>
      </c>
      <c r="F85" s="82">
        <v>396390</v>
      </c>
      <c r="G85" s="82">
        <v>334808</v>
      </c>
    </row>
    <row r="86" spans="1:7" x14ac:dyDescent="0.3">
      <c r="A86" s="82">
        <v>85</v>
      </c>
      <c r="B86" s="82">
        <v>558609</v>
      </c>
      <c r="C86" s="82">
        <v>885796</v>
      </c>
      <c r="D86" s="82">
        <v>696888</v>
      </c>
      <c r="E86" s="82">
        <v>674914</v>
      </c>
      <c r="F86" s="82">
        <v>451708</v>
      </c>
      <c r="G86" s="82">
        <v>346204</v>
      </c>
    </row>
    <row r="87" spans="1:7" x14ac:dyDescent="0.3">
      <c r="A87" s="82">
        <v>86</v>
      </c>
      <c r="B87" s="82">
        <v>541456</v>
      </c>
      <c r="C87" s="82">
        <v>911491</v>
      </c>
      <c r="D87" s="82">
        <v>794357</v>
      </c>
      <c r="E87" s="82">
        <v>654332</v>
      </c>
      <c r="F87" s="82">
        <v>461317</v>
      </c>
      <c r="G87" s="82">
        <v>363629</v>
      </c>
    </row>
    <row r="88" spans="1:7" x14ac:dyDescent="0.3">
      <c r="A88" s="82">
        <v>87</v>
      </c>
      <c r="B88" s="82">
        <v>536956</v>
      </c>
      <c r="C88" s="82">
        <v>940972</v>
      </c>
      <c r="D88" s="82">
        <v>715801</v>
      </c>
      <c r="E88" s="82">
        <v>635412</v>
      </c>
      <c r="F88" s="82">
        <v>433478</v>
      </c>
      <c r="G88" s="82">
        <v>352901</v>
      </c>
    </row>
    <row r="89" spans="1:7" x14ac:dyDescent="0.3">
      <c r="A89" s="82">
        <v>88</v>
      </c>
      <c r="B89" s="82">
        <v>562166</v>
      </c>
      <c r="C89" s="82">
        <v>945159</v>
      </c>
      <c r="D89" s="82">
        <v>739681</v>
      </c>
      <c r="E89" s="82">
        <v>723679</v>
      </c>
      <c r="F89" s="82">
        <v>388792</v>
      </c>
      <c r="G89" s="82">
        <v>333042</v>
      </c>
    </row>
    <row r="90" spans="1:7" x14ac:dyDescent="0.3">
      <c r="A90" s="82">
        <v>89</v>
      </c>
      <c r="B90" s="82">
        <v>573020</v>
      </c>
      <c r="C90" s="82">
        <v>841413</v>
      </c>
      <c r="D90" s="82">
        <v>792284</v>
      </c>
      <c r="E90" s="82">
        <v>602100</v>
      </c>
      <c r="F90" s="82">
        <v>432422</v>
      </c>
      <c r="G90" s="82">
        <v>346849</v>
      </c>
    </row>
    <row r="91" spans="1:7" x14ac:dyDescent="0.3">
      <c r="A91" s="82">
        <v>90</v>
      </c>
      <c r="B91" s="82">
        <v>568630</v>
      </c>
      <c r="C91" s="82">
        <v>927602</v>
      </c>
      <c r="D91" s="82">
        <v>831596</v>
      </c>
      <c r="E91" s="82">
        <v>623848</v>
      </c>
      <c r="F91" s="82">
        <v>447161</v>
      </c>
      <c r="G91" s="82">
        <v>376874</v>
      </c>
    </row>
    <row r="92" spans="1:7" x14ac:dyDescent="0.3">
      <c r="A92" s="82">
        <v>91</v>
      </c>
      <c r="B92" s="82">
        <v>551616</v>
      </c>
      <c r="C92" s="82">
        <v>797689</v>
      </c>
      <c r="D92" s="82">
        <v>767485</v>
      </c>
      <c r="E92" s="82">
        <v>695040</v>
      </c>
      <c r="F92" s="82">
        <v>502404</v>
      </c>
      <c r="G92" s="82">
        <v>354863</v>
      </c>
    </row>
    <row r="93" spans="1:7" x14ac:dyDescent="0.3">
      <c r="A93" s="82">
        <v>92</v>
      </c>
      <c r="B93" s="82">
        <v>567972</v>
      </c>
      <c r="C93" s="82">
        <v>882143</v>
      </c>
      <c r="D93" s="82">
        <v>827329</v>
      </c>
      <c r="E93" s="82">
        <v>640249</v>
      </c>
      <c r="F93" s="82">
        <v>456431</v>
      </c>
      <c r="G93" s="82">
        <v>351083</v>
      </c>
    </row>
    <row r="94" spans="1:7" x14ac:dyDescent="0.3">
      <c r="A94" s="82">
        <v>93</v>
      </c>
      <c r="B94" s="82">
        <v>561913</v>
      </c>
      <c r="C94" s="82">
        <v>858715</v>
      </c>
      <c r="D94" s="82">
        <v>765939</v>
      </c>
      <c r="E94" s="82">
        <v>630340</v>
      </c>
      <c r="F94" s="82">
        <v>501554</v>
      </c>
      <c r="G94" s="82">
        <v>356480</v>
      </c>
    </row>
    <row r="95" spans="1:7" x14ac:dyDescent="0.3">
      <c r="A95" s="82">
        <v>94</v>
      </c>
      <c r="B95" s="82">
        <v>540124</v>
      </c>
      <c r="C95" s="82">
        <v>807521</v>
      </c>
      <c r="D95" s="82">
        <v>765300</v>
      </c>
      <c r="E95" s="82">
        <v>636911</v>
      </c>
      <c r="F95" s="82">
        <v>429005</v>
      </c>
      <c r="G95" s="82">
        <v>352048</v>
      </c>
    </row>
    <row r="96" spans="1:7" x14ac:dyDescent="0.3">
      <c r="A96" s="82">
        <v>95</v>
      </c>
      <c r="B96" s="82">
        <v>586081</v>
      </c>
      <c r="C96" s="82">
        <v>943457</v>
      </c>
      <c r="D96" s="82">
        <v>761605</v>
      </c>
      <c r="E96" s="82">
        <v>672259</v>
      </c>
      <c r="F96" s="82">
        <v>425799</v>
      </c>
      <c r="G96" s="82">
        <v>350228</v>
      </c>
    </row>
    <row r="97" spans="1:7" x14ac:dyDescent="0.3">
      <c r="A97" s="82">
        <v>96</v>
      </c>
      <c r="B97" s="82">
        <v>549309</v>
      </c>
      <c r="C97" s="82">
        <v>810565</v>
      </c>
      <c r="D97" s="82">
        <v>732043</v>
      </c>
      <c r="E97" s="82">
        <v>703496</v>
      </c>
      <c r="F97" s="82">
        <v>470087</v>
      </c>
      <c r="G97" s="82">
        <v>379298</v>
      </c>
    </row>
    <row r="98" spans="1:7" x14ac:dyDescent="0.3">
      <c r="A98" s="82">
        <v>97</v>
      </c>
      <c r="B98" s="82">
        <v>590831</v>
      </c>
      <c r="C98" s="82">
        <v>826630</v>
      </c>
      <c r="D98" s="82">
        <v>769611</v>
      </c>
      <c r="E98" s="82">
        <v>633203</v>
      </c>
      <c r="F98" s="82">
        <v>436979</v>
      </c>
      <c r="G98" s="82">
        <v>366305</v>
      </c>
    </row>
    <row r="99" spans="1:7" x14ac:dyDescent="0.3">
      <c r="A99" s="82">
        <v>98</v>
      </c>
      <c r="B99" s="82">
        <v>579121</v>
      </c>
      <c r="C99" s="82">
        <v>826390</v>
      </c>
      <c r="D99" s="82">
        <v>689234</v>
      </c>
      <c r="E99" s="82">
        <v>577231</v>
      </c>
      <c r="F99" s="82">
        <v>441030</v>
      </c>
      <c r="G99" s="82">
        <v>370239</v>
      </c>
    </row>
    <row r="100" spans="1:7" x14ac:dyDescent="0.3">
      <c r="A100" s="82">
        <v>99</v>
      </c>
      <c r="B100" s="82">
        <v>540525</v>
      </c>
      <c r="C100" s="82">
        <v>810779</v>
      </c>
      <c r="D100" s="82">
        <v>717297</v>
      </c>
      <c r="E100" s="82">
        <v>745473</v>
      </c>
      <c r="F100" s="82">
        <v>430607</v>
      </c>
      <c r="G100" s="82">
        <v>373042</v>
      </c>
    </row>
    <row r="101" spans="1:7" x14ac:dyDescent="0.3">
      <c r="A101" s="82">
        <v>100</v>
      </c>
      <c r="B101" s="82">
        <v>541997</v>
      </c>
      <c r="C101" s="82">
        <v>923225</v>
      </c>
      <c r="D101" s="82">
        <v>796750</v>
      </c>
      <c r="E101" s="82">
        <v>627106</v>
      </c>
      <c r="F101" s="82">
        <v>441330</v>
      </c>
      <c r="G101" s="82">
        <v>349050</v>
      </c>
    </row>
    <row r="102" spans="1:7" x14ac:dyDescent="0.3">
      <c r="A102" s="82">
        <v>101</v>
      </c>
      <c r="B102" s="82">
        <v>531404</v>
      </c>
      <c r="C102" s="82">
        <v>860040</v>
      </c>
      <c r="D102" s="82">
        <v>761386</v>
      </c>
      <c r="E102" s="82">
        <v>593393</v>
      </c>
      <c r="F102" s="82">
        <v>428008</v>
      </c>
      <c r="G102" s="82">
        <v>336750</v>
      </c>
    </row>
    <row r="103" spans="1:7" x14ac:dyDescent="0.3">
      <c r="A103" s="82">
        <v>102</v>
      </c>
      <c r="B103" s="82">
        <v>558524</v>
      </c>
      <c r="C103" s="82">
        <v>820957</v>
      </c>
      <c r="D103" s="82">
        <v>708915</v>
      </c>
      <c r="E103" s="82">
        <v>615284</v>
      </c>
      <c r="F103" s="82">
        <v>474786</v>
      </c>
      <c r="G103" s="82">
        <v>360280</v>
      </c>
    </row>
    <row r="104" spans="1:7" x14ac:dyDescent="0.3">
      <c r="A104" s="82">
        <v>103</v>
      </c>
      <c r="B104" s="82">
        <v>530611</v>
      </c>
      <c r="C104" s="82">
        <v>883333</v>
      </c>
      <c r="D104" s="82">
        <v>767121</v>
      </c>
      <c r="E104" s="82">
        <v>604501</v>
      </c>
      <c r="F104" s="82">
        <v>439664</v>
      </c>
      <c r="G104" s="82">
        <v>350115</v>
      </c>
    </row>
    <row r="105" spans="1:7" x14ac:dyDescent="0.3">
      <c r="A105" s="82">
        <v>104</v>
      </c>
      <c r="B105" s="82">
        <v>604810</v>
      </c>
      <c r="C105" s="82">
        <v>860638</v>
      </c>
      <c r="D105" s="82">
        <v>778676</v>
      </c>
      <c r="E105" s="82">
        <v>580034</v>
      </c>
      <c r="F105" s="82">
        <v>410574</v>
      </c>
      <c r="G105" s="82">
        <v>342998</v>
      </c>
    </row>
    <row r="106" spans="1:7" x14ac:dyDescent="0.3">
      <c r="A106" s="82">
        <v>105</v>
      </c>
      <c r="B106" s="82">
        <v>588337</v>
      </c>
      <c r="C106" s="82">
        <v>885270</v>
      </c>
      <c r="D106" s="82">
        <v>750302</v>
      </c>
      <c r="E106" s="82">
        <v>630183</v>
      </c>
      <c r="F106" s="82">
        <v>446388</v>
      </c>
      <c r="G106" s="82">
        <v>367659</v>
      </c>
    </row>
    <row r="107" spans="1:7" x14ac:dyDescent="0.3">
      <c r="A107" s="82">
        <v>106</v>
      </c>
      <c r="B107" s="82">
        <v>558131</v>
      </c>
      <c r="C107" s="82">
        <v>860606</v>
      </c>
      <c r="D107" s="82">
        <v>754136</v>
      </c>
      <c r="E107" s="82">
        <v>671725</v>
      </c>
      <c r="F107" s="82">
        <v>427667</v>
      </c>
      <c r="G107" s="82">
        <v>342588</v>
      </c>
    </row>
    <row r="108" spans="1:7" x14ac:dyDescent="0.3">
      <c r="A108" s="82">
        <v>107</v>
      </c>
      <c r="B108" s="82">
        <v>569374</v>
      </c>
      <c r="C108" s="82">
        <v>942661</v>
      </c>
      <c r="D108" s="82">
        <v>737429</v>
      </c>
      <c r="E108" s="82">
        <v>645444</v>
      </c>
      <c r="F108" s="82">
        <v>441354</v>
      </c>
      <c r="G108" s="82">
        <v>355393</v>
      </c>
    </row>
    <row r="109" spans="1:7" x14ac:dyDescent="0.3">
      <c r="A109" s="82">
        <v>108</v>
      </c>
      <c r="B109" s="82">
        <v>556003</v>
      </c>
      <c r="C109" s="82">
        <v>862446</v>
      </c>
      <c r="D109" s="82">
        <v>767294</v>
      </c>
      <c r="E109" s="82">
        <v>568340</v>
      </c>
      <c r="F109" s="82">
        <v>486096</v>
      </c>
      <c r="G109" s="82">
        <v>364285</v>
      </c>
    </row>
    <row r="110" spans="1:7" x14ac:dyDescent="0.3">
      <c r="A110" s="82">
        <v>109</v>
      </c>
      <c r="B110" s="82">
        <v>602215</v>
      </c>
      <c r="C110" s="82">
        <v>921422</v>
      </c>
      <c r="D110" s="82">
        <v>736084</v>
      </c>
      <c r="E110" s="82">
        <v>568286</v>
      </c>
      <c r="F110" s="82">
        <v>452988</v>
      </c>
      <c r="G110" s="82">
        <v>313833</v>
      </c>
    </row>
    <row r="111" spans="1:7" x14ac:dyDescent="0.3">
      <c r="A111" s="82">
        <v>110</v>
      </c>
      <c r="B111" s="82">
        <v>541933</v>
      </c>
      <c r="C111" s="82">
        <v>819505</v>
      </c>
      <c r="D111" s="82">
        <v>730206</v>
      </c>
      <c r="E111" s="82">
        <v>671465</v>
      </c>
      <c r="F111" s="82">
        <v>403378</v>
      </c>
      <c r="G111" s="82">
        <v>343095</v>
      </c>
    </row>
    <row r="112" spans="1:7" x14ac:dyDescent="0.3">
      <c r="A112" s="82">
        <v>111</v>
      </c>
      <c r="B112" s="82">
        <v>577657</v>
      </c>
      <c r="C112" s="82">
        <v>808818</v>
      </c>
      <c r="D112" s="82">
        <v>758469</v>
      </c>
      <c r="E112" s="82">
        <v>653953</v>
      </c>
      <c r="F112" s="82">
        <v>452065</v>
      </c>
      <c r="G112" s="82">
        <v>388257</v>
      </c>
    </row>
    <row r="113" spans="1:7" x14ac:dyDescent="0.3">
      <c r="A113" s="82">
        <v>112</v>
      </c>
      <c r="B113" s="82">
        <v>502018</v>
      </c>
      <c r="C113" s="82">
        <v>869246</v>
      </c>
      <c r="D113" s="82">
        <v>717499</v>
      </c>
      <c r="E113" s="82">
        <v>601353</v>
      </c>
      <c r="F113" s="82">
        <v>429071</v>
      </c>
      <c r="G113" s="82">
        <v>344291</v>
      </c>
    </row>
    <row r="114" spans="1:7" x14ac:dyDescent="0.3">
      <c r="A114" s="82">
        <v>113</v>
      </c>
      <c r="B114" s="82">
        <v>529082</v>
      </c>
      <c r="C114" s="82">
        <v>819300</v>
      </c>
      <c r="D114" s="82">
        <v>750772</v>
      </c>
      <c r="E114" s="82">
        <v>646859</v>
      </c>
      <c r="F114" s="82">
        <v>467627</v>
      </c>
      <c r="G114" s="82">
        <v>344534</v>
      </c>
    </row>
    <row r="115" spans="1:7" x14ac:dyDescent="0.3">
      <c r="A115" s="82">
        <v>114</v>
      </c>
      <c r="B115" s="82">
        <v>538057</v>
      </c>
      <c r="C115" s="82">
        <v>832249</v>
      </c>
      <c r="D115" s="82">
        <v>722060</v>
      </c>
      <c r="E115" s="82">
        <v>641605</v>
      </c>
      <c r="F115" s="82">
        <v>445985</v>
      </c>
      <c r="G115" s="82">
        <v>351610</v>
      </c>
    </row>
    <row r="116" spans="1:7" x14ac:dyDescent="0.3">
      <c r="A116" s="82">
        <v>115</v>
      </c>
      <c r="B116" s="82">
        <v>600443</v>
      </c>
      <c r="C116" s="82">
        <v>750004</v>
      </c>
      <c r="D116" s="82">
        <v>773199</v>
      </c>
      <c r="E116" s="82">
        <v>659271</v>
      </c>
      <c r="F116" s="82">
        <v>438643</v>
      </c>
      <c r="G116" s="82">
        <v>356819</v>
      </c>
    </row>
    <row r="117" spans="1:7" x14ac:dyDescent="0.3">
      <c r="A117" s="82">
        <v>116</v>
      </c>
      <c r="B117" s="82">
        <v>552897</v>
      </c>
      <c r="C117" s="82">
        <v>810874</v>
      </c>
      <c r="D117" s="82">
        <v>750187</v>
      </c>
      <c r="E117" s="82">
        <v>710385</v>
      </c>
      <c r="F117" s="82">
        <v>458757</v>
      </c>
      <c r="G117" s="82">
        <v>359856</v>
      </c>
    </row>
    <row r="118" spans="1:7" x14ac:dyDescent="0.3">
      <c r="A118" s="82">
        <v>117</v>
      </c>
      <c r="B118" s="82">
        <v>543209</v>
      </c>
      <c r="C118" s="82">
        <v>969435</v>
      </c>
      <c r="D118" s="82">
        <v>654312</v>
      </c>
      <c r="E118" s="82">
        <v>689003</v>
      </c>
      <c r="F118" s="82">
        <v>436749</v>
      </c>
      <c r="G118" s="82">
        <v>346678</v>
      </c>
    </row>
    <row r="119" spans="1:7" x14ac:dyDescent="0.3">
      <c r="A119" s="82">
        <v>118</v>
      </c>
      <c r="B119" s="82">
        <v>562603</v>
      </c>
      <c r="C119" s="82">
        <v>888143</v>
      </c>
      <c r="D119" s="82">
        <v>787506</v>
      </c>
      <c r="E119" s="82">
        <v>646191</v>
      </c>
      <c r="F119" s="82">
        <v>453812</v>
      </c>
      <c r="G119" s="82">
        <v>341994</v>
      </c>
    </row>
    <row r="120" spans="1:7" x14ac:dyDescent="0.3">
      <c r="A120" s="82">
        <v>119</v>
      </c>
      <c r="B120" s="82">
        <v>526596</v>
      </c>
      <c r="C120" s="82">
        <v>769692</v>
      </c>
      <c r="D120" s="82">
        <v>726709</v>
      </c>
      <c r="E120" s="82">
        <v>565267</v>
      </c>
      <c r="F120" s="82">
        <v>458216</v>
      </c>
      <c r="G120" s="82">
        <v>361935</v>
      </c>
    </row>
    <row r="121" spans="1:7" x14ac:dyDescent="0.3">
      <c r="A121" s="82">
        <v>120</v>
      </c>
      <c r="B121" s="82">
        <v>551762</v>
      </c>
      <c r="C121" s="82">
        <v>853462</v>
      </c>
      <c r="D121" s="82">
        <v>751992</v>
      </c>
      <c r="E121" s="82">
        <v>636418</v>
      </c>
      <c r="F121" s="82">
        <v>426632</v>
      </c>
      <c r="G121" s="82">
        <v>354924</v>
      </c>
    </row>
    <row r="122" spans="1:7" x14ac:dyDescent="0.3">
      <c r="A122" s="82">
        <v>121</v>
      </c>
      <c r="B122" s="82">
        <v>523612</v>
      </c>
      <c r="C122" s="82">
        <v>886487</v>
      </c>
      <c r="D122" s="82">
        <v>810821</v>
      </c>
      <c r="E122" s="82">
        <v>599628</v>
      </c>
      <c r="F122" s="82">
        <v>454680</v>
      </c>
      <c r="G122" s="82">
        <v>354355</v>
      </c>
    </row>
    <row r="123" spans="1:7" x14ac:dyDescent="0.3">
      <c r="A123" s="82">
        <v>122</v>
      </c>
      <c r="B123" s="82">
        <v>522386</v>
      </c>
      <c r="C123" s="82">
        <v>818608</v>
      </c>
      <c r="D123" s="82">
        <v>786544</v>
      </c>
      <c r="E123" s="82">
        <v>647712</v>
      </c>
      <c r="F123" s="82">
        <v>470856</v>
      </c>
      <c r="G123" s="82">
        <v>338716</v>
      </c>
    </row>
    <row r="124" spans="1:7" x14ac:dyDescent="0.3">
      <c r="A124" s="82">
        <v>123</v>
      </c>
      <c r="B124" s="82">
        <v>574165</v>
      </c>
      <c r="C124" s="82">
        <v>885090</v>
      </c>
      <c r="D124" s="82">
        <v>767766</v>
      </c>
      <c r="E124" s="82">
        <v>622430</v>
      </c>
      <c r="F124" s="82">
        <v>429874</v>
      </c>
      <c r="G124" s="82">
        <v>371989</v>
      </c>
    </row>
    <row r="125" spans="1:7" x14ac:dyDescent="0.3">
      <c r="A125" s="82">
        <v>124</v>
      </c>
      <c r="B125" s="82">
        <v>587688</v>
      </c>
      <c r="C125" s="82">
        <v>778808</v>
      </c>
      <c r="D125" s="82">
        <v>742189</v>
      </c>
      <c r="E125" s="82">
        <v>569191</v>
      </c>
      <c r="F125" s="82">
        <v>440037</v>
      </c>
      <c r="G125" s="82">
        <v>368828</v>
      </c>
    </row>
    <row r="126" spans="1:7" x14ac:dyDescent="0.3">
      <c r="A126" s="82">
        <v>125</v>
      </c>
      <c r="B126" s="82">
        <v>563725</v>
      </c>
      <c r="C126" s="82">
        <v>890137</v>
      </c>
      <c r="D126" s="82">
        <v>765851</v>
      </c>
      <c r="E126" s="82">
        <v>637644</v>
      </c>
      <c r="F126" s="82">
        <v>469398</v>
      </c>
      <c r="G126" s="82">
        <v>347645</v>
      </c>
    </row>
    <row r="127" spans="1:7" x14ac:dyDescent="0.3">
      <c r="A127" s="82">
        <v>126</v>
      </c>
      <c r="B127" s="82">
        <v>578995</v>
      </c>
      <c r="C127" s="82">
        <v>862697</v>
      </c>
      <c r="D127" s="82">
        <v>701480</v>
      </c>
      <c r="E127" s="82">
        <v>687508</v>
      </c>
      <c r="F127" s="82">
        <v>468289</v>
      </c>
      <c r="G127" s="82">
        <v>344729</v>
      </c>
    </row>
    <row r="128" spans="1:7" x14ac:dyDescent="0.3">
      <c r="A128" s="82">
        <v>127</v>
      </c>
      <c r="B128" s="82">
        <v>543531</v>
      </c>
      <c r="C128" s="82">
        <v>930291</v>
      </c>
      <c r="D128" s="82">
        <v>799588</v>
      </c>
      <c r="E128" s="82">
        <v>614829</v>
      </c>
      <c r="F128" s="82">
        <v>443060</v>
      </c>
      <c r="G128" s="82">
        <v>373678</v>
      </c>
    </row>
    <row r="129" spans="1:7" x14ac:dyDescent="0.3">
      <c r="A129" s="82">
        <v>128</v>
      </c>
      <c r="B129" s="82">
        <v>590633</v>
      </c>
      <c r="C129" s="82">
        <v>804577</v>
      </c>
      <c r="D129" s="82">
        <v>768080</v>
      </c>
      <c r="E129" s="82">
        <v>703573</v>
      </c>
      <c r="F129" s="82">
        <v>448369</v>
      </c>
      <c r="G129" s="82">
        <v>370108</v>
      </c>
    </row>
    <row r="130" spans="1:7" x14ac:dyDescent="0.3">
      <c r="A130" s="82">
        <v>129</v>
      </c>
      <c r="B130" s="82">
        <v>530338</v>
      </c>
      <c r="C130" s="82">
        <v>888973</v>
      </c>
      <c r="D130" s="82">
        <v>730745</v>
      </c>
      <c r="E130" s="82">
        <v>563804</v>
      </c>
      <c r="F130" s="82">
        <v>517677</v>
      </c>
      <c r="G130" s="82">
        <v>363047</v>
      </c>
    </row>
    <row r="131" spans="1:7" x14ac:dyDescent="0.3">
      <c r="A131" s="82">
        <v>130</v>
      </c>
      <c r="B131" s="82">
        <v>542806</v>
      </c>
      <c r="C131" s="82">
        <v>853179</v>
      </c>
      <c r="D131" s="82">
        <v>804806</v>
      </c>
      <c r="E131" s="82">
        <v>702193</v>
      </c>
      <c r="F131" s="82">
        <v>462378</v>
      </c>
      <c r="G131" s="82">
        <v>335198</v>
      </c>
    </row>
    <row r="132" spans="1:7" x14ac:dyDescent="0.3">
      <c r="A132" s="82">
        <v>131</v>
      </c>
      <c r="B132" s="82">
        <v>557746</v>
      </c>
      <c r="C132" s="82">
        <v>927411</v>
      </c>
      <c r="D132" s="82">
        <v>727827</v>
      </c>
      <c r="E132" s="82">
        <v>624738</v>
      </c>
      <c r="F132" s="82">
        <v>491891</v>
      </c>
      <c r="G132" s="82">
        <v>349624</v>
      </c>
    </row>
    <row r="133" spans="1:7" x14ac:dyDescent="0.3">
      <c r="A133" s="82">
        <v>132</v>
      </c>
      <c r="B133" s="82">
        <v>546395</v>
      </c>
      <c r="C133" s="82">
        <v>827198</v>
      </c>
      <c r="D133" s="82">
        <v>733208</v>
      </c>
      <c r="E133" s="82">
        <v>665896</v>
      </c>
      <c r="F133" s="82">
        <v>448664</v>
      </c>
      <c r="G133" s="82">
        <v>345572</v>
      </c>
    </row>
    <row r="134" spans="1:7" x14ac:dyDescent="0.3">
      <c r="A134" s="82">
        <v>133</v>
      </c>
      <c r="B134" s="82">
        <v>548079</v>
      </c>
      <c r="C134" s="82">
        <v>805491</v>
      </c>
      <c r="D134" s="82">
        <v>721069</v>
      </c>
      <c r="E134" s="82">
        <v>702213</v>
      </c>
      <c r="F134" s="82">
        <v>437521</v>
      </c>
      <c r="G134" s="82">
        <v>330265</v>
      </c>
    </row>
    <row r="135" spans="1:7" x14ac:dyDescent="0.3">
      <c r="A135" s="82">
        <v>134</v>
      </c>
      <c r="B135" s="82">
        <v>549937</v>
      </c>
      <c r="C135" s="82">
        <v>838187</v>
      </c>
      <c r="D135" s="82">
        <v>768352</v>
      </c>
      <c r="E135" s="82">
        <v>633747</v>
      </c>
      <c r="F135" s="82">
        <v>482903</v>
      </c>
      <c r="G135" s="82">
        <v>354803</v>
      </c>
    </row>
    <row r="136" spans="1:7" x14ac:dyDescent="0.3">
      <c r="A136" s="82">
        <v>135</v>
      </c>
      <c r="B136" s="82">
        <v>547747</v>
      </c>
      <c r="C136" s="82">
        <v>796866</v>
      </c>
      <c r="D136" s="82">
        <v>756005</v>
      </c>
      <c r="E136" s="82">
        <v>642890</v>
      </c>
      <c r="F136" s="82">
        <v>435005</v>
      </c>
      <c r="G136" s="82">
        <v>331795</v>
      </c>
    </row>
    <row r="137" spans="1:7" x14ac:dyDescent="0.3">
      <c r="A137" s="82">
        <v>136</v>
      </c>
      <c r="B137" s="82">
        <v>583910</v>
      </c>
      <c r="C137" s="82">
        <v>851423</v>
      </c>
      <c r="D137" s="82">
        <v>689255</v>
      </c>
      <c r="E137" s="82">
        <v>668720</v>
      </c>
      <c r="F137" s="82">
        <v>408454</v>
      </c>
      <c r="G137" s="82">
        <v>326100</v>
      </c>
    </row>
    <row r="138" spans="1:7" x14ac:dyDescent="0.3">
      <c r="A138" s="82">
        <v>137</v>
      </c>
      <c r="B138" s="82">
        <v>552615</v>
      </c>
      <c r="C138" s="82">
        <v>841613</v>
      </c>
      <c r="D138" s="82">
        <v>770979</v>
      </c>
      <c r="E138" s="82">
        <v>608815</v>
      </c>
      <c r="F138" s="82">
        <v>439387</v>
      </c>
      <c r="G138" s="82">
        <v>339302</v>
      </c>
    </row>
    <row r="139" spans="1:7" x14ac:dyDescent="0.3">
      <c r="A139" s="82">
        <v>138</v>
      </c>
      <c r="B139" s="82">
        <v>537177</v>
      </c>
      <c r="C139" s="82">
        <v>831937</v>
      </c>
      <c r="D139" s="82">
        <v>739326</v>
      </c>
      <c r="E139" s="82">
        <v>607843</v>
      </c>
      <c r="F139" s="82">
        <v>476168</v>
      </c>
      <c r="G139" s="82">
        <v>350923</v>
      </c>
    </row>
    <row r="140" spans="1:7" x14ac:dyDescent="0.3">
      <c r="A140" s="82">
        <v>139</v>
      </c>
      <c r="B140" s="82">
        <v>583837</v>
      </c>
      <c r="C140" s="82">
        <v>807762</v>
      </c>
      <c r="D140" s="82">
        <v>763150</v>
      </c>
      <c r="E140" s="82">
        <v>773691</v>
      </c>
      <c r="F140" s="82">
        <v>412087</v>
      </c>
      <c r="G140" s="82">
        <v>350199</v>
      </c>
    </row>
    <row r="141" spans="1:7" x14ac:dyDescent="0.3">
      <c r="A141" s="82">
        <v>140</v>
      </c>
      <c r="B141" s="82">
        <v>542316</v>
      </c>
      <c r="C141" s="82">
        <v>901991</v>
      </c>
      <c r="D141" s="82">
        <v>760598</v>
      </c>
      <c r="E141" s="82">
        <v>680000</v>
      </c>
      <c r="F141" s="82">
        <v>412989</v>
      </c>
      <c r="G141" s="82">
        <v>338307</v>
      </c>
    </row>
    <row r="142" spans="1:7" x14ac:dyDescent="0.3">
      <c r="A142" s="82">
        <v>141</v>
      </c>
      <c r="B142" s="82">
        <v>523519</v>
      </c>
      <c r="C142" s="82">
        <v>904472</v>
      </c>
      <c r="D142" s="82">
        <v>760958</v>
      </c>
      <c r="E142" s="82">
        <v>636585</v>
      </c>
      <c r="F142" s="82">
        <v>433570</v>
      </c>
      <c r="G142" s="82">
        <v>345646</v>
      </c>
    </row>
    <row r="143" spans="1:7" x14ac:dyDescent="0.3">
      <c r="A143" s="82">
        <v>142</v>
      </c>
      <c r="B143" s="82">
        <v>569294</v>
      </c>
      <c r="C143" s="82">
        <v>883284</v>
      </c>
      <c r="D143" s="82">
        <v>761874</v>
      </c>
      <c r="E143" s="82">
        <v>669636</v>
      </c>
      <c r="F143" s="82">
        <v>414142</v>
      </c>
      <c r="G143" s="82">
        <v>349969</v>
      </c>
    </row>
    <row r="144" spans="1:7" x14ac:dyDescent="0.3">
      <c r="A144" s="82">
        <v>143</v>
      </c>
      <c r="B144" s="82">
        <v>532153</v>
      </c>
      <c r="C144" s="82">
        <v>838358</v>
      </c>
      <c r="D144" s="82">
        <v>731289</v>
      </c>
      <c r="E144" s="82">
        <v>616785</v>
      </c>
      <c r="F144" s="82">
        <v>459762</v>
      </c>
      <c r="G144" s="82">
        <v>340926</v>
      </c>
    </row>
    <row r="145" spans="1:7" x14ac:dyDescent="0.3">
      <c r="A145" s="82">
        <v>144</v>
      </c>
      <c r="B145" s="82">
        <v>553268</v>
      </c>
      <c r="C145" s="82">
        <v>895231</v>
      </c>
      <c r="D145" s="82">
        <v>731689</v>
      </c>
      <c r="E145" s="82">
        <v>632347</v>
      </c>
      <c r="F145" s="82">
        <v>404111</v>
      </c>
      <c r="G145" s="82">
        <v>365969</v>
      </c>
    </row>
    <row r="146" spans="1:7" x14ac:dyDescent="0.3">
      <c r="A146" s="82">
        <v>145</v>
      </c>
      <c r="B146" s="82">
        <v>564348</v>
      </c>
      <c r="C146" s="82">
        <v>822107</v>
      </c>
      <c r="D146" s="82">
        <v>730571</v>
      </c>
      <c r="E146" s="82">
        <v>721803</v>
      </c>
      <c r="F146" s="82">
        <v>417657</v>
      </c>
      <c r="G146" s="82">
        <v>369164</v>
      </c>
    </row>
    <row r="147" spans="1:7" x14ac:dyDescent="0.3">
      <c r="A147" s="82">
        <v>146</v>
      </c>
      <c r="B147" s="82">
        <v>576817</v>
      </c>
      <c r="C147" s="82">
        <v>886215</v>
      </c>
      <c r="D147" s="82">
        <v>797558</v>
      </c>
      <c r="E147" s="82">
        <v>618413</v>
      </c>
      <c r="F147" s="82">
        <v>457020</v>
      </c>
      <c r="G147" s="82">
        <v>338451</v>
      </c>
    </row>
    <row r="148" spans="1:7" x14ac:dyDescent="0.3">
      <c r="A148" s="82">
        <v>147</v>
      </c>
      <c r="B148" s="82">
        <v>538682</v>
      </c>
      <c r="C148" s="82">
        <v>838610</v>
      </c>
      <c r="D148" s="82">
        <v>736525</v>
      </c>
      <c r="E148" s="82">
        <v>622423</v>
      </c>
      <c r="F148" s="82">
        <v>463945</v>
      </c>
      <c r="G148" s="82">
        <v>346322</v>
      </c>
    </row>
    <row r="149" spans="1:7" x14ac:dyDescent="0.3">
      <c r="A149" s="82">
        <v>148</v>
      </c>
      <c r="B149" s="82">
        <v>522898</v>
      </c>
      <c r="C149" s="82">
        <v>907218</v>
      </c>
      <c r="D149" s="82">
        <v>795536</v>
      </c>
      <c r="E149" s="82">
        <v>666312</v>
      </c>
      <c r="F149" s="82">
        <v>489164</v>
      </c>
      <c r="G149" s="82">
        <v>359360</v>
      </c>
    </row>
    <row r="150" spans="1:7" x14ac:dyDescent="0.3">
      <c r="A150" s="82">
        <v>149</v>
      </c>
      <c r="B150" s="82">
        <v>550156</v>
      </c>
      <c r="C150" s="82">
        <v>756307</v>
      </c>
      <c r="D150" s="82">
        <v>738101</v>
      </c>
      <c r="E150" s="82">
        <v>627300</v>
      </c>
      <c r="F150" s="82">
        <v>379227</v>
      </c>
      <c r="G150" s="82">
        <v>350061</v>
      </c>
    </row>
    <row r="151" spans="1:7" x14ac:dyDescent="0.3">
      <c r="A151" s="82">
        <v>150</v>
      </c>
      <c r="B151" s="82">
        <v>536118</v>
      </c>
      <c r="C151" s="82">
        <v>840322</v>
      </c>
      <c r="D151" s="82">
        <v>732978</v>
      </c>
      <c r="E151" s="82">
        <v>589047</v>
      </c>
      <c r="F151" s="82">
        <v>426235</v>
      </c>
      <c r="G151" s="82">
        <v>360315</v>
      </c>
    </row>
    <row r="152" spans="1:7" x14ac:dyDescent="0.3">
      <c r="A152" s="82">
        <v>151</v>
      </c>
      <c r="B152" s="82">
        <v>554729</v>
      </c>
      <c r="C152" s="82">
        <v>828484</v>
      </c>
      <c r="D152" s="82">
        <v>777391</v>
      </c>
      <c r="E152" s="82">
        <v>606346</v>
      </c>
      <c r="F152" s="82">
        <v>453283</v>
      </c>
      <c r="G152" s="82">
        <v>351981</v>
      </c>
    </row>
    <row r="153" spans="1:7" x14ac:dyDescent="0.3">
      <c r="A153" s="82">
        <v>152</v>
      </c>
      <c r="B153" s="82">
        <v>562680</v>
      </c>
      <c r="C153" s="82">
        <v>816237</v>
      </c>
      <c r="D153" s="82">
        <v>775452</v>
      </c>
      <c r="E153" s="82">
        <v>689835</v>
      </c>
      <c r="F153" s="82">
        <v>427678</v>
      </c>
      <c r="G153" s="82">
        <v>350119</v>
      </c>
    </row>
    <row r="154" spans="1:7" x14ac:dyDescent="0.3">
      <c r="A154" s="82">
        <v>153</v>
      </c>
      <c r="B154" s="82">
        <v>608222</v>
      </c>
      <c r="C154" s="82">
        <v>852910</v>
      </c>
      <c r="D154" s="82">
        <v>765742</v>
      </c>
      <c r="E154" s="82">
        <v>632928</v>
      </c>
      <c r="F154" s="82">
        <v>426587</v>
      </c>
      <c r="G154" s="82">
        <v>368961</v>
      </c>
    </row>
    <row r="155" spans="1:7" x14ac:dyDescent="0.3">
      <c r="A155" s="82">
        <v>154</v>
      </c>
      <c r="B155" s="82">
        <v>548635</v>
      </c>
      <c r="C155" s="82">
        <v>794530</v>
      </c>
      <c r="D155" s="82">
        <v>738147</v>
      </c>
      <c r="E155" s="82">
        <v>611415</v>
      </c>
      <c r="F155" s="82">
        <v>450014</v>
      </c>
      <c r="G155" s="82">
        <v>372310</v>
      </c>
    </row>
    <row r="156" spans="1:7" x14ac:dyDescent="0.3">
      <c r="A156" s="82">
        <v>155</v>
      </c>
      <c r="B156" s="82">
        <v>539447</v>
      </c>
      <c r="C156" s="82">
        <v>807949</v>
      </c>
      <c r="D156" s="82">
        <v>777994</v>
      </c>
      <c r="E156" s="82">
        <v>585924</v>
      </c>
      <c r="F156" s="82">
        <v>431284</v>
      </c>
      <c r="G156" s="82">
        <v>364919</v>
      </c>
    </row>
    <row r="157" spans="1:7" x14ac:dyDescent="0.3">
      <c r="A157" s="82">
        <v>156</v>
      </c>
      <c r="B157" s="82">
        <v>543872</v>
      </c>
      <c r="C157" s="82">
        <v>917114</v>
      </c>
      <c r="D157" s="82">
        <v>784289</v>
      </c>
      <c r="E157" s="82">
        <v>721234</v>
      </c>
      <c r="F157" s="82">
        <v>445155</v>
      </c>
      <c r="G157" s="82">
        <v>371926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32</vt:i4>
      </vt:variant>
    </vt:vector>
  </HeadingPairs>
  <TitlesOfParts>
    <vt:vector size="41" baseType="lpstr">
      <vt:lpstr>_@RISKFitInformation</vt:lpstr>
      <vt:lpstr>Optimization Model</vt:lpstr>
      <vt:lpstr>Sensitivity Report for model 1</vt:lpstr>
      <vt:lpstr>Optimization model 2</vt:lpstr>
      <vt:lpstr>Sensitivity Report for model 2</vt:lpstr>
      <vt:lpstr>STS_1</vt:lpstr>
      <vt:lpstr>STS_2</vt:lpstr>
      <vt:lpstr>STS_3</vt:lpstr>
      <vt:lpstr>demand data</vt:lpstr>
      <vt:lpstr>STS_1!ChartData</vt:lpstr>
      <vt:lpstr>STS_2!ChartData</vt:lpstr>
      <vt:lpstr>STS_3!ChartData1</vt:lpstr>
      <vt:lpstr>STS_3!ChartData2</vt:lpstr>
      <vt:lpstr>STS_1!InputValues</vt:lpstr>
      <vt:lpstr>STS_2!InputValues</vt:lpstr>
      <vt:lpstr>STS_3!InputValues1</vt:lpstr>
      <vt:lpstr>STS_3!InputValues2</vt:lpstr>
      <vt:lpstr>STS_1!OutputAddresses</vt:lpstr>
      <vt:lpstr>STS_2!OutputAddresses</vt:lpstr>
      <vt:lpstr>STS_3!OutputAddresses</vt:lpstr>
      <vt:lpstr>STS_1!OutputValues</vt:lpstr>
      <vt:lpstr>STS_2!OutputValues</vt:lpstr>
      <vt:lpstr>STS_3!OutputValues_1</vt:lpstr>
      <vt:lpstr>STS_3!OutputValues_10</vt:lpstr>
      <vt:lpstr>STS_3!OutputValues_11</vt:lpstr>
      <vt:lpstr>STS_3!OutputValues_12</vt:lpstr>
      <vt:lpstr>STS_3!OutputValues_13</vt:lpstr>
      <vt:lpstr>STS_3!OutputValues_14</vt:lpstr>
      <vt:lpstr>STS_3!OutputValues_15</vt:lpstr>
      <vt:lpstr>STS_3!OutputValues_16</vt:lpstr>
      <vt:lpstr>STS_3!OutputValues_17</vt:lpstr>
      <vt:lpstr>STS_3!OutputValues_18</vt:lpstr>
      <vt:lpstr>STS_3!OutputValues_19</vt:lpstr>
      <vt:lpstr>STS_3!OutputValues_2</vt:lpstr>
      <vt:lpstr>STS_3!OutputValues_3</vt:lpstr>
      <vt:lpstr>STS_3!OutputValues_4</vt:lpstr>
      <vt:lpstr>STS_3!OutputValues_5</vt:lpstr>
      <vt:lpstr>STS_3!OutputValues_6</vt:lpstr>
      <vt:lpstr>STS_3!OutputValues_7</vt:lpstr>
      <vt:lpstr>STS_3!OutputValues_8</vt:lpstr>
      <vt:lpstr>STS_3!OutputValues_9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srivalli ch</dc:creator>
  <cp:lastModifiedBy>Palak</cp:lastModifiedBy>
  <dcterms:created xsi:type="dcterms:W3CDTF">2022-03-11T02:59:10Z</dcterms:created>
  <dcterms:modified xsi:type="dcterms:W3CDTF">2023-07-18T21:57:50Z</dcterms:modified>
</cp:coreProperties>
</file>