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66925"/>
  <mc:AlternateContent xmlns:mc="http://schemas.openxmlformats.org/markup-compatibility/2006">
    <mc:Choice Requires="x15">
      <x15ac:absPath xmlns:x15ac="http://schemas.microsoft.com/office/spreadsheetml/2010/11/ac" url="E:\p\BASIC STATISTICS LAB\"/>
    </mc:Choice>
  </mc:AlternateContent>
  <xr:revisionPtr revIDLastSave="0" documentId="13_ncr:1_{2D21CF47-DC1A-4F05-B49C-7440A7222F4C}" xr6:coauthVersionLast="47" xr6:coauthVersionMax="47" xr10:uidLastSave="{00000000-0000-0000-0000-000000000000}"/>
  <bookViews>
    <workbookView xWindow="-120" yWindow="-120" windowWidth="24240" windowHeight="13020" firstSheet="4" activeTab="13" xr2:uid="{00000000-000D-0000-FFFF-FFFF00000000}"/>
  </bookViews>
  <sheets>
    <sheet name="CA6.1" sheetId="1" r:id="rId1"/>
    <sheet name="CA6.2" sheetId="2" r:id="rId2"/>
    <sheet name="CA6.3" sheetId="3" r:id="rId3"/>
    <sheet name="CA6.4" sheetId="4" r:id="rId4"/>
    <sheet name="CA6.5" sheetId="5" r:id="rId5"/>
    <sheet name="CA7.1(i)" sheetId="6" r:id="rId6"/>
    <sheet name="CA7.1(ii)" sheetId="7" r:id="rId7"/>
    <sheet name="CA7.1(iii)" sheetId="8" r:id="rId8"/>
    <sheet name="CA7.2(i)" sheetId="9" r:id="rId9"/>
    <sheet name="CA7.2(ii)" sheetId="10" r:id="rId10"/>
    <sheet name="CA7.2(iii)" sheetId="11" r:id="rId11"/>
    <sheet name="CA8.1" sheetId="12" r:id="rId12"/>
    <sheet name="CA8.2" sheetId="13" r:id="rId13"/>
    <sheet name="CA8.3" sheetId="14"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4" i="14" l="1"/>
  <c r="G23" i="14"/>
  <c r="G25" i="14" s="1"/>
  <c r="D24" i="14"/>
  <c r="D25" i="14"/>
  <c r="D26" i="14"/>
  <c r="D23" i="14"/>
  <c r="J20" i="14"/>
  <c r="H6" i="14"/>
  <c r="G7" i="14"/>
  <c r="G12" i="14"/>
  <c r="H17" i="14"/>
  <c r="E4" i="14"/>
  <c r="G4" i="14" s="1"/>
  <c r="F4" i="14"/>
  <c r="H4" i="14" s="1"/>
  <c r="E5" i="14"/>
  <c r="G5" i="14" s="1"/>
  <c r="F5" i="14"/>
  <c r="H5" i="14" s="1"/>
  <c r="E6" i="14"/>
  <c r="G6" i="14" s="1"/>
  <c r="F6" i="14"/>
  <c r="E7" i="14"/>
  <c r="F7" i="14"/>
  <c r="H7" i="14" s="1"/>
  <c r="E8" i="14"/>
  <c r="G8" i="14" s="1"/>
  <c r="F8" i="14"/>
  <c r="H8" i="14" s="1"/>
  <c r="E9" i="14"/>
  <c r="G9" i="14" s="1"/>
  <c r="F9" i="14"/>
  <c r="H9" i="14" s="1"/>
  <c r="E10" i="14"/>
  <c r="G10" i="14" s="1"/>
  <c r="F10" i="14"/>
  <c r="H10" i="14" s="1"/>
  <c r="E11" i="14"/>
  <c r="G11" i="14" s="1"/>
  <c r="I11" i="14" s="1"/>
  <c r="J11" i="14" s="1"/>
  <c r="F11" i="14"/>
  <c r="H11" i="14" s="1"/>
  <c r="E12" i="14"/>
  <c r="F12" i="14"/>
  <c r="H12" i="14" s="1"/>
  <c r="E13" i="14"/>
  <c r="G13" i="14" s="1"/>
  <c r="F13" i="14"/>
  <c r="H13" i="14" s="1"/>
  <c r="E14" i="14"/>
  <c r="G14" i="14" s="1"/>
  <c r="F14" i="14"/>
  <c r="H14" i="14" s="1"/>
  <c r="E15" i="14"/>
  <c r="G15" i="14" s="1"/>
  <c r="F15" i="14"/>
  <c r="H15" i="14" s="1"/>
  <c r="E16" i="14"/>
  <c r="G16" i="14" s="1"/>
  <c r="F16" i="14"/>
  <c r="H16" i="14" s="1"/>
  <c r="E17" i="14"/>
  <c r="G17" i="14" s="1"/>
  <c r="F17" i="14"/>
  <c r="E3" i="14"/>
  <c r="G3" i="14" s="1"/>
  <c r="I3" i="14" s="1"/>
  <c r="J3" i="14" s="1"/>
  <c r="F3" i="14"/>
  <c r="H3" i="14" s="1"/>
  <c r="E4" i="13"/>
  <c r="F4" i="13"/>
  <c r="E5" i="13"/>
  <c r="F5" i="13"/>
  <c r="E6" i="13"/>
  <c r="F6" i="13"/>
  <c r="E7" i="13"/>
  <c r="F7" i="13"/>
  <c r="E8" i="13"/>
  <c r="F8" i="13"/>
  <c r="E9" i="13"/>
  <c r="F9" i="13"/>
  <c r="E10" i="13"/>
  <c r="F10" i="13"/>
  <c r="E11" i="13"/>
  <c r="F11" i="13"/>
  <c r="E12" i="13"/>
  <c r="F12" i="13"/>
  <c r="E13" i="13"/>
  <c r="F13" i="13"/>
  <c r="E14" i="13"/>
  <c r="F14" i="13"/>
  <c r="E15" i="13"/>
  <c r="F15" i="13"/>
  <c r="E16" i="13"/>
  <c r="F16" i="13"/>
  <c r="E17" i="13"/>
  <c r="F17" i="13"/>
  <c r="E18" i="13"/>
  <c r="F18" i="13"/>
  <c r="E19" i="13"/>
  <c r="F19" i="13"/>
  <c r="E20" i="13"/>
  <c r="F20" i="13"/>
  <c r="E21" i="13"/>
  <c r="F21" i="13"/>
  <c r="E22" i="13"/>
  <c r="F22" i="13"/>
  <c r="E23" i="13"/>
  <c r="F23" i="13"/>
  <c r="E24" i="13"/>
  <c r="F24" i="13"/>
  <c r="E25" i="13"/>
  <c r="F25" i="13"/>
  <c r="E26" i="13"/>
  <c r="F26" i="13"/>
  <c r="E27" i="13"/>
  <c r="F27" i="13"/>
  <c r="F3" i="13"/>
  <c r="E3" i="13"/>
  <c r="D47" i="12"/>
  <c r="D55" i="12" s="1"/>
  <c r="D46" i="12"/>
  <c r="D45" i="12"/>
  <c r="P10" i="11"/>
  <c r="H6" i="8"/>
  <c r="H5" i="8"/>
  <c r="H4" i="8"/>
  <c r="K12" i="11"/>
  <c r="N11" i="11"/>
  <c r="P11" i="11" s="1"/>
  <c r="N10" i="11"/>
  <c r="Q10" i="11" s="1"/>
  <c r="N9" i="11"/>
  <c r="P9" i="11"/>
  <c r="O9" i="11"/>
  <c r="N8" i="11"/>
  <c r="Q8" i="11" s="1"/>
  <c r="N7" i="11"/>
  <c r="P7" i="11" s="1"/>
  <c r="N6" i="11"/>
  <c r="Q6" i="11" s="1"/>
  <c r="N5" i="11"/>
  <c r="O5" i="11" s="1"/>
  <c r="N4" i="11"/>
  <c r="R4" i="11" s="1"/>
  <c r="B125" i="11"/>
  <c r="C5" i="11"/>
  <c r="D5" i="11"/>
  <c r="E5" i="11"/>
  <c r="C6" i="11"/>
  <c r="D6" i="11"/>
  <c r="E6" i="11"/>
  <c r="C7" i="11"/>
  <c r="D7" i="11"/>
  <c r="E7" i="11"/>
  <c r="C8" i="11"/>
  <c r="D8" i="11"/>
  <c r="E8" i="11"/>
  <c r="C9" i="11"/>
  <c r="D9" i="11"/>
  <c r="E9" i="11"/>
  <c r="C10" i="11"/>
  <c r="D10" i="11"/>
  <c r="E10" i="11"/>
  <c r="C11" i="11"/>
  <c r="D11" i="11"/>
  <c r="E11" i="11"/>
  <c r="C12" i="11"/>
  <c r="D12" i="11"/>
  <c r="E12" i="11"/>
  <c r="C13" i="11"/>
  <c r="D13" i="11"/>
  <c r="E13" i="11"/>
  <c r="C14" i="11"/>
  <c r="D14" i="11"/>
  <c r="E14" i="11"/>
  <c r="C15" i="11"/>
  <c r="D15" i="11"/>
  <c r="E15" i="11"/>
  <c r="C16" i="11"/>
  <c r="D16" i="11"/>
  <c r="E16" i="11"/>
  <c r="C17" i="11"/>
  <c r="D17" i="11"/>
  <c r="E17" i="11"/>
  <c r="C18" i="11"/>
  <c r="D18" i="11"/>
  <c r="E18" i="11"/>
  <c r="C19" i="11"/>
  <c r="D19" i="11"/>
  <c r="E19" i="11"/>
  <c r="C20" i="11"/>
  <c r="D20" i="11"/>
  <c r="E20" i="11"/>
  <c r="C21" i="11"/>
  <c r="D21" i="11"/>
  <c r="E21" i="11"/>
  <c r="C22" i="11"/>
  <c r="D22" i="11"/>
  <c r="E22" i="11"/>
  <c r="C23" i="11"/>
  <c r="D23" i="11"/>
  <c r="E23" i="11"/>
  <c r="C24" i="11"/>
  <c r="D24" i="11"/>
  <c r="E24" i="11"/>
  <c r="C25" i="11"/>
  <c r="D25" i="11"/>
  <c r="E25" i="11"/>
  <c r="C26" i="11"/>
  <c r="D26" i="11"/>
  <c r="E26" i="11"/>
  <c r="C27" i="11"/>
  <c r="D27" i="11"/>
  <c r="E27" i="11"/>
  <c r="C28" i="11"/>
  <c r="D28" i="11"/>
  <c r="E28" i="11"/>
  <c r="C29" i="11"/>
  <c r="D29" i="11"/>
  <c r="E29" i="11"/>
  <c r="C30" i="11"/>
  <c r="D30" i="11"/>
  <c r="E30" i="11"/>
  <c r="C31" i="11"/>
  <c r="D31" i="11"/>
  <c r="E31" i="11"/>
  <c r="C32" i="11"/>
  <c r="D32" i="11"/>
  <c r="E32" i="11"/>
  <c r="C33" i="11"/>
  <c r="D33" i="11"/>
  <c r="E33" i="11"/>
  <c r="C34" i="11"/>
  <c r="D34" i="11"/>
  <c r="E34" i="11"/>
  <c r="C35" i="11"/>
  <c r="D35" i="11"/>
  <c r="E35" i="11"/>
  <c r="C36" i="11"/>
  <c r="D36" i="11"/>
  <c r="E36" i="11"/>
  <c r="C37" i="11"/>
  <c r="D37" i="11"/>
  <c r="E37" i="11"/>
  <c r="C38" i="11"/>
  <c r="D38" i="11"/>
  <c r="E38" i="11"/>
  <c r="C39" i="11"/>
  <c r="D39" i="11"/>
  <c r="E39" i="11"/>
  <c r="C40" i="11"/>
  <c r="D40" i="11"/>
  <c r="E40" i="11"/>
  <c r="C41" i="11"/>
  <c r="D41" i="11"/>
  <c r="E41" i="11"/>
  <c r="C42" i="11"/>
  <c r="D42" i="11"/>
  <c r="E42" i="11"/>
  <c r="C43" i="11"/>
  <c r="D43" i="11"/>
  <c r="E43" i="11"/>
  <c r="C44" i="11"/>
  <c r="D44" i="11"/>
  <c r="E44" i="11"/>
  <c r="C45" i="11"/>
  <c r="D45" i="11"/>
  <c r="E45" i="11"/>
  <c r="C46" i="11"/>
  <c r="D46" i="11"/>
  <c r="E46" i="11"/>
  <c r="C47" i="11"/>
  <c r="D47" i="11"/>
  <c r="E47" i="11"/>
  <c r="C48" i="11"/>
  <c r="D48" i="11"/>
  <c r="E48" i="11"/>
  <c r="C49" i="11"/>
  <c r="D49" i="11"/>
  <c r="E49" i="11"/>
  <c r="C50" i="11"/>
  <c r="D50" i="11"/>
  <c r="E50" i="11"/>
  <c r="C51" i="11"/>
  <c r="D51" i="11"/>
  <c r="E51" i="11"/>
  <c r="C52" i="11"/>
  <c r="D52" i="11"/>
  <c r="E52" i="11"/>
  <c r="C53" i="11"/>
  <c r="D53" i="11"/>
  <c r="E53" i="11"/>
  <c r="C54" i="11"/>
  <c r="D54" i="11"/>
  <c r="E54" i="11"/>
  <c r="C55" i="11"/>
  <c r="D55" i="11"/>
  <c r="E55" i="11"/>
  <c r="C56" i="11"/>
  <c r="D56" i="11"/>
  <c r="E56" i="11"/>
  <c r="C57" i="11"/>
  <c r="D57" i="11"/>
  <c r="E57" i="11"/>
  <c r="C58" i="11"/>
  <c r="D58" i="11"/>
  <c r="E58" i="11"/>
  <c r="C59" i="11"/>
  <c r="D59" i="11"/>
  <c r="E59" i="11"/>
  <c r="C60" i="11"/>
  <c r="D60" i="11"/>
  <c r="E60" i="11"/>
  <c r="C61" i="11"/>
  <c r="D61" i="11"/>
  <c r="E61" i="11"/>
  <c r="C62" i="11"/>
  <c r="D62" i="11"/>
  <c r="E62" i="11"/>
  <c r="C63" i="11"/>
  <c r="D63" i="11"/>
  <c r="E63" i="11"/>
  <c r="C64" i="11"/>
  <c r="D64" i="11"/>
  <c r="E64" i="11"/>
  <c r="C65" i="11"/>
  <c r="D65" i="11"/>
  <c r="E65" i="11"/>
  <c r="C66" i="11"/>
  <c r="D66" i="11"/>
  <c r="E66" i="11"/>
  <c r="C67" i="11"/>
  <c r="D67" i="11"/>
  <c r="E67" i="11"/>
  <c r="C68" i="11"/>
  <c r="D68" i="11"/>
  <c r="E68" i="11"/>
  <c r="C69" i="11"/>
  <c r="D69" i="11"/>
  <c r="E69" i="11"/>
  <c r="C70" i="11"/>
  <c r="D70" i="11"/>
  <c r="E70" i="11"/>
  <c r="C71" i="11"/>
  <c r="D71" i="11"/>
  <c r="E71" i="11"/>
  <c r="C72" i="11"/>
  <c r="D72" i="11"/>
  <c r="E72" i="11"/>
  <c r="C73" i="11"/>
  <c r="D73" i="11"/>
  <c r="E73" i="11"/>
  <c r="C74" i="11"/>
  <c r="D74" i="11"/>
  <c r="E74" i="11"/>
  <c r="C75" i="11"/>
  <c r="D75" i="11"/>
  <c r="E75" i="11"/>
  <c r="C76" i="11"/>
  <c r="D76" i="11"/>
  <c r="E76" i="11"/>
  <c r="C77" i="11"/>
  <c r="D77" i="11"/>
  <c r="E77" i="11"/>
  <c r="C78" i="11"/>
  <c r="D78" i="11"/>
  <c r="E78" i="11"/>
  <c r="C79" i="11"/>
  <c r="D79" i="11"/>
  <c r="E79" i="11"/>
  <c r="C80" i="11"/>
  <c r="D80" i="11"/>
  <c r="E80" i="11"/>
  <c r="C81" i="11"/>
  <c r="D81" i="11"/>
  <c r="E81" i="11"/>
  <c r="C82" i="11"/>
  <c r="D82" i="11"/>
  <c r="E82" i="11"/>
  <c r="C83" i="11"/>
  <c r="D83" i="11"/>
  <c r="E83" i="11"/>
  <c r="C84" i="11"/>
  <c r="D84" i="11"/>
  <c r="E84" i="11"/>
  <c r="C85" i="11"/>
  <c r="D85" i="11"/>
  <c r="E85" i="11"/>
  <c r="C86" i="11"/>
  <c r="D86" i="11"/>
  <c r="E86" i="11"/>
  <c r="C87" i="11"/>
  <c r="D87" i="11"/>
  <c r="E87" i="11"/>
  <c r="C88" i="11"/>
  <c r="D88" i="11"/>
  <c r="E88" i="11"/>
  <c r="C89" i="11"/>
  <c r="D89" i="11"/>
  <c r="E89" i="11"/>
  <c r="C90" i="11"/>
  <c r="D90" i="11"/>
  <c r="E90" i="11"/>
  <c r="C91" i="11"/>
  <c r="D91" i="11"/>
  <c r="E91" i="11"/>
  <c r="C92" i="11"/>
  <c r="D92" i="11"/>
  <c r="E92" i="11"/>
  <c r="C93" i="11"/>
  <c r="D93" i="11"/>
  <c r="E93" i="11"/>
  <c r="C94" i="11"/>
  <c r="D94" i="11"/>
  <c r="E94" i="11"/>
  <c r="C95" i="11"/>
  <c r="D95" i="11"/>
  <c r="E95" i="11"/>
  <c r="C96" i="11"/>
  <c r="D96" i="11"/>
  <c r="E96" i="11"/>
  <c r="C97" i="11"/>
  <c r="D97" i="11"/>
  <c r="E97" i="11"/>
  <c r="C98" i="11"/>
  <c r="D98" i="11"/>
  <c r="E98" i="11"/>
  <c r="C99" i="11"/>
  <c r="D99" i="11"/>
  <c r="E99" i="11"/>
  <c r="C100" i="11"/>
  <c r="D100" i="11"/>
  <c r="E100" i="11"/>
  <c r="C101" i="11"/>
  <c r="D101" i="11"/>
  <c r="E101" i="11"/>
  <c r="C102" i="11"/>
  <c r="D102" i="11"/>
  <c r="E102" i="11"/>
  <c r="C103" i="11"/>
  <c r="D103" i="11"/>
  <c r="E103" i="11"/>
  <c r="C104" i="11"/>
  <c r="D104" i="11"/>
  <c r="E104" i="11"/>
  <c r="C105" i="11"/>
  <c r="D105" i="11"/>
  <c r="E105" i="11"/>
  <c r="C106" i="11"/>
  <c r="D106" i="11"/>
  <c r="E106" i="11"/>
  <c r="C107" i="11"/>
  <c r="D107" i="11"/>
  <c r="E107" i="11"/>
  <c r="C108" i="11"/>
  <c r="D108" i="11"/>
  <c r="E108" i="11"/>
  <c r="C109" i="11"/>
  <c r="D109" i="11"/>
  <c r="E109" i="11"/>
  <c r="C110" i="11"/>
  <c r="D110" i="11"/>
  <c r="E110" i="11"/>
  <c r="C111" i="11"/>
  <c r="D111" i="11"/>
  <c r="E111" i="11"/>
  <c r="C112" i="11"/>
  <c r="D112" i="11"/>
  <c r="E112" i="11"/>
  <c r="C113" i="11"/>
  <c r="D113" i="11"/>
  <c r="E113" i="11"/>
  <c r="C114" i="11"/>
  <c r="D114" i="11"/>
  <c r="E114" i="11"/>
  <c r="C115" i="11"/>
  <c r="D115" i="11"/>
  <c r="E115" i="11"/>
  <c r="C116" i="11"/>
  <c r="D116" i="11"/>
  <c r="E116" i="11"/>
  <c r="C117" i="11"/>
  <c r="D117" i="11"/>
  <c r="E117" i="11"/>
  <c r="C118" i="11"/>
  <c r="D118" i="11"/>
  <c r="E118" i="11"/>
  <c r="C119" i="11"/>
  <c r="D119" i="11"/>
  <c r="E119" i="11"/>
  <c r="C120" i="11"/>
  <c r="D120" i="11"/>
  <c r="E120" i="11"/>
  <c r="C121" i="11"/>
  <c r="D121" i="11"/>
  <c r="E121" i="11"/>
  <c r="C122" i="11"/>
  <c r="D122" i="11"/>
  <c r="E122" i="11"/>
  <c r="C123" i="11"/>
  <c r="D123" i="11"/>
  <c r="E123" i="11"/>
  <c r="E4" i="11"/>
  <c r="D4" i="11"/>
  <c r="C4" i="11"/>
  <c r="B126" i="11" s="1"/>
  <c r="B130" i="11" s="1"/>
  <c r="O20" i="10"/>
  <c r="P20" i="10" s="1"/>
  <c r="Q20" i="10" s="1"/>
  <c r="O21" i="10"/>
  <c r="P21" i="10" s="1"/>
  <c r="Q21" i="10" s="1"/>
  <c r="O22" i="10"/>
  <c r="P22" i="10" s="1"/>
  <c r="Q22" i="10" s="1"/>
  <c r="O23" i="10"/>
  <c r="P23" i="10" s="1"/>
  <c r="Q23" i="10" s="1"/>
  <c r="O24" i="10"/>
  <c r="P24" i="10" s="1"/>
  <c r="Q24" i="10" s="1"/>
  <c r="O25" i="10"/>
  <c r="P25" i="10" s="1"/>
  <c r="Q25" i="10" s="1"/>
  <c r="O26" i="10"/>
  <c r="P26" i="10" s="1"/>
  <c r="Q26" i="10" s="1"/>
  <c r="O19" i="10"/>
  <c r="P19" i="10" s="1"/>
  <c r="Q19" i="10" s="1"/>
  <c r="M5" i="10"/>
  <c r="N5" i="10" s="1"/>
  <c r="M6" i="10"/>
  <c r="N6" i="10" s="1"/>
  <c r="M7" i="10"/>
  <c r="N7" i="10" s="1"/>
  <c r="M8" i="10"/>
  <c r="N8" i="10" s="1"/>
  <c r="M9" i="10"/>
  <c r="M10" i="10"/>
  <c r="M11" i="10"/>
  <c r="K16" i="2"/>
  <c r="L16" i="2" s="1"/>
  <c r="K17" i="2"/>
  <c r="L17" i="2" s="1"/>
  <c r="K18" i="2"/>
  <c r="K19" i="2"/>
  <c r="K20" i="2"/>
  <c r="K21" i="2"/>
  <c r="K22" i="2"/>
  <c r="K15" i="2"/>
  <c r="L15" i="2" s="1"/>
  <c r="M4" i="10"/>
  <c r="B129" i="10"/>
  <c r="B127" i="10"/>
  <c r="B128" i="10" s="1"/>
  <c r="B126" i="10"/>
  <c r="B124" i="10"/>
  <c r="C57" i="10" s="1"/>
  <c r="H10" i="9"/>
  <c r="H9" i="9"/>
  <c r="H5" i="9"/>
  <c r="H4" i="9"/>
  <c r="I45" i="9"/>
  <c r="I33" i="9"/>
  <c r="I37" i="9" s="1"/>
  <c r="I50" i="9" s="1"/>
  <c r="I27" i="6"/>
  <c r="I24" i="6"/>
  <c r="I21" i="6"/>
  <c r="I31" i="9"/>
  <c r="I30" i="9"/>
  <c r="F14" i="8"/>
  <c r="J13" i="8"/>
  <c r="I13" i="8"/>
  <c r="H13" i="8"/>
  <c r="G13" i="8"/>
  <c r="J12" i="8"/>
  <c r="I12" i="8"/>
  <c r="H12" i="8"/>
  <c r="G12" i="8"/>
  <c r="J11" i="8"/>
  <c r="I11" i="8"/>
  <c r="H11" i="8"/>
  <c r="G11" i="8"/>
  <c r="J10" i="8"/>
  <c r="I10" i="8"/>
  <c r="H10" i="8"/>
  <c r="G10" i="8"/>
  <c r="J9" i="8"/>
  <c r="I9" i="8"/>
  <c r="H9" i="8"/>
  <c r="G9" i="8"/>
  <c r="J8" i="8"/>
  <c r="I8" i="8"/>
  <c r="H8" i="8"/>
  <c r="G8" i="8"/>
  <c r="J7" i="8"/>
  <c r="I7" i="8"/>
  <c r="H7" i="8"/>
  <c r="G7" i="8"/>
  <c r="J6" i="8"/>
  <c r="I6" i="8"/>
  <c r="I14" i="8" s="1"/>
  <c r="F17" i="8" s="1"/>
  <c r="G6" i="8"/>
  <c r="J5" i="8"/>
  <c r="I5" i="8"/>
  <c r="G5" i="8"/>
  <c r="J4" i="8"/>
  <c r="I4" i="8"/>
  <c r="G4" i="8"/>
  <c r="B29" i="7"/>
  <c r="F22" i="7"/>
  <c r="G22" i="7" s="1"/>
  <c r="D27" i="7"/>
  <c r="D26" i="7"/>
  <c r="D25" i="7"/>
  <c r="D24" i="7"/>
  <c r="D23" i="7"/>
  <c r="D22" i="7"/>
  <c r="D21" i="7"/>
  <c r="D20" i="7"/>
  <c r="D19" i="7"/>
  <c r="D18" i="7"/>
  <c r="B15" i="7"/>
  <c r="G13" i="7"/>
  <c r="D13" i="7"/>
  <c r="G12" i="7"/>
  <c r="D12" i="7"/>
  <c r="G11" i="7"/>
  <c r="D11" i="7"/>
  <c r="G10" i="7"/>
  <c r="D10" i="7"/>
  <c r="G9" i="7"/>
  <c r="D9" i="7"/>
  <c r="G8" i="7"/>
  <c r="D8" i="7"/>
  <c r="G7" i="7"/>
  <c r="D7" i="7"/>
  <c r="G6" i="7"/>
  <c r="D6" i="7"/>
  <c r="G5" i="7"/>
  <c r="D5" i="7"/>
  <c r="G4" i="7"/>
  <c r="D4" i="7"/>
  <c r="H16" i="1"/>
  <c r="I29" i="6"/>
  <c r="I30" i="6"/>
  <c r="J14" i="6"/>
  <c r="J13" i="6"/>
  <c r="J12" i="6"/>
  <c r="J11" i="6"/>
  <c r="J10" i="6"/>
  <c r="J9" i="6"/>
  <c r="J15" i="6" s="1"/>
  <c r="J8" i="6"/>
  <c r="J7" i="6"/>
  <c r="J6" i="6"/>
  <c r="J5" i="6"/>
  <c r="I19" i="6"/>
  <c r="I18" i="6"/>
  <c r="Q4" i="5" a="1"/>
  <c r="Q4" i="5" s="1"/>
  <c r="P16" i="5"/>
  <c r="L9" i="5"/>
  <c r="I4" i="5" a="1"/>
  <c r="I6" i="5" s="1"/>
  <c r="G7" i="5"/>
  <c r="G5" i="5"/>
  <c r="D54" i="5"/>
  <c r="D38" i="4"/>
  <c r="E27" i="3"/>
  <c r="E4" i="3"/>
  <c r="E5" i="3"/>
  <c r="E6" i="3"/>
  <c r="E7" i="3"/>
  <c r="E23" i="3" s="1"/>
  <c r="E8" i="3"/>
  <c r="E9" i="3"/>
  <c r="E10" i="3"/>
  <c r="E11" i="3"/>
  <c r="E12" i="3"/>
  <c r="E13" i="3"/>
  <c r="E14" i="3"/>
  <c r="E15" i="3"/>
  <c r="E16" i="3"/>
  <c r="E17" i="3"/>
  <c r="E18" i="3"/>
  <c r="E19" i="3"/>
  <c r="E20" i="3"/>
  <c r="E21" i="3"/>
  <c r="E22" i="3"/>
  <c r="E3" i="3"/>
  <c r="H23" i="2"/>
  <c r="L57" i="2" s="1"/>
  <c r="L61" i="2" s="1"/>
  <c r="L18" i="2"/>
  <c r="L19" i="2"/>
  <c r="L20" i="2"/>
  <c r="L21" i="2"/>
  <c r="L22" i="2"/>
  <c r="L27" i="2"/>
  <c r="L31" i="2" s="1"/>
  <c r="L45" i="2"/>
  <c r="L49" i="2" s="1"/>
  <c r="I34" i="1"/>
  <c r="I31" i="1"/>
  <c r="I28" i="1"/>
  <c r="I25" i="1"/>
  <c r="I22" i="1"/>
  <c r="I19" i="1"/>
  <c r="J5" i="1"/>
  <c r="J6" i="1"/>
  <c r="J7" i="1"/>
  <c r="J8" i="1"/>
  <c r="J9" i="1"/>
  <c r="J10" i="1"/>
  <c r="J11" i="1"/>
  <c r="J12" i="1"/>
  <c r="J13" i="1"/>
  <c r="J4" i="1"/>
  <c r="C26" i="10"/>
  <c r="C106" i="10"/>
  <c r="C27" i="10"/>
  <c r="R11" i="11"/>
  <c r="R9" i="11"/>
  <c r="Q9" i="11"/>
  <c r="Q5" i="11"/>
  <c r="Q11" i="11"/>
  <c r="R6" i="11"/>
  <c r="D28" i="7" l="1"/>
  <c r="C29" i="7" s="1"/>
  <c r="I7" i="14"/>
  <c r="J7" i="14" s="1"/>
  <c r="I10" i="14"/>
  <c r="J10" i="14" s="1"/>
  <c r="D27" i="14"/>
  <c r="I6" i="14"/>
  <c r="J6" i="14" s="1"/>
  <c r="I4" i="14"/>
  <c r="J4" i="14" s="1"/>
  <c r="I13" i="14"/>
  <c r="J13" i="14" s="1"/>
  <c r="I15" i="14"/>
  <c r="J15" i="14" s="1"/>
  <c r="I16" i="14"/>
  <c r="J16" i="14" s="1"/>
  <c r="I8" i="14"/>
  <c r="J8" i="14" s="1"/>
  <c r="I14" i="14"/>
  <c r="J14" i="14" s="1"/>
  <c r="I9" i="14"/>
  <c r="J9" i="14" s="1"/>
  <c r="I17" i="14"/>
  <c r="J17" i="14" s="1"/>
  <c r="I12" i="14"/>
  <c r="J12" i="14" s="1"/>
  <c r="I5" i="14"/>
  <c r="J5" i="14" s="1"/>
  <c r="G7" i="13"/>
  <c r="H7" i="13" s="1"/>
  <c r="G13" i="13"/>
  <c r="H13" i="13" s="1"/>
  <c r="G17" i="13"/>
  <c r="H17" i="13" s="1"/>
  <c r="G14" i="13"/>
  <c r="H14" i="13" s="1"/>
  <c r="G11" i="13"/>
  <c r="H11" i="13" s="1"/>
  <c r="G5" i="13"/>
  <c r="H5" i="13" s="1"/>
  <c r="G27" i="13"/>
  <c r="H27" i="13" s="1"/>
  <c r="G21" i="13"/>
  <c r="H21" i="13" s="1"/>
  <c r="G22" i="13"/>
  <c r="H22" i="13" s="1"/>
  <c r="G3" i="13"/>
  <c r="H3" i="13" s="1"/>
  <c r="G16" i="13"/>
  <c r="H16" i="13" s="1"/>
  <c r="G4" i="13"/>
  <c r="H4" i="13" s="1"/>
  <c r="G26" i="13"/>
  <c r="H26" i="13" s="1"/>
  <c r="G20" i="13"/>
  <c r="H20" i="13" s="1"/>
  <c r="G9" i="13"/>
  <c r="H9" i="13" s="1"/>
  <c r="G25" i="13"/>
  <c r="H25" i="13" s="1"/>
  <c r="G8" i="13"/>
  <c r="H8" i="13" s="1"/>
  <c r="G24" i="13"/>
  <c r="H24" i="13" s="1"/>
  <c r="G18" i="13"/>
  <c r="H18" i="13" s="1"/>
  <c r="G12" i="13"/>
  <c r="H12" i="13" s="1"/>
  <c r="D53" i="12"/>
  <c r="D54" i="12"/>
  <c r="D49" i="12"/>
  <c r="D50" i="12"/>
  <c r="D51" i="12"/>
  <c r="O6" i="11"/>
  <c r="P6" i="11"/>
  <c r="O7" i="11"/>
  <c r="P5" i="11"/>
  <c r="R5" i="11"/>
  <c r="R10" i="11"/>
  <c r="O10" i="11"/>
  <c r="Q7" i="11"/>
  <c r="B127" i="11"/>
  <c r="B131" i="11" s="1"/>
  <c r="B133" i="11" s="1"/>
  <c r="B134" i="11" s="1"/>
  <c r="O4" i="11"/>
  <c r="R7" i="11"/>
  <c r="B128" i="11"/>
  <c r="B132" i="11" s="1"/>
  <c r="B135" i="11" s="1"/>
  <c r="B136" i="11" s="1"/>
  <c r="O11" i="11"/>
  <c r="P8" i="11"/>
  <c r="P4" i="11"/>
  <c r="R8" i="11"/>
  <c r="Q4" i="11"/>
  <c r="O8" i="11"/>
  <c r="C73" i="10"/>
  <c r="C112" i="10"/>
  <c r="C88" i="10"/>
  <c r="C118" i="10"/>
  <c r="C41" i="10"/>
  <c r="C102" i="10"/>
  <c r="C42" i="10"/>
  <c r="C46" i="10"/>
  <c r="C7" i="10"/>
  <c r="C16" i="10"/>
  <c r="C115" i="10"/>
  <c r="C6" i="10"/>
  <c r="C70" i="10"/>
  <c r="C113" i="10"/>
  <c r="C10" i="10"/>
  <c r="C52" i="10"/>
  <c r="C5" i="10"/>
  <c r="C77" i="10"/>
  <c r="C56" i="10"/>
  <c r="C96" i="10"/>
  <c r="C109" i="10"/>
  <c r="C22" i="10"/>
  <c r="C23" i="10"/>
  <c r="C49" i="10"/>
  <c r="C53" i="10"/>
  <c r="C40" i="10"/>
  <c r="C36" i="10"/>
  <c r="C48" i="10"/>
  <c r="C85" i="10"/>
  <c r="C110" i="10"/>
  <c r="C9" i="10"/>
  <c r="C119" i="10"/>
  <c r="C80" i="10"/>
  <c r="C33" i="10"/>
  <c r="C59" i="10"/>
  <c r="C37" i="10"/>
  <c r="C117" i="10"/>
  <c r="C111" i="10"/>
  <c r="C76" i="10"/>
  <c r="C60" i="10"/>
  <c r="C54" i="10"/>
  <c r="B130" i="10"/>
  <c r="C8" i="10"/>
  <c r="C72" i="10"/>
  <c r="C114" i="10"/>
  <c r="C4" i="10"/>
  <c r="C100" i="10"/>
  <c r="C82" i="10"/>
  <c r="C31" i="10"/>
  <c r="C116" i="10"/>
  <c r="C38" i="10"/>
  <c r="C15" i="10"/>
  <c r="C105" i="10"/>
  <c r="C101" i="10"/>
  <c r="C30" i="10"/>
  <c r="C89" i="10"/>
  <c r="C14" i="10"/>
  <c r="C51" i="10"/>
  <c r="C35" i="10"/>
  <c r="C34" i="10"/>
  <c r="C81" i="10"/>
  <c r="C93" i="10"/>
  <c r="C32" i="10"/>
  <c r="C78" i="10"/>
  <c r="C58" i="10"/>
  <c r="C50" i="10"/>
  <c r="C103" i="10"/>
  <c r="C123" i="10"/>
  <c r="C63" i="10"/>
  <c r="C44" i="10"/>
  <c r="C83" i="10"/>
  <c r="C120" i="10"/>
  <c r="C121" i="10"/>
  <c r="C21" i="10"/>
  <c r="C107" i="10"/>
  <c r="C20" i="10"/>
  <c r="C25" i="10"/>
  <c r="C71" i="10"/>
  <c r="C29" i="10"/>
  <c r="C87" i="10"/>
  <c r="C69" i="10"/>
  <c r="C92" i="10"/>
  <c r="C90" i="10"/>
  <c r="C28" i="10"/>
  <c r="C62" i="10"/>
  <c r="C13" i="10"/>
  <c r="C104" i="10"/>
  <c r="C99" i="10"/>
  <c r="C68" i="10"/>
  <c r="C79" i="10"/>
  <c r="C74" i="10"/>
  <c r="C55" i="10"/>
  <c r="C47" i="10"/>
  <c r="C19" i="10"/>
  <c r="C65" i="10"/>
  <c r="C98" i="10"/>
  <c r="C12" i="10"/>
  <c r="C45" i="10"/>
  <c r="I51" i="9"/>
  <c r="G14" i="8"/>
  <c r="F15" i="8" s="1"/>
  <c r="J14" i="8"/>
  <c r="F18" i="8" s="1"/>
  <c r="H14" i="8"/>
  <c r="F16" i="8" s="1"/>
  <c r="F20" i="8"/>
  <c r="F21" i="8"/>
  <c r="F23" i="8" s="1"/>
  <c r="F24" i="8" s="1"/>
  <c r="F22" i="8"/>
  <c r="F25" i="8" s="1"/>
  <c r="F26" i="8" s="1"/>
  <c r="G14" i="7"/>
  <c r="C16" i="7" s="1"/>
  <c r="D14" i="7"/>
  <c r="C15" i="7" s="1"/>
  <c r="E19" i="7" s="1"/>
  <c r="F19" i="7" s="1"/>
  <c r="G19" i="7" s="1"/>
  <c r="E12" i="7"/>
  <c r="E7" i="7"/>
  <c r="E25" i="7"/>
  <c r="F25" i="7" s="1"/>
  <c r="G25" i="7" s="1"/>
  <c r="I12" i="5"/>
  <c r="I8" i="5"/>
  <c r="I9" i="5"/>
  <c r="I4" i="5"/>
  <c r="I10" i="5"/>
  <c r="I5" i="5"/>
  <c r="I11" i="5"/>
  <c r="I7" i="5"/>
  <c r="I13" i="5"/>
  <c r="L51" i="2"/>
  <c r="L55" i="2" s="1"/>
  <c r="L39" i="2"/>
  <c r="L43" i="2" s="1"/>
  <c r="L33" i="2"/>
  <c r="L37" i="2" s="1"/>
  <c r="L23" i="2"/>
  <c r="L24" i="2" s="1"/>
  <c r="J14" i="1"/>
  <c r="I16" i="1" s="1"/>
  <c r="Q27" i="10"/>
  <c r="N29" i="10" s="1"/>
  <c r="N30" i="10" s="1"/>
  <c r="N31" i="10" s="1"/>
  <c r="C61" i="10"/>
  <c r="C86" i="10"/>
  <c r="C39" i="10"/>
  <c r="C64" i="10"/>
  <c r="C11" i="10"/>
  <c r="C43" i="10"/>
  <c r="C91" i="10"/>
  <c r="C108" i="10"/>
  <c r="C84" i="10"/>
  <c r="C66" i="10"/>
  <c r="N10" i="10"/>
  <c r="C97" i="10"/>
  <c r="C122" i="10"/>
  <c r="C75" i="10"/>
  <c r="C17" i="10"/>
  <c r="C18" i="10"/>
  <c r="C94" i="10"/>
  <c r="C95" i="10"/>
  <c r="C24" i="10"/>
  <c r="C67" i="10"/>
  <c r="N4" i="10"/>
  <c r="N11" i="10"/>
  <c r="N9" i="10"/>
  <c r="G15" i="13"/>
  <c r="H15" i="13" s="1"/>
  <c r="G6" i="13"/>
  <c r="H6" i="13" s="1"/>
  <c r="G23" i="13"/>
  <c r="H23" i="13" s="1"/>
  <c r="G19" i="13"/>
  <c r="H19" i="13" s="1"/>
  <c r="G10" i="13"/>
  <c r="H10" i="13" s="1"/>
  <c r="E20" i="7" l="1"/>
  <c r="F20" i="7" s="1"/>
  <c r="G20" i="7" s="1"/>
  <c r="E6" i="7"/>
  <c r="E26" i="7"/>
  <c r="F26" i="7" s="1"/>
  <c r="G26" i="7" s="1"/>
  <c r="E5" i="7"/>
  <c r="E13" i="7"/>
  <c r="E11" i="7"/>
  <c r="E27" i="7"/>
  <c r="F27" i="7" s="1"/>
  <c r="G27" i="7" s="1"/>
  <c r="E4" i="7"/>
  <c r="E9" i="7"/>
  <c r="E21" i="7"/>
  <c r="F21" i="7" s="1"/>
  <c r="G21" i="7" s="1"/>
  <c r="E10" i="7"/>
  <c r="E24" i="7"/>
  <c r="F24" i="7" s="1"/>
  <c r="G24" i="7" s="1"/>
  <c r="E18" i="7"/>
  <c r="F18" i="7" s="1"/>
  <c r="G18" i="7" s="1"/>
  <c r="E23" i="7"/>
  <c r="F23" i="7" s="1"/>
  <c r="G23" i="7" s="1"/>
  <c r="J18" i="14"/>
  <c r="J21" i="14" s="1"/>
  <c r="H28" i="13"/>
  <c r="H31" i="13" s="1"/>
  <c r="O12" i="11"/>
  <c r="P14" i="11" s="1"/>
  <c r="Q12" i="11"/>
  <c r="P16" i="11" s="1"/>
  <c r="R12" i="11"/>
  <c r="P17" i="11" s="1"/>
  <c r="P12" i="11"/>
  <c r="P15" i="11" s="1"/>
  <c r="P20" i="11"/>
  <c r="P19" i="11"/>
  <c r="D4" i="10" a="1"/>
  <c r="D4" i="10" s="1"/>
  <c r="B125" i="10" s="1"/>
  <c r="N12" i="10"/>
  <c r="N13" i="10" s="1"/>
  <c r="G28" i="7" l="1"/>
  <c r="C30" i="7" s="1"/>
  <c r="C31" i="7" s="1"/>
  <c r="C32" i="7" s="1"/>
  <c r="P21" i="11"/>
  <c r="P22" i="11"/>
  <c r="P23" i="11" s="1"/>
  <c r="P24" i="11"/>
  <c r="P25" i="11" s="1"/>
  <c r="O5" i="10"/>
  <c r="O6" i="10"/>
  <c r="O8" i="10"/>
  <c r="O7" i="10"/>
  <c r="O11" i="10"/>
  <c r="O10" i="10"/>
  <c r="O9" i="10"/>
  <c r="O4" i="10"/>
  <c r="P4" i="10" s="1" a="1"/>
  <c r="Q9" i="10" l="1"/>
  <c r="Q10" i="10"/>
  <c r="Q6" i="10"/>
  <c r="Q8" i="10"/>
  <c r="Q7" i="10"/>
  <c r="P4" i="10"/>
  <c r="Q4" i="10" s="1"/>
  <c r="Q11" i="10"/>
  <c r="Q5" i="10"/>
  <c r="Q12" i="10" l="1"/>
  <c r="N14"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<sst xmlns="http://schemas.openxmlformats.org/spreadsheetml/2006/main" count="519" uniqueCount="253">
  <si>
    <t>Consumption of Eggs</t>
  </si>
  <si>
    <t>Total</t>
  </si>
  <si>
    <t>Consumption of Eggs          (x)</t>
  </si>
  <si>
    <t>No. of Families (f)</t>
  </si>
  <si>
    <t>fx</t>
  </si>
  <si>
    <t>≈    5</t>
  </si>
  <si>
    <t xml:space="preserve">Median </t>
  </si>
  <si>
    <t>N/2</t>
  </si>
  <si>
    <t>N/4</t>
  </si>
  <si>
    <r>
      <t>1</t>
    </r>
    <r>
      <rPr>
        <b/>
        <vertAlign val="superscript"/>
        <sz val="11"/>
        <color theme="1"/>
        <rFont val="Calibri"/>
        <family val="2"/>
        <scheme val="minor"/>
      </rPr>
      <t>st</t>
    </r>
    <r>
      <rPr>
        <b/>
        <sz val="11"/>
        <color theme="1"/>
        <rFont val="Calibri"/>
        <family val="2"/>
        <scheme val="minor"/>
      </rPr>
      <t xml:space="preserve"> Quartile</t>
    </r>
  </si>
  <si>
    <r>
      <t>2</t>
    </r>
    <r>
      <rPr>
        <b/>
        <vertAlign val="superscript"/>
        <sz val="11"/>
        <color theme="1"/>
        <rFont val="Calibri"/>
        <family val="2"/>
        <scheme val="minor"/>
      </rPr>
      <t>nd</t>
    </r>
    <r>
      <rPr>
        <b/>
        <sz val="11"/>
        <color theme="1"/>
        <rFont val="Calibri"/>
        <family val="2"/>
        <scheme val="minor"/>
      </rPr>
      <t xml:space="preserve"> Quartile</t>
    </r>
  </si>
  <si>
    <t>2N/4</t>
  </si>
  <si>
    <t>3rd Quartile</t>
  </si>
  <si>
    <t>3N/4</t>
  </si>
  <si>
    <r>
      <t>4</t>
    </r>
    <r>
      <rPr>
        <b/>
        <vertAlign val="superscript"/>
        <sz val="11"/>
        <color theme="1"/>
        <rFont val="Calibri"/>
        <family val="2"/>
        <scheme val="minor"/>
      </rPr>
      <t>th</t>
    </r>
    <r>
      <rPr>
        <b/>
        <sz val="11"/>
        <color theme="1"/>
        <rFont val="Calibri"/>
        <family val="2"/>
        <scheme val="minor"/>
      </rPr>
      <t xml:space="preserve"> Decile</t>
    </r>
  </si>
  <si>
    <t>4N/10</t>
  </si>
  <si>
    <r>
      <t>37</t>
    </r>
    <r>
      <rPr>
        <b/>
        <vertAlign val="superscript"/>
        <sz val="11"/>
        <color theme="1"/>
        <rFont val="Calibri"/>
        <family val="2"/>
        <scheme val="minor"/>
      </rPr>
      <t>th</t>
    </r>
    <r>
      <rPr>
        <b/>
        <sz val="11"/>
        <color theme="1"/>
        <rFont val="Calibri"/>
        <family val="2"/>
        <scheme val="minor"/>
      </rPr>
      <t xml:space="preserve"> Percentile</t>
    </r>
  </si>
  <si>
    <t>37N/100</t>
  </si>
  <si>
    <t>S. no.</t>
  </si>
  <si>
    <t>(in mm)</t>
  </si>
  <si>
    <t>x̄</t>
  </si>
  <si>
    <t>150-165</t>
  </si>
  <si>
    <t>165-180</t>
  </si>
  <si>
    <t>180-195</t>
  </si>
  <si>
    <t>195-210</t>
  </si>
  <si>
    <t>210-225</t>
  </si>
  <si>
    <t>225-240</t>
  </si>
  <si>
    <t>240-255</t>
  </si>
  <si>
    <t>255-270</t>
  </si>
  <si>
    <t xml:space="preserve">Class Interval </t>
  </si>
  <si>
    <t xml:space="preserve">Lower limit </t>
  </si>
  <si>
    <t xml:space="preserve">Upper limit </t>
  </si>
  <si>
    <t>Mid Value (x)</t>
  </si>
  <si>
    <t>Amount of Rainfall (f)</t>
  </si>
  <si>
    <t>N = ∑f</t>
  </si>
  <si>
    <t>∑fx</t>
  </si>
  <si>
    <t>Screenshot/ Result CA6.2</t>
  </si>
  <si>
    <t xml:space="preserve">The continuous frequency distribution from the given data can be obtained as - </t>
  </si>
  <si>
    <t xml:space="preserve">The discrete frequency from the given data can be obtained as - </t>
  </si>
  <si>
    <t>For continuous distribution-</t>
  </si>
  <si>
    <t>Frequency (Less than cummulative frequency)</t>
  </si>
  <si>
    <t>L</t>
  </si>
  <si>
    <t>C</t>
  </si>
  <si>
    <t>f</t>
  </si>
  <si>
    <t>h</t>
  </si>
  <si>
    <t>For raw data -</t>
  </si>
  <si>
    <r>
      <t>1</t>
    </r>
    <r>
      <rPr>
        <b/>
        <vertAlign val="superscript"/>
        <sz val="12"/>
        <color theme="1"/>
        <rFont val="Calibri"/>
        <family val="2"/>
        <scheme val="minor"/>
      </rPr>
      <t>st</t>
    </r>
    <r>
      <rPr>
        <b/>
        <sz val="12"/>
        <color theme="1"/>
        <rFont val="Calibri"/>
        <family val="2"/>
        <scheme val="minor"/>
      </rPr>
      <t xml:space="preserve"> Quartile</t>
    </r>
  </si>
  <si>
    <r>
      <t>Q</t>
    </r>
    <r>
      <rPr>
        <vertAlign val="subscript"/>
        <sz val="12"/>
        <color theme="1"/>
        <rFont val="Calibri"/>
        <family val="2"/>
        <scheme val="minor"/>
      </rPr>
      <t>1</t>
    </r>
  </si>
  <si>
    <r>
      <t>2</t>
    </r>
    <r>
      <rPr>
        <b/>
        <vertAlign val="superscript"/>
        <sz val="12"/>
        <color theme="1"/>
        <rFont val="Calibri"/>
        <family val="2"/>
        <scheme val="minor"/>
      </rPr>
      <t>nd</t>
    </r>
    <r>
      <rPr>
        <b/>
        <sz val="12"/>
        <color theme="1"/>
        <rFont val="Calibri"/>
        <family val="2"/>
        <scheme val="minor"/>
      </rPr>
      <t xml:space="preserve"> Quartile</t>
    </r>
  </si>
  <si>
    <r>
      <t>Q</t>
    </r>
    <r>
      <rPr>
        <vertAlign val="subscript"/>
        <sz val="12"/>
        <color theme="1"/>
        <rFont val="Calibri"/>
        <family val="2"/>
        <scheme val="minor"/>
      </rPr>
      <t>2</t>
    </r>
  </si>
  <si>
    <r>
      <t>Q</t>
    </r>
    <r>
      <rPr>
        <vertAlign val="subscript"/>
        <sz val="12"/>
        <color theme="1"/>
        <rFont val="Calibri"/>
        <family val="2"/>
        <scheme val="minor"/>
      </rPr>
      <t>3</t>
    </r>
  </si>
  <si>
    <r>
      <t>4</t>
    </r>
    <r>
      <rPr>
        <b/>
        <vertAlign val="superscript"/>
        <sz val="12"/>
        <color theme="1"/>
        <rFont val="Calibri"/>
        <family val="2"/>
        <scheme val="minor"/>
      </rPr>
      <t>th</t>
    </r>
    <r>
      <rPr>
        <b/>
        <sz val="12"/>
        <color theme="1"/>
        <rFont val="Calibri"/>
        <family val="2"/>
        <scheme val="minor"/>
      </rPr>
      <t xml:space="preserve"> Decile</t>
    </r>
  </si>
  <si>
    <r>
      <t>D</t>
    </r>
    <r>
      <rPr>
        <vertAlign val="subscript"/>
        <sz val="12"/>
        <color theme="1"/>
        <rFont val="Calibri"/>
        <family val="2"/>
        <scheme val="minor"/>
      </rPr>
      <t>4</t>
    </r>
  </si>
  <si>
    <r>
      <t>37</t>
    </r>
    <r>
      <rPr>
        <b/>
        <vertAlign val="superscript"/>
        <sz val="12"/>
        <color theme="1"/>
        <rFont val="Calibri"/>
        <family val="2"/>
        <scheme val="minor"/>
      </rPr>
      <t>th</t>
    </r>
    <r>
      <rPr>
        <b/>
        <sz val="12"/>
        <color theme="1"/>
        <rFont val="Calibri"/>
        <family val="2"/>
        <scheme val="minor"/>
      </rPr>
      <t xml:space="preserve"> Percentile</t>
    </r>
  </si>
  <si>
    <r>
      <t>P</t>
    </r>
    <r>
      <rPr>
        <vertAlign val="subscript"/>
        <sz val="12"/>
        <color theme="1"/>
        <rFont val="Calibri"/>
        <family val="2"/>
        <scheme val="minor"/>
      </rPr>
      <t>37</t>
    </r>
  </si>
  <si>
    <t xml:space="preserve">Year </t>
  </si>
  <si>
    <t>Rise in Price(%)</t>
  </si>
  <si>
    <t xml:space="preserve">S. No. </t>
  </si>
  <si>
    <t>Speed (km/h)</t>
  </si>
  <si>
    <t>Size of Shoe</t>
  </si>
  <si>
    <t>S. No.</t>
  </si>
  <si>
    <t>Price Increase (Assuming the intial increase as 100)</t>
  </si>
  <si>
    <t xml:space="preserve">GM </t>
  </si>
  <si>
    <t>145.6074773 - 100</t>
  </si>
  <si>
    <t>=</t>
  </si>
  <si>
    <t>≈ 46%</t>
  </si>
  <si>
    <t xml:space="preserve">The average percentage increase in price of product from Year 1994 to 2013 </t>
  </si>
  <si>
    <t xml:space="preserve">HM </t>
  </si>
  <si>
    <t>Screenshot/ Result CA6.4</t>
  </si>
  <si>
    <t>Screenshot/ Result CA6.3</t>
  </si>
  <si>
    <t>Mode</t>
  </si>
  <si>
    <t xml:space="preserve">For the raw data, </t>
  </si>
  <si>
    <t xml:space="preserve">For the discrete frequency distribution data, </t>
  </si>
  <si>
    <t xml:space="preserve">No. of person (frequency) </t>
  </si>
  <si>
    <t>Max</t>
  </si>
  <si>
    <t>Min</t>
  </si>
  <si>
    <t>≈ 1</t>
  </si>
  <si>
    <t xml:space="preserve">Class width </t>
  </si>
  <si>
    <t>For the continuous frequency distribution data -</t>
  </si>
  <si>
    <t>≈ 7</t>
  </si>
  <si>
    <t>so the most preferrable average size of shoe is 7.</t>
  </si>
  <si>
    <t xml:space="preserve">The modal size  of shoe is 7,  </t>
  </si>
  <si>
    <t>The modal size of shoe is 7, so the most preferrable average size of shoe is 7.</t>
  </si>
  <si>
    <t xml:space="preserve">Thus the modal size of shoe is approximately 7, </t>
  </si>
  <si>
    <t>Screenshot/ Result CA6.5</t>
  </si>
  <si>
    <r>
      <rPr>
        <b/>
        <sz val="11"/>
        <color rgb="FF212121"/>
        <rFont val="Times New Roman"/>
        <family val="1"/>
      </rPr>
      <t>Family No.</t>
    </r>
  </si>
  <si>
    <r>
      <t>M</t>
    </r>
    <r>
      <rPr>
        <vertAlign val="subscript"/>
        <sz val="12"/>
        <color theme="1"/>
        <rFont val="Calibri"/>
        <family val="2"/>
        <scheme val="minor"/>
      </rPr>
      <t>d</t>
    </r>
  </si>
  <si>
    <r>
      <t>Q</t>
    </r>
    <r>
      <rPr>
        <b/>
        <vertAlign val="subscript"/>
        <sz val="12"/>
        <color theme="1"/>
        <rFont val="Calibri"/>
        <family val="2"/>
        <scheme val="minor"/>
      </rPr>
      <t>1</t>
    </r>
  </si>
  <si>
    <r>
      <t>Q</t>
    </r>
    <r>
      <rPr>
        <b/>
        <vertAlign val="subscript"/>
        <sz val="12"/>
        <color theme="1"/>
        <rFont val="Calibri"/>
        <family val="2"/>
        <scheme val="minor"/>
      </rPr>
      <t>2</t>
    </r>
  </si>
  <si>
    <r>
      <t>Q</t>
    </r>
    <r>
      <rPr>
        <b/>
        <vertAlign val="subscript"/>
        <sz val="12"/>
        <color theme="1"/>
        <rFont val="Calibri"/>
        <family val="2"/>
        <scheme val="minor"/>
      </rPr>
      <t>3</t>
    </r>
  </si>
  <si>
    <r>
      <t>P</t>
    </r>
    <r>
      <rPr>
        <b/>
        <vertAlign val="subscript"/>
        <sz val="12"/>
        <color theme="1"/>
        <rFont val="Calibri"/>
        <family val="2"/>
        <scheme val="minor"/>
      </rPr>
      <t>37</t>
    </r>
  </si>
  <si>
    <r>
      <t>D</t>
    </r>
    <r>
      <rPr>
        <b/>
        <vertAlign val="subscript"/>
        <sz val="12"/>
        <color theme="1"/>
        <rFont val="Calibri"/>
        <family val="2"/>
        <scheme val="minor"/>
      </rPr>
      <t>4</t>
    </r>
  </si>
  <si>
    <t xml:space="preserve">        3.5 - 4.5</t>
  </si>
  <si>
    <t xml:space="preserve">        4.5 - 5.5</t>
  </si>
  <si>
    <t xml:space="preserve">        5.5 - 6.5</t>
  </si>
  <si>
    <t xml:space="preserve">        6.5 - 7.5</t>
  </si>
  <si>
    <t xml:space="preserve">        7.5 - 8.5</t>
  </si>
  <si>
    <t xml:space="preserve">        8.5 - 9.5</t>
  </si>
  <si>
    <t xml:space="preserve">        9.5 - 10.5</t>
  </si>
  <si>
    <t>Class Interval (exclusive)</t>
  </si>
  <si>
    <t>Class Interval (inclusive)</t>
  </si>
  <si>
    <t xml:space="preserve">        3.5 - 4</t>
  </si>
  <si>
    <t xml:space="preserve">        4.5 - 5</t>
  </si>
  <si>
    <t xml:space="preserve">        5.5 - 6</t>
  </si>
  <si>
    <t xml:space="preserve">        6.5 - 7</t>
  </si>
  <si>
    <t xml:space="preserve">        7.5 - 8</t>
  </si>
  <si>
    <t xml:space="preserve">        8.5 - 9</t>
  </si>
  <si>
    <t xml:space="preserve">        9.5 - 10</t>
  </si>
  <si>
    <t>Bin</t>
  </si>
  <si>
    <t>PART B - DESCRIPTIVE STATISTICS</t>
  </si>
  <si>
    <r>
      <t>f</t>
    </r>
    <r>
      <rPr>
        <b/>
        <vertAlign val="subscript"/>
        <sz val="14"/>
        <color theme="1"/>
        <rFont val="Calibri"/>
        <family val="2"/>
        <scheme val="minor"/>
      </rPr>
      <t>1</t>
    </r>
  </si>
  <si>
    <r>
      <t>f</t>
    </r>
    <r>
      <rPr>
        <b/>
        <vertAlign val="subscript"/>
        <sz val="14"/>
        <color theme="1"/>
        <rFont val="Calibri"/>
        <family val="2"/>
        <scheme val="minor"/>
      </rPr>
      <t>0</t>
    </r>
  </si>
  <si>
    <r>
      <t>f</t>
    </r>
    <r>
      <rPr>
        <b/>
        <vertAlign val="subscript"/>
        <sz val="14"/>
        <color theme="1"/>
        <rFont val="Calibri"/>
        <family val="2"/>
        <scheme val="minor"/>
      </rPr>
      <t>2</t>
    </r>
  </si>
  <si>
    <t xml:space="preserve">Range </t>
  </si>
  <si>
    <t>Consumption of Eggs (x)</t>
  </si>
  <si>
    <t xml:space="preserve">Following is the discrete frequency distribution - </t>
  </si>
  <si>
    <t>(i)</t>
  </si>
  <si>
    <t>(ii)</t>
  </si>
  <si>
    <t>(X-X̄)</t>
  </si>
  <si>
    <t>|X-X̄|</t>
  </si>
  <si>
    <t>f|X-X̄|</t>
  </si>
  <si>
    <t>∑f|X-X̄|</t>
  </si>
  <si>
    <r>
      <t>(X-X̄)</t>
    </r>
    <r>
      <rPr>
        <b/>
        <vertAlign val="superscript"/>
        <sz val="12"/>
        <color theme="1"/>
        <rFont val="Calibri"/>
        <family val="2"/>
        <scheme val="minor"/>
      </rPr>
      <t>2</t>
    </r>
  </si>
  <si>
    <r>
      <t>f (X-X̄)</t>
    </r>
    <r>
      <rPr>
        <b/>
        <vertAlign val="superscript"/>
        <sz val="12"/>
        <color theme="1"/>
        <rFont val="Calibri"/>
        <family val="2"/>
        <scheme val="minor"/>
      </rPr>
      <t>2</t>
    </r>
  </si>
  <si>
    <r>
      <t>∑f (X-X̄)</t>
    </r>
    <r>
      <rPr>
        <b/>
        <vertAlign val="superscript"/>
        <sz val="12"/>
        <color theme="1"/>
        <rFont val="Calibri"/>
        <family val="2"/>
      </rPr>
      <t>2</t>
    </r>
  </si>
  <si>
    <t>Variance</t>
  </si>
  <si>
    <t>MD (Mean Deviation)</t>
  </si>
  <si>
    <t>SD (Standard deviation)</t>
  </si>
  <si>
    <t>CV (Coefficient of variation)</t>
  </si>
  <si>
    <r>
      <t>fx</t>
    </r>
    <r>
      <rPr>
        <b/>
        <vertAlign val="superscript"/>
        <sz val="12"/>
        <color theme="1"/>
        <rFont val="Calibri"/>
        <family val="2"/>
        <scheme val="minor"/>
      </rPr>
      <t>2</t>
    </r>
  </si>
  <si>
    <r>
      <t>γ</t>
    </r>
    <r>
      <rPr>
        <b/>
        <vertAlign val="subscript"/>
        <sz val="14"/>
        <color theme="1"/>
        <rFont val="Calibri"/>
        <family val="2"/>
        <scheme val="minor"/>
      </rPr>
      <t>1</t>
    </r>
  </si>
  <si>
    <r>
      <t>µ</t>
    </r>
    <r>
      <rPr>
        <b/>
        <vertAlign val="subscript"/>
        <sz val="14"/>
        <color theme="1"/>
        <rFont val="Calibri"/>
        <family val="2"/>
        <scheme val="minor"/>
      </rPr>
      <t>1</t>
    </r>
    <r>
      <rPr>
        <b/>
        <sz val="14"/>
        <color theme="1"/>
        <rFont val="Calibri"/>
        <family val="2"/>
        <scheme val="minor"/>
      </rPr>
      <t>'</t>
    </r>
  </si>
  <si>
    <r>
      <t>µ</t>
    </r>
    <r>
      <rPr>
        <b/>
        <vertAlign val="subscript"/>
        <sz val="14"/>
        <color theme="1"/>
        <rFont val="Calibri"/>
        <family val="2"/>
        <scheme val="minor"/>
      </rPr>
      <t>2</t>
    </r>
    <r>
      <rPr>
        <b/>
        <sz val="14"/>
        <color theme="1"/>
        <rFont val="Calibri"/>
        <family val="2"/>
        <scheme val="minor"/>
      </rPr>
      <t>'</t>
    </r>
  </si>
  <si>
    <r>
      <t>µ</t>
    </r>
    <r>
      <rPr>
        <b/>
        <vertAlign val="subscript"/>
        <sz val="14"/>
        <color theme="1"/>
        <rFont val="Calibri"/>
        <family val="2"/>
        <scheme val="minor"/>
      </rPr>
      <t>3</t>
    </r>
    <r>
      <rPr>
        <b/>
        <sz val="14"/>
        <color theme="1"/>
        <rFont val="Calibri"/>
        <family val="2"/>
        <scheme val="minor"/>
      </rPr>
      <t>'</t>
    </r>
  </si>
  <si>
    <r>
      <t>µ</t>
    </r>
    <r>
      <rPr>
        <b/>
        <vertAlign val="subscript"/>
        <sz val="14"/>
        <color theme="1"/>
        <rFont val="Calibri"/>
        <family val="2"/>
        <scheme val="minor"/>
      </rPr>
      <t>4</t>
    </r>
    <r>
      <rPr>
        <b/>
        <sz val="14"/>
        <color theme="1"/>
        <rFont val="Calibri"/>
        <family val="2"/>
        <scheme val="minor"/>
      </rPr>
      <t>'</t>
    </r>
  </si>
  <si>
    <r>
      <t>ß</t>
    </r>
    <r>
      <rPr>
        <b/>
        <vertAlign val="subscript"/>
        <sz val="14"/>
        <color theme="1"/>
        <rFont val="Arial"/>
        <family val="2"/>
      </rPr>
      <t>1</t>
    </r>
  </si>
  <si>
    <r>
      <t>fx</t>
    </r>
    <r>
      <rPr>
        <b/>
        <vertAlign val="superscript"/>
        <sz val="12"/>
        <color theme="1"/>
        <rFont val="Calibri"/>
        <family val="2"/>
        <scheme val="minor"/>
      </rPr>
      <t>3</t>
    </r>
  </si>
  <si>
    <r>
      <t>fx</t>
    </r>
    <r>
      <rPr>
        <b/>
        <vertAlign val="superscript"/>
        <sz val="12"/>
        <color theme="1"/>
        <rFont val="Calibri"/>
        <family val="2"/>
        <scheme val="minor"/>
      </rPr>
      <t>4</t>
    </r>
  </si>
  <si>
    <r>
      <t>ß</t>
    </r>
    <r>
      <rPr>
        <b/>
        <vertAlign val="subscript"/>
        <sz val="14"/>
        <color theme="1"/>
        <rFont val="Arial"/>
        <family val="2"/>
      </rPr>
      <t>2</t>
    </r>
  </si>
  <si>
    <r>
      <t>γ</t>
    </r>
    <r>
      <rPr>
        <b/>
        <vertAlign val="subscript"/>
        <sz val="14"/>
        <color theme="1"/>
        <rFont val="Calibri"/>
        <family val="2"/>
        <scheme val="minor"/>
      </rPr>
      <t>2</t>
    </r>
  </si>
  <si>
    <t>(iii)</t>
  </si>
  <si>
    <t xml:space="preserve"> From discrete frequency distribution - </t>
  </si>
  <si>
    <r>
      <t xml:space="preserve"> </t>
    </r>
    <r>
      <rPr>
        <b/>
        <sz val="14"/>
        <color theme="1"/>
        <rFont val="Calibri"/>
        <family val="2"/>
        <scheme val="minor"/>
      </rPr>
      <t>From discrete frequency distribution -</t>
    </r>
    <r>
      <rPr>
        <sz val="12"/>
        <color theme="1"/>
        <rFont val="Calibri"/>
        <family val="2"/>
        <scheme val="minor"/>
      </rPr>
      <t xml:space="preserve"> </t>
    </r>
  </si>
  <si>
    <t>QD (Quartile Deviation)</t>
  </si>
  <si>
    <t>Coefficient of range</t>
  </si>
  <si>
    <t>Coefficient of QD</t>
  </si>
  <si>
    <t>Screenshot/ Result CA7.1(ii)</t>
  </si>
  <si>
    <t>Screenshot/ Result CA7.1(iii)</t>
  </si>
  <si>
    <t>Class Interval (Exclusive)</t>
  </si>
  <si>
    <t>Class Interval (Inclusive)</t>
  </si>
  <si>
    <t>Rainfall (Frequency)</t>
  </si>
  <si>
    <t>150-164</t>
  </si>
  <si>
    <t>Min =</t>
  </si>
  <si>
    <t>165-179</t>
  </si>
  <si>
    <t>180-194</t>
  </si>
  <si>
    <t>Max =</t>
  </si>
  <si>
    <t>195-209</t>
  </si>
  <si>
    <t>210-224</t>
  </si>
  <si>
    <t>Class width =</t>
  </si>
  <si>
    <t>225-239</t>
  </si>
  <si>
    <t>240-254</t>
  </si>
  <si>
    <t>(15 approx)</t>
  </si>
  <si>
    <t>255-269</t>
  </si>
  <si>
    <t xml:space="preserve">For raw data - </t>
  </si>
  <si>
    <r>
      <t>3</t>
    </r>
    <r>
      <rPr>
        <b/>
        <vertAlign val="superscript"/>
        <sz val="12"/>
        <color theme="1"/>
        <rFont val="Calibri"/>
        <family val="2"/>
        <scheme val="minor"/>
      </rPr>
      <t>rd</t>
    </r>
    <r>
      <rPr>
        <b/>
        <sz val="12"/>
        <color theme="1"/>
        <rFont val="Calibri"/>
        <family val="2"/>
        <scheme val="minor"/>
      </rPr>
      <t xml:space="preserve"> Quartile</t>
    </r>
  </si>
  <si>
    <t xml:space="preserve">For continuous frequency distribution - </t>
  </si>
  <si>
    <t>Screenshot/ Result CA7.2(i)</t>
  </si>
  <si>
    <t>(by using AVEDV function)</t>
  </si>
  <si>
    <t>(by using STDEVP function)</t>
  </si>
  <si>
    <t>Rainfall(f)</t>
  </si>
  <si>
    <r>
      <t>f(X-X̄)</t>
    </r>
    <r>
      <rPr>
        <b/>
        <vertAlign val="superscript"/>
        <sz val="12"/>
        <color theme="1"/>
        <rFont val="Calibri"/>
        <family val="2"/>
        <scheme val="minor"/>
      </rPr>
      <t>2</t>
    </r>
  </si>
  <si>
    <r>
      <t>∑f(X-X̄)</t>
    </r>
    <r>
      <rPr>
        <b/>
        <vertAlign val="superscript"/>
        <sz val="12"/>
        <color theme="1"/>
        <rFont val="Calibri"/>
        <family val="2"/>
      </rPr>
      <t>2</t>
    </r>
  </si>
  <si>
    <t>X̄</t>
  </si>
  <si>
    <t>Mid Value (X)</t>
  </si>
  <si>
    <r>
      <t>X</t>
    </r>
    <r>
      <rPr>
        <b/>
        <vertAlign val="superscript"/>
        <sz val="12"/>
        <color rgb="FF000000"/>
        <rFont val="Calibri"/>
        <family val="2"/>
      </rPr>
      <t>2</t>
    </r>
  </si>
  <si>
    <r>
      <t>X</t>
    </r>
    <r>
      <rPr>
        <b/>
        <vertAlign val="superscript"/>
        <sz val="12"/>
        <color rgb="FF000000"/>
        <rFont val="Calibri"/>
        <family val="2"/>
      </rPr>
      <t>3</t>
    </r>
  </si>
  <si>
    <r>
      <t>X</t>
    </r>
    <r>
      <rPr>
        <b/>
        <vertAlign val="superscript"/>
        <sz val="12"/>
        <color rgb="FF000000"/>
        <rFont val="Calibri"/>
        <family val="2"/>
      </rPr>
      <t>4</t>
    </r>
  </si>
  <si>
    <r>
      <t>µ</t>
    </r>
    <r>
      <rPr>
        <b/>
        <vertAlign val="subscript"/>
        <sz val="14"/>
        <color theme="1"/>
        <rFont val="Calibri"/>
        <family val="2"/>
        <scheme val="minor"/>
      </rPr>
      <t>1</t>
    </r>
  </si>
  <si>
    <r>
      <t>µ</t>
    </r>
    <r>
      <rPr>
        <b/>
        <vertAlign val="subscript"/>
        <sz val="14"/>
        <color theme="1"/>
        <rFont val="Calibri"/>
        <family val="2"/>
        <scheme val="minor"/>
      </rPr>
      <t>2</t>
    </r>
  </si>
  <si>
    <r>
      <t>µ</t>
    </r>
    <r>
      <rPr>
        <b/>
        <vertAlign val="subscript"/>
        <sz val="14"/>
        <color theme="1"/>
        <rFont val="Calibri"/>
        <family val="2"/>
        <scheme val="minor"/>
      </rPr>
      <t>3</t>
    </r>
  </si>
  <si>
    <r>
      <t>µ</t>
    </r>
    <r>
      <rPr>
        <b/>
        <vertAlign val="subscript"/>
        <sz val="14"/>
        <color theme="1"/>
        <rFont val="Calibri"/>
        <family val="2"/>
        <scheme val="minor"/>
      </rPr>
      <t>4</t>
    </r>
  </si>
  <si>
    <t>Rainfall (in mm)</t>
  </si>
  <si>
    <t>Rainfall (in mm) (X)</t>
  </si>
  <si>
    <r>
      <t>fX</t>
    </r>
    <r>
      <rPr>
        <b/>
        <vertAlign val="superscript"/>
        <sz val="12"/>
        <color rgb="FF000000"/>
        <rFont val="Calibri"/>
        <family val="2"/>
      </rPr>
      <t>2</t>
    </r>
  </si>
  <si>
    <r>
      <t>fX</t>
    </r>
    <r>
      <rPr>
        <b/>
        <vertAlign val="superscript"/>
        <sz val="12"/>
        <color rgb="FF000000"/>
        <rFont val="Calibri"/>
        <family val="2"/>
      </rPr>
      <t>3</t>
    </r>
  </si>
  <si>
    <r>
      <t>fX</t>
    </r>
    <r>
      <rPr>
        <b/>
        <vertAlign val="superscript"/>
        <sz val="12"/>
        <color rgb="FF000000"/>
        <rFont val="Calibri"/>
        <family val="2"/>
      </rPr>
      <t>4</t>
    </r>
  </si>
  <si>
    <t xml:space="preserve">Moments about the origin - </t>
  </si>
  <si>
    <t xml:space="preserve">Moments about the mean - </t>
  </si>
  <si>
    <t xml:space="preserve">Coefficient of Skewness - </t>
  </si>
  <si>
    <t xml:space="preserve">Coefficient of kurtosis - </t>
  </si>
  <si>
    <t>Screenshot/ Result CA7.2(iii)</t>
  </si>
  <si>
    <t>Screenshot/ Result CA7.2(ii)</t>
  </si>
  <si>
    <r>
      <t>Q</t>
    </r>
    <r>
      <rPr>
        <b/>
        <vertAlign val="subscript"/>
        <sz val="11"/>
        <color theme="1"/>
        <rFont val="Calibri"/>
        <family val="2"/>
        <scheme val="minor"/>
      </rPr>
      <t>1</t>
    </r>
  </si>
  <si>
    <r>
      <t>Q</t>
    </r>
    <r>
      <rPr>
        <b/>
        <vertAlign val="subscript"/>
        <sz val="11"/>
        <color theme="1"/>
        <rFont val="Calibri"/>
        <family val="2"/>
        <scheme val="minor"/>
      </rPr>
      <t>2</t>
    </r>
  </si>
  <si>
    <r>
      <t>Q</t>
    </r>
    <r>
      <rPr>
        <b/>
        <vertAlign val="subscript"/>
        <sz val="11"/>
        <color theme="1"/>
        <rFont val="Calibri"/>
        <family val="2"/>
        <scheme val="minor"/>
      </rPr>
      <t>3</t>
    </r>
  </si>
  <si>
    <t>S.No.</t>
  </si>
  <si>
    <r>
      <rPr>
        <sz val="10.5"/>
        <color rgb="FF212121"/>
        <rFont val="Calibri"/>
        <family val="2"/>
      </rPr>
      <t>i5</t>
    </r>
  </si>
  <si>
    <t>Judge A</t>
  </si>
  <si>
    <t>Judge B</t>
  </si>
  <si>
    <r>
      <t>r</t>
    </r>
    <r>
      <rPr>
        <b/>
        <vertAlign val="subscript"/>
        <sz val="16"/>
        <color theme="1"/>
        <rFont val="Calibri"/>
        <family val="2"/>
        <scheme val="minor"/>
      </rPr>
      <t>23</t>
    </r>
  </si>
  <si>
    <r>
      <t>R</t>
    </r>
    <r>
      <rPr>
        <b/>
        <vertAlign val="subscript"/>
        <sz val="14"/>
        <color theme="1"/>
        <rFont val="Calibri"/>
        <family val="2"/>
        <scheme val="minor"/>
      </rPr>
      <t>1.23</t>
    </r>
  </si>
  <si>
    <r>
      <t>R</t>
    </r>
    <r>
      <rPr>
        <b/>
        <vertAlign val="subscript"/>
        <sz val="14"/>
        <color theme="1"/>
        <rFont val="Calibri"/>
        <family val="2"/>
        <scheme val="minor"/>
      </rPr>
      <t>2.13</t>
    </r>
  </si>
  <si>
    <r>
      <t>R</t>
    </r>
    <r>
      <rPr>
        <b/>
        <vertAlign val="subscript"/>
        <sz val="14"/>
        <color theme="1"/>
        <rFont val="Calibri"/>
        <family val="2"/>
        <scheme val="minor"/>
      </rPr>
      <t>3.12</t>
    </r>
  </si>
  <si>
    <r>
      <t>r</t>
    </r>
    <r>
      <rPr>
        <b/>
        <vertAlign val="subscript"/>
        <sz val="16"/>
        <color theme="1"/>
        <rFont val="Calibri"/>
        <family val="2"/>
        <scheme val="minor"/>
      </rPr>
      <t>12</t>
    </r>
  </si>
  <si>
    <r>
      <t>r</t>
    </r>
    <r>
      <rPr>
        <b/>
        <vertAlign val="subscript"/>
        <sz val="16"/>
        <color theme="1"/>
        <rFont val="Calibri"/>
        <family val="2"/>
        <scheme val="minor"/>
      </rPr>
      <t>13</t>
    </r>
  </si>
  <si>
    <t>Perason's correlation coefficient -</t>
  </si>
  <si>
    <t>Multiple correlation coefficient -</t>
  </si>
  <si>
    <t xml:space="preserve">Partial correlation coefficient - </t>
  </si>
  <si>
    <r>
      <t>r</t>
    </r>
    <r>
      <rPr>
        <b/>
        <vertAlign val="subscript"/>
        <sz val="14"/>
        <color theme="1"/>
        <rFont val="Calibri"/>
        <family val="2"/>
        <scheme val="minor"/>
      </rPr>
      <t>12.3</t>
    </r>
  </si>
  <si>
    <r>
      <t>r</t>
    </r>
    <r>
      <rPr>
        <b/>
        <vertAlign val="subscript"/>
        <sz val="14"/>
        <color theme="1"/>
        <rFont val="Calibri"/>
        <family val="2"/>
        <scheme val="minor"/>
      </rPr>
      <t>13.2</t>
    </r>
  </si>
  <si>
    <r>
      <t>r</t>
    </r>
    <r>
      <rPr>
        <b/>
        <vertAlign val="subscript"/>
        <sz val="14"/>
        <color theme="1"/>
        <rFont val="Calibri"/>
        <family val="2"/>
        <scheme val="minor"/>
      </rPr>
      <t>23.1</t>
    </r>
  </si>
  <si>
    <t>n</t>
  </si>
  <si>
    <r>
      <t>r</t>
    </r>
    <r>
      <rPr>
        <b/>
        <vertAlign val="subscript"/>
        <sz val="16"/>
        <color theme="1"/>
        <rFont val="Calibri"/>
        <family val="2"/>
        <scheme val="minor"/>
      </rPr>
      <t>s</t>
    </r>
  </si>
  <si>
    <r>
      <t>R</t>
    </r>
    <r>
      <rPr>
        <b/>
        <vertAlign val="subscript"/>
        <sz val="12"/>
        <color theme="1"/>
        <rFont val="Calibri"/>
        <family val="2"/>
        <scheme val="minor"/>
      </rPr>
      <t>x</t>
    </r>
  </si>
  <si>
    <r>
      <t>R</t>
    </r>
    <r>
      <rPr>
        <b/>
        <vertAlign val="subscript"/>
        <sz val="12"/>
        <color theme="1"/>
        <rFont val="Calibri"/>
        <family val="2"/>
        <scheme val="minor"/>
      </rPr>
      <t>y</t>
    </r>
  </si>
  <si>
    <r>
      <t>d = R</t>
    </r>
    <r>
      <rPr>
        <b/>
        <vertAlign val="subscript"/>
        <sz val="12"/>
        <color theme="1"/>
        <rFont val="Calibri"/>
        <family val="2"/>
        <scheme val="minor"/>
      </rPr>
      <t>x</t>
    </r>
    <r>
      <rPr>
        <b/>
        <sz val="12"/>
        <color theme="1"/>
        <rFont val="Calibri"/>
        <family val="2"/>
        <scheme val="minor"/>
      </rPr>
      <t xml:space="preserve"> - R</t>
    </r>
    <r>
      <rPr>
        <b/>
        <vertAlign val="subscript"/>
        <sz val="12"/>
        <color theme="1"/>
        <rFont val="Calibri"/>
        <family val="2"/>
        <scheme val="minor"/>
      </rPr>
      <t>y</t>
    </r>
  </si>
  <si>
    <r>
      <t>d</t>
    </r>
    <r>
      <rPr>
        <b/>
        <vertAlign val="superscript"/>
        <sz val="12"/>
        <color theme="1"/>
        <rFont val="Calibri"/>
        <family val="2"/>
        <scheme val="minor"/>
      </rPr>
      <t>2</t>
    </r>
  </si>
  <si>
    <r>
      <t>∑d</t>
    </r>
    <r>
      <rPr>
        <vertAlign val="superscript"/>
        <sz val="12"/>
        <color theme="1"/>
        <rFont val="Calibri"/>
        <family val="2"/>
      </rPr>
      <t>2</t>
    </r>
  </si>
  <si>
    <t>Screenshot/ Result CA8.2</t>
  </si>
  <si>
    <t>Rank of the University</t>
  </si>
  <si>
    <t>Success Rate</t>
  </si>
  <si>
    <r>
      <t>(R</t>
    </r>
    <r>
      <rPr>
        <b/>
        <vertAlign val="subscript"/>
        <sz val="12"/>
        <color theme="1"/>
        <rFont val="Calibri"/>
        <family val="2"/>
        <scheme val="minor"/>
      </rPr>
      <t>x</t>
    </r>
    <r>
      <rPr>
        <b/>
        <sz val="12"/>
        <color theme="1"/>
        <rFont val="Calibri"/>
        <family val="2"/>
        <scheme val="minor"/>
      </rPr>
      <t>)</t>
    </r>
    <r>
      <rPr>
        <b/>
        <vertAlign val="subscript"/>
        <sz val="12"/>
        <color theme="1"/>
        <rFont val="Calibri"/>
        <family val="2"/>
        <scheme val="minor"/>
      </rPr>
      <t>c</t>
    </r>
  </si>
  <si>
    <r>
      <t>(R</t>
    </r>
    <r>
      <rPr>
        <b/>
        <vertAlign val="subscript"/>
        <sz val="12"/>
        <color theme="1"/>
        <rFont val="Calibri"/>
        <family val="2"/>
        <scheme val="minor"/>
      </rPr>
      <t>y</t>
    </r>
    <r>
      <rPr>
        <b/>
        <sz val="12"/>
        <color theme="1"/>
        <rFont val="Calibri"/>
        <family val="2"/>
        <scheme val="minor"/>
      </rPr>
      <t>)</t>
    </r>
    <r>
      <rPr>
        <b/>
        <vertAlign val="subscript"/>
        <sz val="12"/>
        <color theme="1"/>
        <rFont val="Calibri"/>
        <family val="2"/>
        <scheme val="minor"/>
      </rPr>
      <t>c</t>
    </r>
  </si>
  <si>
    <r>
      <t>d</t>
    </r>
    <r>
      <rPr>
        <b/>
        <vertAlign val="subscript"/>
        <sz val="12"/>
        <color theme="1"/>
        <rFont val="Calibri"/>
        <family val="2"/>
        <scheme val="minor"/>
      </rPr>
      <t xml:space="preserve">c </t>
    </r>
    <r>
      <rPr>
        <b/>
        <sz val="12"/>
        <color theme="1"/>
        <rFont val="Calibri"/>
        <family val="2"/>
        <scheme val="minor"/>
      </rPr>
      <t>= (R</t>
    </r>
    <r>
      <rPr>
        <b/>
        <vertAlign val="subscript"/>
        <sz val="12"/>
        <color theme="1"/>
        <rFont val="Calibri"/>
        <family val="2"/>
        <scheme val="minor"/>
      </rPr>
      <t>x</t>
    </r>
    <r>
      <rPr>
        <b/>
        <sz val="12"/>
        <color theme="1"/>
        <rFont val="Calibri"/>
        <family val="2"/>
        <scheme val="minor"/>
      </rPr>
      <t>)</t>
    </r>
    <r>
      <rPr>
        <b/>
        <vertAlign val="subscript"/>
        <sz val="12"/>
        <color theme="1"/>
        <rFont val="Calibri"/>
        <family val="2"/>
        <scheme val="minor"/>
      </rPr>
      <t>c</t>
    </r>
    <r>
      <rPr>
        <b/>
        <sz val="12"/>
        <color theme="1"/>
        <rFont val="Calibri"/>
        <family val="2"/>
        <scheme val="minor"/>
      </rPr>
      <t xml:space="preserve"> - (R</t>
    </r>
    <r>
      <rPr>
        <b/>
        <vertAlign val="subscript"/>
        <sz val="12"/>
        <color theme="1"/>
        <rFont val="Calibri"/>
        <family val="2"/>
        <scheme val="minor"/>
      </rPr>
      <t>y</t>
    </r>
    <r>
      <rPr>
        <b/>
        <sz val="12"/>
        <color theme="1"/>
        <rFont val="Calibri"/>
        <family val="2"/>
        <scheme val="minor"/>
      </rPr>
      <t>)</t>
    </r>
    <r>
      <rPr>
        <b/>
        <vertAlign val="subscript"/>
        <sz val="12"/>
        <color theme="1"/>
        <rFont val="Calibri"/>
        <family val="2"/>
        <scheme val="minor"/>
      </rPr>
      <t>c</t>
    </r>
  </si>
  <si>
    <r>
      <t>d</t>
    </r>
    <r>
      <rPr>
        <b/>
        <vertAlign val="subscript"/>
        <sz val="12"/>
        <color theme="1"/>
        <rFont val="Calibri"/>
        <family val="2"/>
        <scheme val="minor"/>
      </rPr>
      <t>c</t>
    </r>
    <r>
      <rPr>
        <b/>
        <vertAlign val="superscript"/>
        <sz val="12"/>
        <color theme="1"/>
        <rFont val="Calibri"/>
        <family val="2"/>
        <scheme val="minor"/>
      </rPr>
      <t>2</t>
    </r>
  </si>
  <si>
    <t>Screenshot/ Result CA8.3</t>
  </si>
  <si>
    <r>
      <t>T</t>
    </r>
    <r>
      <rPr>
        <b/>
        <vertAlign val="subscript"/>
        <sz val="12"/>
        <color theme="1"/>
        <rFont val="Calibri"/>
        <family val="2"/>
        <scheme val="minor"/>
      </rPr>
      <t>X</t>
    </r>
  </si>
  <si>
    <r>
      <t>T</t>
    </r>
    <r>
      <rPr>
        <b/>
        <vertAlign val="subscript"/>
        <sz val="12"/>
        <color theme="1"/>
        <rFont val="Calibri"/>
        <family val="2"/>
        <scheme val="minor"/>
      </rPr>
      <t>y</t>
    </r>
  </si>
  <si>
    <r>
      <t>∑ d</t>
    </r>
    <r>
      <rPr>
        <b/>
        <vertAlign val="subscript"/>
        <sz val="12"/>
        <color theme="1"/>
        <rFont val="Calibri"/>
        <family val="2"/>
      </rPr>
      <t>c</t>
    </r>
    <r>
      <rPr>
        <b/>
        <vertAlign val="superscript"/>
        <sz val="12"/>
        <color theme="1"/>
        <rFont val="Calibri"/>
        <family val="2"/>
      </rPr>
      <t>2</t>
    </r>
  </si>
  <si>
    <r>
      <t>(n</t>
    </r>
    <r>
      <rPr>
        <b/>
        <vertAlign val="superscript"/>
        <sz val="12"/>
        <color theme="1"/>
        <rFont val="Calibri"/>
        <family val="2"/>
        <scheme val="minor"/>
      </rPr>
      <t>3</t>
    </r>
    <r>
      <rPr>
        <b/>
        <sz val="12"/>
        <color theme="1"/>
        <rFont val="Calibri"/>
        <family val="2"/>
        <scheme val="minor"/>
      </rPr>
      <t xml:space="preserve"> - n)/6</t>
    </r>
  </si>
  <si>
    <r>
      <t>Spearmen's rank correlation coefficient(r</t>
    </r>
    <r>
      <rPr>
        <b/>
        <vertAlign val="subscript"/>
        <sz val="12"/>
        <color theme="1"/>
        <rFont val="Calibri"/>
        <family val="2"/>
        <scheme val="minor"/>
      </rPr>
      <t>s</t>
    </r>
    <r>
      <rPr>
        <b/>
        <sz val="12"/>
        <color theme="1"/>
        <rFont val="Calibri"/>
        <family val="2"/>
        <scheme val="minor"/>
      </rPr>
      <t>)</t>
    </r>
  </si>
  <si>
    <r>
      <t>Tie (R</t>
    </r>
    <r>
      <rPr>
        <b/>
        <vertAlign val="subscript"/>
        <sz val="12"/>
        <color theme="1"/>
        <rFont val="Calibri"/>
        <family val="2"/>
        <scheme val="minor"/>
      </rPr>
      <t>x</t>
    </r>
    <r>
      <rPr>
        <b/>
        <sz val="12"/>
        <color theme="1"/>
        <rFont val="Calibri"/>
        <family val="2"/>
        <scheme val="minor"/>
      </rPr>
      <t>)</t>
    </r>
    <r>
      <rPr>
        <b/>
        <vertAlign val="subscript"/>
        <sz val="12"/>
        <color theme="1"/>
        <rFont val="Calibri"/>
        <family val="2"/>
        <scheme val="minor"/>
      </rPr>
      <t>c</t>
    </r>
  </si>
  <si>
    <r>
      <t>m</t>
    </r>
    <r>
      <rPr>
        <b/>
        <vertAlign val="subscript"/>
        <sz val="12"/>
        <color theme="1"/>
        <rFont val="Calibri"/>
        <family val="2"/>
        <scheme val="minor"/>
      </rPr>
      <t>x</t>
    </r>
  </si>
  <si>
    <r>
      <t>(m</t>
    </r>
    <r>
      <rPr>
        <b/>
        <vertAlign val="subscript"/>
        <sz val="12"/>
        <color theme="1"/>
        <rFont val="Calibri"/>
        <family val="2"/>
        <scheme val="minor"/>
      </rPr>
      <t>x</t>
    </r>
    <r>
      <rPr>
        <b/>
        <vertAlign val="superscript"/>
        <sz val="12"/>
        <color theme="1"/>
        <rFont val="Calibri"/>
        <family val="2"/>
        <scheme val="minor"/>
      </rPr>
      <t>3</t>
    </r>
    <r>
      <rPr>
        <b/>
        <sz val="12"/>
        <color theme="1"/>
        <rFont val="Calibri"/>
        <family val="2"/>
        <scheme val="minor"/>
      </rPr>
      <t xml:space="preserve"> - m</t>
    </r>
    <r>
      <rPr>
        <b/>
        <vertAlign val="subscript"/>
        <sz val="12"/>
        <color theme="1"/>
        <rFont val="Calibri"/>
        <family val="2"/>
        <scheme val="minor"/>
      </rPr>
      <t>x</t>
    </r>
    <r>
      <rPr>
        <b/>
        <sz val="12"/>
        <color theme="1"/>
        <rFont val="Calibri"/>
        <family val="2"/>
        <scheme val="minor"/>
      </rPr>
      <t>)/12</t>
    </r>
  </si>
  <si>
    <r>
      <t>Tie (R</t>
    </r>
    <r>
      <rPr>
        <b/>
        <vertAlign val="subscript"/>
        <sz val="12"/>
        <color theme="1"/>
        <rFont val="Calibri"/>
        <family val="2"/>
        <scheme val="minor"/>
      </rPr>
      <t>y</t>
    </r>
    <r>
      <rPr>
        <b/>
        <sz val="12"/>
        <color theme="1"/>
        <rFont val="Calibri"/>
        <family val="2"/>
        <scheme val="minor"/>
      </rPr>
      <t>)</t>
    </r>
    <r>
      <rPr>
        <b/>
        <vertAlign val="subscript"/>
        <sz val="12"/>
        <color theme="1"/>
        <rFont val="Calibri"/>
        <family val="2"/>
        <scheme val="minor"/>
      </rPr>
      <t>c</t>
    </r>
  </si>
  <si>
    <r>
      <t>m</t>
    </r>
    <r>
      <rPr>
        <b/>
        <vertAlign val="subscript"/>
        <sz val="12"/>
        <color theme="1"/>
        <rFont val="Calibri"/>
        <family val="2"/>
        <scheme val="minor"/>
      </rPr>
      <t>y</t>
    </r>
  </si>
  <si>
    <r>
      <t>(m</t>
    </r>
    <r>
      <rPr>
        <b/>
        <vertAlign val="subscript"/>
        <sz val="12"/>
        <color theme="1"/>
        <rFont val="Calibri"/>
        <family val="2"/>
        <scheme val="minor"/>
      </rPr>
      <t>y</t>
    </r>
    <r>
      <rPr>
        <b/>
        <vertAlign val="superscript"/>
        <sz val="12"/>
        <color theme="1"/>
        <rFont val="Calibri"/>
        <family val="2"/>
        <scheme val="minor"/>
      </rPr>
      <t>3</t>
    </r>
    <r>
      <rPr>
        <b/>
        <sz val="12"/>
        <color theme="1"/>
        <rFont val="Calibri"/>
        <family val="2"/>
        <scheme val="minor"/>
      </rPr>
      <t xml:space="preserve"> - m</t>
    </r>
    <r>
      <rPr>
        <b/>
        <vertAlign val="subscript"/>
        <sz val="12"/>
        <color theme="1"/>
        <rFont val="Calibri"/>
        <family val="2"/>
        <scheme val="minor"/>
      </rPr>
      <t>y</t>
    </r>
    <r>
      <rPr>
        <b/>
        <sz val="12"/>
        <color theme="1"/>
        <rFont val="Calibri"/>
        <family val="2"/>
        <scheme val="minor"/>
      </rPr>
      <t>)/12</t>
    </r>
  </si>
  <si>
    <t>Task - 6 Screenshot/ Result CA6.1</t>
  </si>
  <si>
    <t>Task 7 - Screenshot/ Result CA7.1(i)</t>
  </si>
  <si>
    <t>Task 8 - Screenshot/ Result CA8.1</t>
  </si>
  <si>
    <r>
      <t>P</t>
    </r>
    <r>
      <rPr>
        <b/>
        <vertAlign val="subscript"/>
        <sz val="14"/>
        <color theme="1"/>
        <rFont val="Calibri"/>
        <family val="2"/>
        <scheme val="minor"/>
      </rPr>
      <t>37</t>
    </r>
  </si>
  <si>
    <r>
      <t>D</t>
    </r>
    <r>
      <rPr>
        <b/>
        <vertAlign val="subscript"/>
        <sz val="14"/>
        <color theme="1"/>
        <rFont val="Calibri"/>
        <family val="2"/>
        <scheme val="minor"/>
      </rPr>
      <t>4</t>
    </r>
  </si>
  <si>
    <r>
      <t>Q</t>
    </r>
    <r>
      <rPr>
        <b/>
        <vertAlign val="subscript"/>
        <sz val="14"/>
        <color theme="1"/>
        <rFont val="Calibri"/>
        <family val="2"/>
        <scheme val="minor"/>
      </rPr>
      <t>3</t>
    </r>
  </si>
  <si>
    <r>
      <t>Q</t>
    </r>
    <r>
      <rPr>
        <b/>
        <vertAlign val="subscript"/>
        <sz val="14"/>
        <color theme="1"/>
        <rFont val="Calibri"/>
        <family val="2"/>
        <scheme val="minor"/>
      </rPr>
      <t>2</t>
    </r>
  </si>
  <si>
    <r>
      <t>M</t>
    </r>
    <r>
      <rPr>
        <b/>
        <vertAlign val="subscript"/>
        <sz val="12"/>
        <color theme="1"/>
        <rFont val="Calibri"/>
        <family val="2"/>
        <scheme val="minor"/>
      </rPr>
      <t>d</t>
    </r>
  </si>
  <si>
    <t>(a)</t>
  </si>
  <si>
    <t>(b)</t>
  </si>
  <si>
    <t xml:space="preserve"> </t>
  </si>
  <si>
    <t xml:space="preserve">  (a) For raw data - </t>
  </si>
  <si>
    <t xml:space="preserve">(b)  For continuous frequency distribution - </t>
  </si>
  <si>
    <r>
      <rPr>
        <b/>
        <sz val="12"/>
        <color rgb="FF212121"/>
        <rFont val="Calibri"/>
        <family val="2"/>
      </rPr>
      <t xml:space="preserve">Electricity consumption (Unit </t>
    </r>
    <r>
      <rPr>
        <b/>
        <sz val="12"/>
        <color rgb="FF232223"/>
        <rFont val="Calibri"/>
        <family val="2"/>
      </rPr>
      <t>in kWh)</t>
    </r>
    <r>
      <rPr>
        <b/>
        <sz val="12"/>
        <color rgb="FF000000"/>
        <rFont val="Calibri"/>
        <family val="2"/>
      </rPr>
      <t xml:space="preserve"> (X</t>
    </r>
    <r>
      <rPr>
        <b/>
        <vertAlign val="subscript"/>
        <sz val="12"/>
        <color rgb="FF000000"/>
        <rFont val="Calibri"/>
        <family val="2"/>
      </rPr>
      <t>1</t>
    </r>
    <r>
      <rPr>
        <b/>
        <sz val="12"/>
        <color rgb="FF000000"/>
        <rFont val="Calibri"/>
        <family val="2"/>
      </rPr>
      <t>)</t>
    </r>
  </si>
  <si>
    <r>
      <t>Size of the house (Area
in sq ft) (X</t>
    </r>
    <r>
      <rPr>
        <b/>
        <vertAlign val="subscript"/>
        <sz val="12"/>
        <color rgb="FF212121"/>
        <rFont val="Calibri"/>
        <family val="2"/>
      </rPr>
      <t>2</t>
    </r>
    <r>
      <rPr>
        <b/>
        <sz val="12"/>
        <color rgb="FF212121"/>
        <rFont val="Calibri"/>
        <family val="2"/>
      </rPr>
      <t>)</t>
    </r>
  </si>
  <si>
    <r>
      <t>No. of hours AC used (in hours) (X</t>
    </r>
    <r>
      <rPr>
        <b/>
        <vertAlign val="subscript"/>
        <sz val="12"/>
        <color rgb="FF212121"/>
        <rFont val="Calibri"/>
        <family val="2"/>
      </rPr>
      <t>3</t>
    </r>
    <r>
      <rPr>
        <b/>
        <sz val="12"/>
        <color rgb="FF212121"/>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</si>
</sst>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0000"/>
  </numFmts>
  <fonts count="52">
    <font>
      <sz val="11"/>
      <color theme="1"/>
      <name val="Calibri"/>
      <family val="2"/>
      <scheme val="minor"/>
    </font>
    <font>
      <b/>
      <sz val="11"/>
      <color theme="1"/>
      <name val="Calibri"/>
      <family val="2"/>
      <scheme val="minor"/>
    </font>
    <font>
      <b/>
      <sz val="12"/>
      <color theme="1"/>
      <name val="Calibri"/>
      <family val="2"/>
      <scheme val="minor"/>
    </font>
    <font>
      <b/>
      <vertAlign val="superscript"/>
      <sz val="11"/>
      <color theme="1"/>
      <name val="Calibri"/>
      <family val="2"/>
      <scheme val="minor"/>
    </font>
    <font>
      <b/>
      <vertAlign val="subscript"/>
      <sz val="11"/>
      <color theme="1"/>
      <name val="Calibri"/>
      <family val="2"/>
      <scheme val="minor"/>
    </font>
    <font>
      <b/>
      <sz val="22"/>
      <color theme="1"/>
      <name val="Calibri"/>
      <family val="2"/>
      <scheme val="minor"/>
    </font>
    <font>
      <sz val="11"/>
      <color theme="1"/>
      <name val="Calibri"/>
      <family val="2"/>
    </font>
    <font>
      <b/>
      <u/>
      <sz val="12"/>
      <color theme="1"/>
      <name val="Calibri"/>
      <family val="2"/>
      <scheme val="minor"/>
    </font>
    <font>
      <b/>
      <u/>
      <sz val="14"/>
      <color theme="1"/>
      <name val="Calibri"/>
      <family val="2"/>
      <scheme val="minor"/>
    </font>
    <font>
      <sz val="12"/>
      <color theme="1"/>
      <name val="Calibri"/>
      <family val="2"/>
    </font>
    <font>
      <sz val="12"/>
      <color theme="1"/>
      <name val="Calibri"/>
      <family val="2"/>
      <scheme val="minor"/>
    </font>
    <font>
      <b/>
      <vertAlign val="subscript"/>
      <sz val="12"/>
      <color theme="1"/>
      <name val="Calibri"/>
      <family val="2"/>
      <scheme val="minor"/>
    </font>
    <font>
      <b/>
      <vertAlign val="superscript"/>
      <sz val="12"/>
      <color theme="1"/>
      <name val="Calibri"/>
      <family val="2"/>
      <scheme val="minor"/>
    </font>
    <font>
      <vertAlign val="subscript"/>
      <sz val="12"/>
      <color theme="1"/>
      <name val="Calibri"/>
      <family val="2"/>
      <scheme val="minor"/>
    </font>
    <font>
      <b/>
      <sz val="14"/>
      <color theme="1"/>
      <name val="Calibri"/>
      <family val="2"/>
    </font>
    <font>
      <sz val="8"/>
      <name val="Calibri"/>
      <family val="2"/>
      <scheme val="minor"/>
    </font>
    <font>
      <sz val="14"/>
      <color theme="1"/>
      <name val="Calibri"/>
      <family val="2"/>
      <scheme val="minor"/>
    </font>
    <font>
      <b/>
      <sz val="14"/>
      <color theme="1"/>
      <name val="Calibri"/>
      <family val="2"/>
      <scheme val="minor"/>
    </font>
    <font>
      <b/>
      <sz val="11"/>
      <name val="Times New Roman"/>
      <family val="1"/>
    </font>
    <font>
      <b/>
      <sz val="11"/>
      <color rgb="FF212121"/>
      <name val="Times New Roman"/>
      <family val="1"/>
    </font>
    <font>
      <sz val="11"/>
      <color rgb="FF212121"/>
      <name val="Times New Roman"/>
      <family val="1"/>
    </font>
    <font>
      <sz val="11"/>
      <name val="Times New Roman"/>
      <family val="1"/>
    </font>
    <font>
      <b/>
      <sz val="12"/>
      <color rgb="FF0C0C0C"/>
      <name val="Inherit"/>
    </font>
    <font>
      <b/>
      <sz val="11"/>
      <color rgb="FF000000"/>
      <name val="Calibri"/>
      <family val="2"/>
    </font>
    <font>
      <sz val="14"/>
      <color rgb="FF040C28"/>
      <name val="Calibri"/>
      <family val="2"/>
      <scheme val="minor"/>
    </font>
    <font>
      <b/>
      <vertAlign val="subscript"/>
      <sz val="14"/>
      <color theme="1"/>
      <name val="Calibri"/>
      <family val="2"/>
      <scheme val="minor"/>
    </font>
    <font>
      <b/>
      <sz val="12"/>
      <name val="Times New Roman"/>
      <family val="1"/>
    </font>
    <font>
      <b/>
      <sz val="12"/>
      <color theme="1"/>
      <name val="Calibri"/>
      <family val="2"/>
    </font>
    <font>
      <b/>
      <vertAlign val="superscript"/>
      <sz val="12"/>
      <color theme="1"/>
      <name val="Calibri"/>
      <family val="2"/>
    </font>
    <font>
      <b/>
      <sz val="14"/>
      <color theme="1"/>
      <name val="Arial"/>
      <family val="2"/>
    </font>
    <font>
      <b/>
      <vertAlign val="subscript"/>
      <sz val="14"/>
      <color theme="1"/>
      <name val="Arial"/>
      <family val="2"/>
    </font>
    <font>
      <b/>
      <sz val="11"/>
      <color theme="1"/>
      <name val="Calibri"/>
      <family val="2"/>
    </font>
    <font>
      <b/>
      <sz val="12"/>
      <color rgb="FF000000"/>
      <name val="Calibri"/>
      <family val="2"/>
    </font>
    <font>
      <b/>
      <vertAlign val="superscript"/>
      <sz val="12"/>
      <color rgb="FF000000"/>
      <name val="Calibri"/>
      <family val="2"/>
    </font>
    <font>
      <sz val="10"/>
      <color rgb="FF000000"/>
      <name val="Times New Roman"/>
      <family val="1"/>
    </font>
    <font>
      <sz val="12"/>
      <color rgb="FF212121"/>
      <name val="Calibri"/>
      <family val="2"/>
    </font>
    <font>
      <sz val="10"/>
      <color rgb="FF212121"/>
      <name val="Calibri"/>
      <family val="2"/>
    </font>
    <font>
      <sz val="10.5"/>
      <color rgb="FF212121"/>
      <name val="Calibri"/>
      <family val="2"/>
    </font>
    <font>
      <sz val="11"/>
      <color rgb="FF212121"/>
      <name val="Calibri"/>
      <family val="2"/>
    </font>
    <font>
      <sz val="10.5"/>
      <name val="Calibri"/>
      <family val="2"/>
    </font>
    <font>
      <b/>
      <sz val="16"/>
      <color theme="1"/>
      <name val="Calibri"/>
      <family val="2"/>
      <scheme val="minor"/>
    </font>
    <font>
      <b/>
      <vertAlign val="subscript"/>
      <sz val="16"/>
      <color theme="1"/>
      <name val="Calibri"/>
      <family val="2"/>
      <scheme val="minor"/>
    </font>
    <font>
      <vertAlign val="superscript"/>
      <sz val="12"/>
      <color theme="1"/>
      <name val="Calibri"/>
      <family val="2"/>
    </font>
    <font>
      <b/>
      <sz val="20"/>
      <color theme="1"/>
      <name val="Calibri"/>
      <family val="2"/>
      <scheme val="minor"/>
    </font>
    <font>
      <b/>
      <vertAlign val="subscript"/>
      <sz val="12"/>
      <color theme="1"/>
      <name val="Calibri"/>
      <family val="2"/>
    </font>
    <font>
      <b/>
      <sz val="18"/>
      <color theme="1"/>
      <name val="Calibri"/>
      <family val="2"/>
      <scheme val="minor"/>
    </font>
    <font>
      <b/>
      <sz val="24"/>
      <color theme="1"/>
      <name val="Calibri"/>
      <family val="2"/>
      <scheme val="minor"/>
    </font>
    <font>
      <sz val="24"/>
      <color theme="1"/>
      <name val="Calibri"/>
      <family val="2"/>
      <scheme val="minor"/>
    </font>
    <font>
      <b/>
      <sz val="12"/>
      <color rgb="FF212121"/>
      <name val="Calibri"/>
      <family val="2"/>
    </font>
    <font>
      <b/>
      <sz val="12"/>
      <color rgb="FF232223"/>
      <name val="Calibri"/>
      <family val="2"/>
    </font>
    <font>
      <b/>
      <vertAlign val="subscript"/>
      <sz val="12"/>
      <color rgb="FF000000"/>
      <name val="Calibri"/>
      <family val="2"/>
    </font>
    <font>
      <b/>
      <vertAlign val="subscript"/>
      <sz val="12"/>
      <color rgb="FF212121"/>
      <name val="Calibri"/>
      <family val="2"/>
    </font>
  </fonts>
  <fills count="10">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s>
  <borders count="28">
    <border>
      <left/>
      <right/>
      <top/>
      <bottom/>
      <diagonal/>
    </border>
    <border>
      <left style="thin">
        <color rgb="FF2B2B2B"/>
      </left>
      <right style="thin">
        <color rgb="FF2B2B2B"/>
      </right>
      <top style="thin">
        <color rgb="FF2B2B2B"/>
      </top>
      <bottom style="thin">
        <color rgb="FF2B2B2B"/>
      </bottom>
      <diagonal/>
    </border>
    <border>
      <left style="thin">
        <color rgb="FF2B2B2B"/>
      </left>
      <right style="thin">
        <color indexed="64"/>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indexed="64"/>
      </right>
      <top style="thin">
        <color rgb="FF2B2B2B"/>
      </top>
      <bottom/>
      <diagonal/>
    </border>
    <border>
      <left style="thin">
        <color rgb="FF2B2B2B"/>
      </left>
      <right style="thin">
        <color rgb="FF2B2B2B"/>
      </right>
      <top/>
      <bottom/>
      <diagonal/>
    </border>
    <border>
      <left style="thin">
        <color rgb="FF2B2B2B"/>
      </left>
      <right style="thin">
        <color indexed="64"/>
      </right>
      <top/>
      <bottom/>
      <diagonal/>
    </border>
    <border>
      <left/>
      <right style="thin">
        <color indexed="64"/>
      </right>
      <top/>
      <bottom/>
      <diagonal/>
    </border>
    <border>
      <left style="thin">
        <color indexed="64"/>
      </left>
      <right style="thin">
        <color indexed="64"/>
      </right>
      <top/>
      <bottom/>
      <diagonal/>
    </border>
    <border>
      <left style="thin">
        <color rgb="FF2B2B2B"/>
      </left>
      <right style="thin">
        <color rgb="FF2B2B2B"/>
      </right>
      <top/>
      <bottom style="thin">
        <color indexed="64"/>
      </bottom>
      <diagonal/>
    </border>
    <border>
      <left style="thin">
        <color rgb="FF2B2B2B"/>
      </left>
      <right style="thin">
        <color rgb="FF2B2B2B"/>
      </right>
      <top/>
      <bottom style="thin">
        <color rgb="FF2B2B2B"/>
      </bottom>
      <diagonal/>
    </border>
    <border>
      <left style="thin">
        <color rgb="FF2B2B2B"/>
      </left>
      <right/>
      <top style="thin">
        <color rgb="FF2B2B2B"/>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rgb="FF282828"/>
      </left>
      <right style="thin">
        <color rgb="FF282828"/>
      </right>
      <top style="thin">
        <color rgb="FF282828"/>
      </top>
      <bottom style="thin">
        <color rgb="FF282828"/>
      </bottom>
      <diagonal/>
    </border>
    <border>
      <left style="thin">
        <color rgb="FF282828"/>
      </left>
      <right style="thin">
        <color rgb="FF282828"/>
      </right>
      <top style="thin">
        <color rgb="FF282828"/>
      </top>
      <bottom/>
      <diagonal/>
    </border>
    <border>
      <left style="thin">
        <color rgb="FF282828"/>
      </left>
      <right style="thin">
        <color rgb="FF282828"/>
      </right>
      <top/>
      <bottom/>
      <diagonal/>
    </border>
    <border>
      <left style="thin">
        <color rgb="FF282828"/>
      </left>
      <right style="thin">
        <color rgb="FF282828"/>
      </right>
      <top/>
      <bottom style="thin">
        <color rgb="FF282828"/>
      </bottom>
      <diagonal/>
    </border>
  </borders>
  <cellStyleXfs count="2">
    <xf numFmtId="0" fontId="0" fillId="0" borderId="0"/>
    <xf numFmtId="0" fontId="34" fillId="0" borderId="0"/>
  </cellStyleXfs>
  <cellXfs count="229">
    <xf numFmtId="0" fontId="0" fillId="0" borderId="0" xfId="0"/>
    <xf numFmtId="0" fontId="1" fillId="0" borderId="12" xfId="0" applyFont="1" applyBorder="1" applyAlignment="1">
      <alignment horizontal="center" wrapText="1"/>
    </xf>
    <xf numFmtId="0" fontId="2" fillId="0" borderId="0" xfId="0" applyFont="1"/>
    <xf numFmtId="0" fontId="1" fillId="0" borderId="0" xfId="0" applyFont="1" applyAlignment="1">
      <alignment horizontal="center"/>
    </xf>
    <xf numFmtId="0" fontId="0" fillId="0" borderId="0" xfId="0" applyAlignment="1">
      <alignment horizontal="center"/>
    </xf>
    <xf numFmtId="0" fontId="5" fillId="0" borderId="0" xfId="0" applyFont="1" applyAlignment="1">
      <alignment horizontal="left"/>
    </xf>
    <xf numFmtId="0" fontId="6" fillId="0" borderId="8" xfId="0" applyFont="1" applyBorder="1" applyAlignment="1">
      <alignment horizontal="center"/>
    </xf>
    <xf numFmtId="0" fontId="6" fillId="0" borderId="14" xfId="0" applyFont="1" applyBorder="1" applyAlignment="1">
      <alignment horizontal="center"/>
    </xf>
    <xf numFmtId="0" fontId="6" fillId="0" borderId="0" xfId="0" applyFont="1" applyAlignment="1">
      <alignment horizontal="center"/>
    </xf>
    <xf numFmtId="0" fontId="2" fillId="0" borderId="12" xfId="0" applyFont="1" applyBorder="1" applyAlignment="1">
      <alignment horizontal="center" wrapText="1"/>
    </xf>
    <xf numFmtId="0" fontId="0" fillId="0" borderId="0" xfId="0" applyAlignment="1">
      <alignment horizontal="left"/>
    </xf>
    <xf numFmtId="0" fontId="6" fillId="0" borderId="0" xfId="0" applyFont="1" applyAlignment="1">
      <alignment horizontal="left"/>
    </xf>
    <xf numFmtId="0" fontId="5" fillId="0" borderId="0" xfId="0" applyFont="1" applyAlignment="1">
      <alignment horizontal="center"/>
    </xf>
    <xf numFmtId="0" fontId="10" fillId="0" borderId="13" xfId="0" applyFont="1" applyBorder="1" applyAlignment="1">
      <alignment horizontal="center"/>
    </xf>
    <xf numFmtId="0" fontId="10" fillId="0" borderId="8" xfId="0" applyFont="1" applyBorder="1" applyAlignment="1">
      <alignment horizontal="center"/>
    </xf>
    <xf numFmtId="0" fontId="10" fillId="0" borderId="14" xfId="0" applyFont="1" applyBorder="1" applyAlignment="1">
      <alignment horizontal="center"/>
    </xf>
    <xf numFmtId="0" fontId="10" fillId="0" borderId="0" xfId="0" applyFont="1" applyAlignment="1">
      <alignment horizontal="center"/>
    </xf>
    <xf numFmtId="0" fontId="10" fillId="0" borderId="0" xfId="0" applyFont="1"/>
    <xf numFmtId="0" fontId="9" fillId="0" borderId="0" xfId="0" applyFont="1" applyAlignment="1">
      <alignment horizontal="center"/>
    </xf>
    <xf numFmtId="0" fontId="2" fillId="0" borderId="0" xfId="0" applyFont="1" applyAlignment="1">
      <alignment horizontal="center"/>
    </xf>
    <xf numFmtId="0" fontId="14" fillId="0" borderId="12" xfId="0" applyFont="1" applyBorder="1" applyAlignment="1">
      <alignment horizontal="center"/>
    </xf>
    <xf numFmtId="0" fontId="2" fillId="0" borderId="12" xfId="0" applyFont="1" applyBorder="1" applyAlignment="1">
      <alignment horizontal="center"/>
    </xf>
    <xf numFmtId="0" fontId="2" fillId="0" borderId="8" xfId="0" applyFont="1" applyBorder="1" applyAlignment="1">
      <alignment horizontal="center"/>
    </xf>
    <xf numFmtId="0" fontId="10" fillId="0" borderId="0" xfId="0" applyFont="1" applyAlignment="1">
      <alignment horizontal="left"/>
    </xf>
    <xf numFmtId="0" fontId="7" fillId="0" borderId="0" xfId="0" applyFont="1"/>
    <xf numFmtId="0" fontId="16" fillId="0" borderId="0" xfId="0" applyFont="1"/>
    <xf numFmtId="0" fontId="17" fillId="0" borderId="0" xfId="0" applyFont="1"/>
    <xf numFmtId="0" fontId="2" fillId="0" borderId="12" xfId="0" applyFont="1" applyBorder="1" applyAlignment="1">
      <alignment wrapText="1"/>
    </xf>
    <xf numFmtId="0" fontId="2" fillId="0" borderId="19" xfId="0" applyFont="1" applyBorder="1" applyAlignment="1">
      <alignment wrapText="1"/>
    </xf>
    <xf numFmtId="2" fontId="10" fillId="0" borderId="8" xfId="0" applyNumberFormat="1" applyFont="1" applyBorder="1"/>
    <xf numFmtId="2" fontId="10" fillId="6" borderId="8" xfId="0" applyNumberFormat="1" applyFont="1" applyFill="1" applyBorder="1"/>
    <xf numFmtId="0" fontId="10" fillId="6" borderId="8" xfId="0" applyFont="1" applyFill="1" applyBorder="1" applyAlignment="1">
      <alignment horizontal="center"/>
    </xf>
    <xf numFmtId="0" fontId="10" fillId="5" borderId="8" xfId="0" applyFont="1" applyFill="1" applyBorder="1" applyAlignment="1">
      <alignment horizontal="center"/>
    </xf>
    <xf numFmtId="0" fontId="18" fillId="0" borderId="1" xfId="0" applyFont="1" applyBorder="1" applyAlignment="1">
      <alignment horizontal="center" vertical="top" wrapText="1"/>
    </xf>
    <xf numFmtId="0" fontId="19" fillId="0" borderId="2" xfId="0" applyFont="1" applyBorder="1" applyAlignment="1">
      <alignment horizontal="center" vertical="top" wrapText="1"/>
    </xf>
    <xf numFmtId="1" fontId="20" fillId="0" borderId="3" xfId="0" applyNumberFormat="1" applyFont="1" applyBorder="1" applyAlignment="1">
      <alignment horizontal="center" vertical="top" shrinkToFit="1"/>
    </xf>
    <xf numFmtId="1" fontId="20" fillId="0" borderId="4" xfId="0" applyNumberFormat="1" applyFont="1" applyBorder="1" applyAlignment="1">
      <alignment horizontal="center" vertical="top" shrinkToFit="1"/>
    </xf>
    <xf numFmtId="1" fontId="20" fillId="0" borderId="5" xfId="0" applyNumberFormat="1" applyFont="1" applyBorder="1" applyAlignment="1">
      <alignment horizontal="center" vertical="top" shrinkToFit="1"/>
    </xf>
    <xf numFmtId="1" fontId="20" fillId="0" borderId="6" xfId="0" applyNumberFormat="1" applyFont="1" applyBorder="1" applyAlignment="1">
      <alignment horizontal="center" vertical="top" shrinkToFit="1"/>
    </xf>
    <xf numFmtId="1" fontId="20" fillId="0" borderId="7" xfId="0" applyNumberFormat="1" applyFont="1" applyBorder="1" applyAlignment="1">
      <alignment horizontal="center" vertical="top" shrinkToFit="1"/>
    </xf>
    <xf numFmtId="1" fontId="20" fillId="0" borderId="8" xfId="0" applyNumberFormat="1" applyFont="1" applyBorder="1" applyAlignment="1">
      <alignment horizontal="center" vertical="top" shrinkToFit="1"/>
    </xf>
    <xf numFmtId="0" fontId="21" fillId="0" borderId="5" xfId="0" applyFont="1" applyBorder="1" applyAlignment="1">
      <alignment horizontal="center" vertical="top" wrapText="1"/>
    </xf>
    <xf numFmtId="1" fontId="20" fillId="0" borderId="9" xfId="0" applyNumberFormat="1" applyFont="1" applyBorder="1" applyAlignment="1">
      <alignment horizontal="center" vertical="top" shrinkToFit="1"/>
    </xf>
    <xf numFmtId="1" fontId="20" fillId="0" borderId="10" xfId="0" applyNumberFormat="1" applyFont="1" applyBorder="1" applyAlignment="1">
      <alignment horizontal="center" vertical="top" shrinkToFit="1"/>
    </xf>
    <xf numFmtId="0" fontId="2" fillId="0" borderId="12" xfId="0" applyFont="1" applyBorder="1" applyAlignment="1">
      <alignment horizontal="center" vertical="top" wrapText="1"/>
    </xf>
    <xf numFmtId="0" fontId="2" fillId="0" borderId="13" xfId="0" applyFont="1" applyBorder="1" applyAlignment="1">
      <alignment horizontal="center"/>
    </xf>
    <xf numFmtId="0" fontId="2" fillId="0" borderId="14" xfId="0" applyFont="1" applyBorder="1" applyAlignment="1">
      <alignment horizontal="center"/>
    </xf>
    <xf numFmtId="0" fontId="22" fillId="0" borderId="0" xfId="0" applyFont="1" applyAlignment="1">
      <alignment horizontal="center" vertical="center"/>
    </xf>
    <xf numFmtId="0" fontId="14" fillId="0" borderId="16" xfId="0" applyFont="1" applyBorder="1" applyAlignment="1">
      <alignment horizontal="right"/>
    </xf>
    <xf numFmtId="0" fontId="14" fillId="0" borderId="0" xfId="0" applyFont="1" applyAlignment="1">
      <alignment horizontal="right"/>
    </xf>
    <xf numFmtId="0" fontId="23" fillId="0" borderId="13" xfId="0" applyFont="1" applyBorder="1" applyAlignment="1">
      <alignment horizontal="center" wrapText="1"/>
    </xf>
    <xf numFmtId="0" fontId="23" fillId="0" borderId="12" xfId="0" applyFont="1" applyBorder="1" applyAlignment="1">
      <alignment horizontal="center" wrapText="1"/>
    </xf>
    <xf numFmtId="0" fontId="1" fillId="0" borderId="13" xfId="0" applyFont="1" applyBorder="1" applyAlignment="1">
      <alignment horizontal="center" wrapText="1"/>
    </xf>
    <xf numFmtId="0" fontId="6" fillId="0" borderId="13" xfId="0" applyFont="1" applyBorder="1" applyAlignment="1">
      <alignment horizontal="center"/>
    </xf>
    <xf numFmtId="0" fontId="6" fillId="0" borderId="15" xfId="0" applyFont="1" applyBorder="1" applyAlignment="1">
      <alignment horizontal="center"/>
    </xf>
    <xf numFmtId="0" fontId="0" fillId="0" borderId="13" xfId="0" applyBorder="1" applyAlignment="1">
      <alignment horizontal="center"/>
    </xf>
    <xf numFmtId="0" fontId="6" fillId="0" borderId="16" xfId="0" applyFont="1" applyBorder="1" applyAlignment="1">
      <alignment horizontal="center"/>
    </xf>
    <xf numFmtId="0" fontId="0" fillId="0" borderId="8" xfId="0" applyBorder="1" applyAlignment="1">
      <alignment horizontal="center"/>
    </xf>
    <xf numFmtId="0" fontId="6" fillId="3" borderId="8" xfId="0" applyFont="1" applyFill="1" applyBorder="1" applyAlignment="1">
      <alignment horizontal="center"/>
    </xf>
    <xf numFmtId="0" fontId="6" fillId="3" borderId="16" xfId="0" applyFont="1" applyFill="1" applyBorder="1" applyAlignment="1">
      <alignment horizontal="center"/>
    </xf>
    <xf numFmtId="0" fontId="0" fillId="3" borderId="8" xfId="0" applyFill="1" applyBorder="1" applyAlignment="1">
      <alignment horizontal="center"/>
    </xf>
    <xf numFmtId="0" fontId="6" fillId="2" borderId="8" xfId="0" applyFont="1" applyFill="1" applyBorder="1" applyAlignment="1">
      <alignment horizontal="center"/>
    </xf>
    <xf numFmtId="0" fontId="6" fillId="2" borderId="16" xfId="0" applyFont="1" applyFill="1" applyBorder="1" applyAlignment="1">
      <alignment horizontal="center"/>
    </xf>
    <xf numFmtId="0" fontId="0" fillId="2" borderId="8" xfId="0" applyFill="1" applyBorder="1" applyAlignment="1">
      <alignment horizontal="center"/>
    </xf>
    <xf numFmtId="0" fontId="6" fillId="4" borderId="8" xfId="0" applyFont="1" applyFill="1" applyBorder="1" applyAlignment="1">
      <alignment horizontal="center"/>
    </xf>
    <xf numFmtId="0" fontId="6" fillId="4" borderId="16" xfId="0" applyFont="1" applyFill="1" applyBorder="1" applyAlignment="1">
      <alignment horizontal="center"/>
    </xf>
    <xf numFmtId="0" fontId="0" fillId="4" borderId="8" xfId="0" applyFill="1" applyBorder="1" applyAlignment="1">
      <alignment horizontal="center"/>
    </xf>
    <xf numFmtId="0" fontId="6" fillId="0" borderId="17" xfId="0" applyFont="1" applyBorder="1" applyAlignment="1">
      <alignment horizontal="center"/>
    </xf>
    <xf numFmtId="0" fontId="0" fillId="0" borderId="14" xfId="0" applyBorder="1" applyAlignment="1">
      <alignment horizontal="center"/>
    </xf>
    <xf numFmtId="0" fontId="16" fillId="0" borderId="0" xfId="0" applyFont="1" applyAlignment="1">
      <alignment horizontal="right"/>
    </xf>
    <xf numFmtId="0" fontId="16" fillId="0" borderId="0" xfId="0" applyFont="1" applyAlignment="1">
      <alignment horizontal="left"/>
    </xf>
    <xf numFmtId="0" fontId="24" fillId="0" borderId="0" xfId="0" applyFont="1"/>
    <xf numFmtId="0" fontId="17" fillId="0" borderId="0" xfId="0" applyFont="1" applyAlignment="1">
      <alignment horizontal="left" vertical="top"/>
    </xf>
    <xf numFmtId="0" fontId="17" fillId="0" borderId="0" xfId="0" applyFont="1" applyAlignment="1">
      <alignment horizontal="center" vertical="top"/>
    </xf>
    <xf numFmtId="0" fontId="17" fillId="0" borderId="0" xfId="0" applyFont="1" applyAlignment="1">
      <alignment horizontal="left"/>
    </xf>
    <xf numFmtId="0" fontId="16" fillId="0" borderId="0" xfId="0" applyFont="1" applyAlignment="1">
      <alignment horizontal="center"/>
    </xf>
    <xf numFmtId="0" fontId="17" fillId="0" borderId="0" xfId="0" applyFont="1" applyAlignment="1">
      <alignment horizontal="center"/>
    </xf>
    <xf numFmtId="2" fontId="17" fillId="0" borderId="20" xfId="0" applyNumberFormat="1" applyFont="1" applyBorder="1" applyAlignment="1">
      <alignment horizontal="center"/>
    </xf>
    <xf numFmtId="0" fontId="16" fillId="0" borderId="20" xfId="0" applyFont="1" applyBorder="1" applyAlignment="1">
      <alignment horizontal="center"/>
    </xf>
    <xf numFmtId="2" fontId="17" fillId="0" borderId="0" xfId="0" applyNumberFormat="1" applyFont="1" applyAlignment="1">
      <alignment horizontal="center"/>
    </xf>
    <xf numFmtId="2" fontId="17" fillId="0" borderId="0" xfId="0" applyNumberFormat="1" applyFont="1" applyAlignment="1">
      <alignment horizontal="left"/>
    </xf>
    <xf numFmtId="0" fontId="8" fillId="0" borderId="0" xfId="0" applyFont="1"/>
    <xf numFmtId="0" fontId="26" fillId="0" borderId="11" xfId="0" applyFont="1" applyBorder="1" applyAlignment="1">
      <alignment horizontal="center" vertical="top" wrapText="1"/>
    </xf>
    <xf numFmtId="0" fontId="2" fillId="0" borderId="0" xfId="0" applyFont="1" applyAlignment="1">
      <alignment horizontal="center" wrapText="1"/>
    </xf>
    <xf numFmtId="0" fontId="2" fillId="0" borderId="16" xfId="0" applyFont="1" applyBorder="1" applyAlignment="1">
      <alignment horizontal="center"/>
    </xf>
    <xf numFmtId="0" fontId="2" fillId="0" borderId="17" xfId="0" applyFont="1" applyBorder="1" applyAlignment="1">
      <alignment horizontal="center"/>
    </xf>
    <xf numFmtId="164" fontId="2" fillId="0" borderId="13" xfId="0" applyNumberFormat="1" applyFont="1" applyBorder="1" applyAlignment="1">
      <alignment horizontal="center"/>
    </xf>
    <xf numFmtId="164" fontId="2" fillId="0" borderId="15" xfId="0" applyNumberFormat="1" applyFont="1" applyBorder="1" applyAlignment="1">
      <alignment horizontal="center"/>
    </xf>
    <xf numFmtId="164" fontId="2" fillId="0" borderId="8" xfId="0" applyNumberFormat="1" applyFont="1" applyBorder="1" applyAlignment="1">
      <alignment horizontal="center"/>
    </xf>
    <xf numFmtId="164" fontId="2" fillId="0" borderId="16" xfId="0" applyNumberFormat="1" applyFont="1" applyBorder="1" applyAlignment="1">
      <alignment horizontal="center"/>
    </xf>
    <xf numFmtId="164" fontId="2" fillId="0" borderId="14" xfId="0" applyNumberFormat="1" applyFont="1" applyBorder="1" applyAlignment="1">
      <alignment horizontal="center"/>
    </xf>
    <xf numFmtId="164" fontId="2" fillId="0" borderId="17" xfId="0" applyNumberFormat="1" applyFont="1" applyBorder="1" applyAlignment="1">
      <alignment horizontal="center"/>
    </xf>
    <xf numFmtId="0" fontId="27" fillId="0" borderId="0" xfId="0" applyFont="1" applyAlignment="1">
      <alignment horizontal="center"/>
    </xf>
    <xf numFmtId="164" fontId="2" fillId="0" borderId="0" xfId="0" applyNumberFormat="1" applyFont="1" applyAlignment="1">
      <alignment horizontal="center"/>
    </xf>
    <xf numFmtId="165" fontId="2" fillId="0" borderId="13" xfId="0" applyNumberFormat="1" applyFont="1" applyBorder="1" applyAlignment="1">
      <alignment horizontal="center"/>
    </xf>
    <xf numFmtId="165" fontId="2" fillId="0" borderId="8" xfId="0" applyNumberFormat="1" applyFont="1" applyBorder="1" applyAlignment="1">
      <alignment horizontal="center"/>
    </xf>
    <xf numFmtId="165" fontId="2" fillId="0" borderId="14" xfId="0" applyNumberFormat="1" applyFont="1" applyBorder="1" applyAlignment="1">
      <alignment horizontal="center"/>
    </xf>
    <xf numFmtId="0" fontId="27" fillId="0" borderId="0" xfId="0" applyFont="1"/>
    <xf numFmtId="165" fontId="2" fillId="0" borderId="0" xfId="0" applyNumberFormat="1" applyFont="1" applyAlignment="1">
      <alignment horizontal="center"/>
    </xf>
    <xf numFmtId="0" fontId="2" fillId="0" borderId="15" xfId="0" applyFont="1" applyBorder="1" applyAlignment="1">
      <alignment horizontal="center"/>
    </xf>
    <xf numFmtId="165" fontId="2" fillId="0" borderId="0" xfId="0" applyNumberFormat="1" applyFont="1"/>
    <xf numFmtId="0" fontId="29" fillId="0" borderId="0" xfId="0" applyFont="1" applyAlignment="1">
      <alignment horizontal="center"/>
    </xf>
    <xf numFmtId="164" fontId="2" fillId="0" borderId="0" xfId="0" applyNumberFormat="1" applyFont="1"/>
    <xf numFmtId="0" fontId="6" fillId="0" borderId="12" xfId="0" applyFont="1" applyBorder="1" applyAlignment="1">
      <alignment horizontal="center"/>
    </xf>
    <xf numFmtId="0" fontId="23" fillId="0" borderId="12" xfId="0" applyFont="1" applyBorder="1" applyAlignment="1">
      <alignment horizontal="center"/>
    </xf>
    <xf numFmtId="0" fontId="23" fillId="0" borderId="0" xfId="0" applyFont="1" applyAlignment="1">
      <alignment horizontal="center"/>
    </xf>
    <xf numFmtId="164" fontId="6" fillId="0" borderId="12" xfId="0" applyNumberFormat="1" applyFont="1" applyBorder="1" applyAlignment="1">
      <alignment horizontal="center"/>
    </xf>
    <xf numFmtId="0" fontId="0" fillId="0" borderId="12" xfId="0" applyBorder="1" applyAlignment="1">
      <alignment horizontal="center"/>
    </xf>
    <xf numFmtId="0" fontId="0" fillId="0" borderId="21" xfId="0" applyBorder="1" applyAlignment="1">
      <alignment horizontal="center"/>
    </xf>
    <xf numFmtId="0" fontId="0" fillId="0" borderId="7" xfId="0" applyBorder="1" applyAlignment="1">
      <alignment horizontal="center"/>
    </xf>
    <xf numFmtId="0" fontId="0" fillId="3" borderId="7" xfId="0" applyFill="1" applyBorder="1" applyAlignment="1">
      <alignment horizontal="center"/>
    </xf>
    <xf numFmtId="0" fontId="0" fillId="2" borderId="7" xfId="0" applyFill="1" applyBorder="1" applyAlignment="1">
      <alignment horizontal="center"/>
    </xf>
    <xf numFmtId="0" fontId="0" fillId="4" borderId="7" xfId="0" applyFill="1" applyBorder="1" applyAlignment="1">
      <alignment horizontal="center"/>
    </xf>
    <xf numFmtId="0" fontId="0" fillId="0" borderId="22" xfId="0" applyBorder="1" applyAlignment="1">
      <alignment horizontal="center"/>
    </xf>
    <xf numFmtId="0" fontId="1" fillId="0" borderId="15" xfId="0" applyFont="1" applyBorder="1" applyAlignment="1">
      <alignment horizontal="center" wrapText="1"/>
    </xf>
    <xf numFmtId="0" fontId="27" fillId="0" borderId="20" xfId="0" applyFont="1" applyBorder="1" applyAlignment="1">
      <alignment horizontal="center"/>
    </xf>
    <xf numFmtId="0" fontId="2" fillId="0" borderId="19" xfId="0" applyFont="1" applyBorder="1" applyAlignment="1">
      <alignment horizontal="center" wrapText="1"/>
    </xf>
    <xf numFmtId="165" fontId="0" fillId="0" borderId="0" xfId="0" applyNumberFormat="1"/>
    <xf numFmtId="0" fontId="31" fillId="0" borderId="12" xfId="0" applyFont="1" applyBorder="1" applyAlignment="1">
      <alignment horizontal="center"/>
    </xf>
    <xf numFmtId="0" fontId="1" fillId="0" borderId="0" xfId="0" applyFont="1" applyAlignment="1">
      <alignment horizontal="center" wrapText="1"/>
    </xf>
    <xf numFmtId="0" fontId="31" fillId="0" borderId="0" xfId="0" applyFont="1" applyAlignment="1">
      <alignment horizontal="center"/>
    </xf>
    <xf numFmtId="164" fontId="6" fillId="0" borderId="0" xfId="0" applyNumberFormat="1" applyFont="1" applyAlignment="1">
      <alignment horizontal="center"/>
    </xf>
    <xf numFmtId="0" fontId="14" fillId="0" borderId="12" xfId="0" applyFont="1" applyBorder="1" applyAlignment="1">
      <alignment horizontal="center" wrapText="1"/>
    </xf>
    <xf numFmtId="0" fontId="32" fillId="0" borderId="12" xfId="0" applyFont="1" applyBorder="1" applyAlignment="1">
      <alignment horizontal="center" wrapText="1"/>
    </xf>
    <xf numFmtId="0" fontId="32" fillId="0" borderId="19" xfId="0" applyFont="1" applyBorder="1" applyAlignment="1">
      <alignment horizontal="center" wrapText="1"/>
    </xf>
    <xf numFmtId="164" fontId="1" fillId="0" borderId="0" xfId="0" applyNumberFormat="1" applyFont="1" applyAlignment="1">
      <alignment horizontal="center"/>
    </xf>
    <xf numFmtId="0" fontId="32" fillId="0" borderId="21" xfId="0" applyFont="1" applyBorder="1" applyAlignment="1">
      <alignment horizontal="center" wrapText="1"/>
    </xf>
    <xf numFmtId="2" fontId="1" fillId="0" borderId="0" xfId="0" applyNumberFormat="1" applyFont="1" applyAlignment="1">
      <alignment horizontal="center"/>
    </xf>
    <xf numFmtId="2" fontId="0" fillId="0" borderId="13" xfId="0" applyNumberFormat="1" applyBorder="1" applyAlignment="1">
      <alignment horizontal="center"/>
    </xf>
    <xf numFmtId="2" fontId="0" fillId="0" borderId="8" xfId="0" applyNumberFormat="1" applyBorder="1" applyAlignment="1">
      <alignment horizontal="center"/>
    </xf>
    <xf numFmtId="2" fontId="0" fillId="0" borderId="14" xfId="0" applyNumberFormat="1" applyBorder="1" applyAlignment="1">
      <alignment horizontal="center"/>
    </xf>
    <xf numFmtId="2" fontId="0" fillId="0" borderId="12" xfId="0" applyNumberFormat="1" applyBorder="1" applyAlignment="1">
      <alignment horizontal="center"/>
    </xf>
    <xf numFmtId="0" fontId="5" fillId="0" borderId="0" xfId="0" applyFont="1"/>
    <xf numFmtId="0" fontId="1" fillId="0" borderId="0" xfId="0" applyFont="1"/>
    <xf numFmtId="166" fontId="1" fillId="0" borderId="0" xfId="0" applyNumberFormat="1" applyFont="1" applyAlignment="1">
      <alignment horizontal="center"/>
    </xf>
    <xf numFmtId="0" fontId="1" fillId="0" borderId="18" xfId="0" applyFont="1" applyBorder="1" applyAlignment="1">
      <alignment horizontal="center"/>
    </xf>
    <xf numFmtId="0" fontId="31" fillId="0" borderId="18" xfId="0" applyFont="1" applyBorder="1" applyAlignment="1">
      <alignment horizontal="center"/>
    </xf>
    <xf numFmtId="0" fontId="1" fillId="0" borderId="12" xfId="0" applyFont="1" applyBorder="1"/>
    <xf numFmtId="0" fontId="39" fillId="0" borderId="25" xfId="1" applyFont="1" applyBorder="1" applyAlignment="1">
      <alignment horizontal="center" vertical="top" wrapText="1"/>
    </xf>
    <xf numFmtId="1" fontId="37" fillId="0" borderId="25" xfId="1" applyNumberFormat="1" applyFont="1" applyBorder="1" applyAlignment="1">
      <alignment horizontal="center" vertical="top" shrinkToFit="1"/>
    </xf>
    <xf numFmtId="1" fontId="37" fillId="0" borderId="26" xfId="1" applyNumberFormat="1" applyFont="1" applyBorder="1" applyAlignment="1">
      <alignment horizontal="center" vertical="top" shrinkToFit="1"/>
    </xf>
    <xf numFmtId="1" fontId="38" fillId="0" borderId="26" xfId="1" applyNumberFormat="1" applyFont="1" applyBorder="1" applyAlignment="1">
      <alignment horizontal="center" vertical="top" shrinkToFit="1"/>
    </xf>
    <xf numFmtId="1" fontId="36" fillId="0" borderId="26" xfId="1" applyNumberFormat="1" applyFont="1" applyBorder="1" applyAlignment="1">
      <alignment horizontal="center" vertical="top" shrinkToFit="1"/>
    </xf>
    <xf numFmtId="0" fontId="39" fillId="0" borderId="26" xfId="1" applyFont="1" applyBorder="1" applyAlignment="1">
      <alignment horizontal="center" vertical="top" wrapText="1"/>
    </xf>
    <xf numFmtId="1" fontId="38" fillId="0" borderId="27" xfId="1" applyNumberFormat="1" applyFont="1" applyBorder="1" applyAlignment="1">
      <alignment horizontal="center" vertical="top" shrinkToFit="1"/>
    </xf>
    <xf numFmtId="1" fontId="37" fillId="0" borderId="27" xfId="1" applyNumberFormat="1" applyFont="1" applyBorder="1" applyAlignment="1">
      <alignment horizontal="center" vertical="top" shrinkToFit="1"/>
    </xf>
    <xf numFmtId="1" fontId="35" fillId="0" borderId="25" xfId="1" applyNumberFormat="1" applyFont="1" applyBorder="1" applyAlignment="1">
      <alignment horizontal="center" vertical="top" shrinkToFit="1"/>
    </xf>
    <xf numFmtId="1" fontId="35" fillId="0" borderId="26" xfId="1" applyNumberFormat="1" applyFont="1" applyBorder="1" applyAlignment="1">
      <alignment horizontal="center" vertical="top" shrinkToFit="1"/>
    </xf>
    <xf numFmtId="1" fontId="35" fillId="0" borderId="27" xfId="1" applyNumberFormat="1" applyFont="1" applyBorder="1" applyAlignment="1">
      <alignment horizontal="center" vertical="top" shrinkToFit="1"/>
    </xf>
    <xf numFmtId="0" fontId="40" fillId="0" borderId="0" xfId="0" applyFont="1" applyAlignment="1">
      <alignment horizontal="center"/>
    </xf>
    <xf numFmtId="0" fontId="40" fillId="0" borderId="12" xfId="0" applyFont="1" applyBorder="1" applyAlignment="1">
      <alignment horizontal="center"/>
    </xf>
    <xf numFmtId="164" fontId="40" fillId="0" borderId="12" xfId="0" applyNumberFormat="1" applyFont="1" applyBorder="1" applyAlignment="1">
      <alignment horizontal="center"/>
    </xf>
    <xf numFmtId="0" fontId="2" fillId="0" borderId="13" xfId="0" applyFont="1" applyBorder="1" applyAlignment="1">
      <alignment horizontal="center" wrapText="1"/>
    </xf>
    <xf numFmtId="0" fontId="10" fillId="0" borderId="15" xfId="0" applyFont="1" applyBorder="1" applyAlignment="1">
      <alignment horizontal="center"/>
    </xf>
    <xf numFmtId="0" fontId="10" fillId="0" borderId="16" xfId="0" applyFont="1" applyBorder="1" applyAlignment="1">
      <alignment horizontal="center"/>
    </xf>
    <xf numFmtId="0" fontId="10" fillId="0" borderId="17" xfId="0" applyFont="1" applyBorder="1" applyAlignment="1">
      <alignment horizontal="center"/>
    </xf>
    <xf numFmtId="0" fontId="9" fillId="0" borderId="12" xfId="0" applyFont="1" applyBorder="1" applyAlignment="1">
      <alignment horizontal="center"/>
    </xf>
    <xf numFmtId="0" fontId="10" fillId="0" borderId="12" xfId="0" applyFont="1" applyBorder="1" applyAlignment="1">
      <alignment horizontal="center"/>
    </xf>
    <xf numFmtId="0" fontId="10" fillId="0" borderId="19" xfId="0" applyFont="1" applyBorder="1" applyAlignment="1">
      <alignment horizontal="center"/>
    </xf>
    <xf numFmtId="0" fontId="2" fillId="0" borderId="12" xfId="0" applyFont="1" applyBorder="1" applyAlignment="1">
      <alignment horizontal="center" vertical="center" wrapText="1"/>
    </xf>
    <xf numFmtId="0" fontId="2" fillId="0" borderId="18" xfId="0" applyFont="1" applyBorder="1" applyAlignment="1">
      <alignment horizontal="center" vertical="center"/>
    </xf>
    <xf numFmtId="0" fontId="2" fillId="0" borderId="13" xfId="0" applyFont="1" applyBorder="1" applyAlignment="1">
      <alignment horizontal="center" vertical="center" wrapText="1"/>
    </xf>
    <xf numFmtId="0" fontId="10" fillId="4" borderId="8" xfId="0" applyFont="1" applyFill="1" applyBorder="1" applyAlignment="1">
      <alignment horizontal="center"/>
    </xf>
    <xf numFmtId="0" fontId="10" fillId="7" borderId="8" xfId="0" applyFont="1" applyFill="1" applyBorder="1" applyAlignment="1">
      <alignment horizontal="center"/>
    </xf>
    <xf numFmtId="0" fontId="10" fillId="8" borderId="8" xfId="0" applyFont="1" applyFill="1" applyBorder="1" applyAlignment="1">
      <alignment horizontal="center"/>
    </xf>
    <xf numFmtId="0" fontId="10" fillId="8" borderId="14" xfId="0" applyFont="1" applyFill="1" applyBorder="1" applyAlignment="1">
      <alignment horizontal="center"/>
    </xf>
    <xf numFmtId="0" fontId="10" fillId="9" borderId="8" xfId="0" applyFont="1" applyFill="1" applyBorder="1" applyAlignment="1">
      <alignment horizontal="center"/>
    </xf>
    <xf numFmtId="0" fontId="2" fillId="0" borderId="18" xfId="0" applyFont="1" applyBorder="1" applyAlignment="1">
      <alignment horizontal="center"/>
    </xf>
    <xf numFmtId="0" fontId="10" fillId="2" borderId="16" xfId="0" applyFont="1" applyFill="1" applyBorder="1" applyAlignment="1">
      <alignment horizontal="center"/>
    </xf>
    <xf numFmtId="0" fontId="10" fillId="6" borderId="16" xfId="0" applyFont="1" applyFill="1" applyBorder="1" applyAlignment="1">
      <alignment horizontal="center"/>
    </xf>
    <xf numFmtId="0" fontId="27" fillId="0" borderId="12" xfId="0" applyFont="1" applyBorder="1" applyAlignment="1">
      <alignment horizontal="center"/>
    </xf>
    <xf numFmtId="0" fontId="27" fillId="0" borderId="18" xfId="0" applyFont="1" applyBorder="1" applyAlignment="1">
      <alignment horizontal="center" wrapText="1"/>
    </xf>
    <xf numFmtId="0" fontId="27" fillId="0" borderId="13" xfId="0" applyFont="1" applyBorder="1" applyAlignment="1">
      <alignment horizontal="center"/>
    </xf>
    <xf numFmtId="0" fontId="32" fillId="0" borderId="13" xfId="0" applyFont="1" applyBorder="1" applyAlignment="1">
      <alignment horizontal="center" wrapText="1"/>
    </xf>
    <xf numFmtId="0" fontId="32" fillId="0" borderId="12" xfId="0" applyFont="1" applyBorder="1" applyAlignment="1">
      <alignment horizontal="center"/>
    </xf>
    <xf numFmtId="0" fontId="2" fillId="0" borderId="15" xfId="0" applyFont="1" applyBorder="1" applyAlignment="1">
      <alignment horizontal="center" wrapText="1"/>
    </xf>
    <xf numFmtId="0" fontId="9" fillId="0" borderId="8" xfId="0" applyFont="1" applyBorder="1" applyAlignment="1">
      <alignment horizontal="center"/>
    </xf>
    <xf numFmtId="0" fontId="9" fillId="0" borderId="16" xfId="0" applyFont="1" applyBorder="1" applyAlignment="1">
      <alignment horizontal="center"/>
    </xf>
    <xf numFmtId="0" fontId="9" fillId="0" borderId="13" xfId="0" applyFont="1" applyBorder="1" applyAlignment="1">
      <alignment horizontal="center"/>
    </xf>
    <xf numFmtId="0" fontId="9" fillId="0" borderId="15" xfId="0" applyFont="1" applyBorder="1" applyAlignment="1">
      <alignment horizontal="center"/>
    </xf>
    <xf numFmtId="0" fontId="32" fillId="0" borderId="0" xfId="0" applyFont="1" applyAlignment="1">
      <alignment horizontal="center"/>
    </xf>
    <xf numFmtId="0" fontId="9" fillId="0" borderId="14" xfId="0" applyFont="1" applyBorder="1" applyAlignment="1">
      <alignment horizontal="center"/>
    </xf>
    <xf numFmtId="0" fontId="9" fillId="0" borderId="17" xfId="0" applyFont="1" applyBorder="1" applyAlignment="1">
      <alignment horizontal="center"/>
    </xf>
    <xf numFmtId="164" fontId="9" fillId="0" borderId="20" xfId="0" applyNumberFormat="1" applyFont="1" applyBorder="1" applyAlignment="1">
      <alignment horizontal="center"/>
    </xf>
    <xf numFmtId="0" fontId="10" fillId="0" borderId="20" xfId="0" applyFont="1" applyBorder="1"/>
    <xf numFmtId="0" fontId="10" fillId="0" borderId="18" xfId="0" applyFont="1" applyBorder="1" applyAlignment="1">
      <alignment horizontal="center"/>
    </xf>
    <xf numFmtId="165" fontId="10" fillId="0" borderId="0" xfId="0" applyNumberFormat="1" applyFont="1" applyAlignment="1">
      <alignment horizontal="center"/>
    </xf>
    <xf numFmtId="0" fontId="32" fillId="0" borderId="18" xfId="0" applyFont="1" applyBorder="1" applyAlignment="1">
      <alignment horizontal="center" wrapText="1"/>
    </xf>
    <xf numFmtId="165" fontId="10" fillId="0" borderId="15" xfId="0" applyNumberFormat="1" applyFont="1" applyBorder="1" applyAlignment="1">
      <alignment horizontal="center"/>
    </xf>
    <xf numFmtId="2" fontId="10" fillId="0" borderId="15" xfId="0" applyNumberFormat="1" applyFont="1" applyBorder="1" applyAlignment="1">
      <alignment horizontal="center"/>
    </xf>
    <xf numFmtId="165" fontId="10" fillId="0" borderId="16" xfId="0" applyNumberFormat="1" applyFont="1" applyBorder="1" applyAlignment="1">
      <alignment horizontal="center"/>
    </xf>
    <xf numFmtId="2" fontId="10" fillId="0" borderId="16" xfId="0" applyNumberFormat="1" applyFont="1" applyBorder="1" applyAlignment="1">
      <alignment horizontal="center"/>
    </xf>
    <xf numFmtId="0" fontId="10" fillId="0" borderId="23" xfId="0" applyFont="1" applyBorder="1" applyAlignment="1">
      <alignment horizontal="center"/>
    </xf>
    <xf numFmtId="165" fontId="10" fillId="0" borderId="17" xfId="0" applyNumberFormat="1" applyFont="1" applyBorder="1" applyAlignment="1">
      <alignment horizontal="center"/>
    </xf>
    <xf numFmtId="2" fontId="10" fillId="0" borderId="17" xfId="0" applyNumberFormat="1" applyFont="1" applyBorder="1" applyAlignment="1">
      <alignment horizontal="center"/>
    </xf>
    <xf numFmtId="164" fontId="10" fillId="0" borderId="0" xfId="0" applyNumberFormat="1" applyFont="1"/>
    <xf numFmtId="164" fontId="10" fillId="0" borderId="0" xfId="0" applyNumberFormat="1" applyFont="1" applyAlignment="1">
      <alignment horizontal="center"/>
    </xf>
    <xf numFmtId="0" fontId="2" fillId="0" borderId="0" xfId="0" applyFont="1" applyAlignment="1">
      <alignment wrapText="1"/>
    </xf>
    <xf numFmtId="0" fontId="27" fillId="0" borderId="18" xfId="0" applyFont="1" applyBorder="1" applyAlignment="1">
      <alignment horizontal="center"/>
    </xf>
    <xf numFmtId="0" fontId="2" fillId="0" borderId="12" xfId="0" applyFont="1" applyBorder="1"/>
    <xf numFmtId="0" fontId="10" fillId="0" borderId="21" xfId="0" applyFont="1" applyBorder="1" applyAlignment="1">
      <alignment horizontal="center"/>
    </xf>
    <xf numFmtId="0" fontId="10" fillId="0" borderId="22" xfId="0" applyFont="1" applyBorder="1" applyAlignment="1">
      <alignment horizontal="center"/>
    </xf>
    <xf numFmtId="0" fontId="18" fillId="0" borderId="1" xfId="0" applyFont="1" applyBorder="1" applyAlignment="1">
      <alignment horizontal="center" vertical="center" wrapText="1"/>
    </xf>
    <xf numFmtId="0" fontId="19" fillId="0" borderId="2" xfId="0" applyFont="1" applyBorder="1" applyAlignment="1">
      <alignment horizontal="center" vertical="center" wrapText="1"/>
    </xf>
    <xf numFmtId="0" fontId="18"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3" fillId="0" borderId="0" xfId="0" applyFont="1" applyAlignment="1">
      <alignment horizontal="left"/>
    </xf>
    <xf numFmtId="0" fontId="2" fillId="0" borderId="18" xfId="0" applyFont="1" applyBorder="1" applyAlignment="1">
      <alignment horizontal="center"/>
    </xf>
    <xf numFmtId="0" fontId="2" fillId="0" borderId="19" xfId="0" applyFont="1" applyBorder="1" applyAlignment="1">
      <alignment horizontal="center"/>
    </xf>
    <xf numFmtId="0" fontId="1" fillId="3" borderId="18" xfId="0" applyFont="1" applyFill="1" applyBorder="1" applyAlignment="1">
      <alignment horizontal="center"/>
    </xf>
    <xf numFmtId="0" fontId="1" fillId="3" borderId="19" xfId="0" applyFont="1" applyFill="1" applyBorder="1" applyAlignment="1">
      <alignment horizontal="center"/>
    </xf>
    <xf numFmtId="0" fontId="8" fillId="0" borderId="0" xfId="0" applyFont="1" applyAlignment="1">
      <alignment horizontal="center"/>
    </xf>
    <xf numFmtId="0" fontId="45" fillId="0" borderId="0" xfId="0" applyFont="1" applyAlignment="1">
      <alignment horizontal="left"/>
    </xf>
    <xf numFmtId="0" fontId="1" fillId="2" borderId="18" xfId="0" applyFont="1" applyFill="1" applyBorder="1" applyAlignment="1">
      <alignment horizontal="center"/>
    </xf>
    <xf numFmtId="0" fontId="1" fillId="2" borderId="19" xfId="0" applyFont="1" applyFill="1" applyBorder="1" applyAlignment="1">
      <alignment horizontal="center"/>
    </xf>
    <xf numFmtId="0" fontId="1" fillId="4" borderId="18" xfId="0" applyFont="1" applyFill="1" applyBorder="1" applyAlignment="1">
      <alignment horizontal="center"/>
    </xf>
    <xf numFmtId="0" fontId="1" fillId="4" borderId="19" xfId="0" applyFont="1" applyFill="1" applyBorder="1" applyAlignment="1">
      <alignment horizontal="center"/>
    </xf>
    <xf numFmtId="0" fontId="5" fillId="0" borderId="0" xfId="0" applyFont="1" applyAlignment="1">
      <alignment horizontal="left"/>
    </xf>
    <xf numFmtId="0" fontId="5" fillId="0" borderId="0" xfId="0" applyFont="1" applyAlignment="1"/>
    <xf numFmtId="0" fontId="40" fillId="0" borderId="0" xfId="0" applyFont="1"/>
    <xf numFmtId="0" fontId="43" fillId="0" borderId="0" xfId="0" applyFont="1" applyAlignment="1"/>
    <xf numFmtId="0" fontId="46" fillId="0" borderId="0" xfId="0" applyFont="1"/>
    <xf numFmtId="0" fontId="47" fillId="0" borderId="0" xfId="0" applyFont="1"/>
    <xf numFmtId="0" fontId="2" fillId="0" borderId="0" xfId="0" applyFont="1" applyBorder="1" applyAlignment="1">
      <alignment horizontal="center"/>
    </xf>
    <xf numFmtId="0" fontId="10" fillId="0" borderId="0" xfId="0" applyFont="1" applyBorder="1" applyAlignment="1">
      <alignment horizontal="center"/>
    </xf>
    <xf numFmtId="0" fontId="26" fillId="0" borderId="11" xfId="0" applyFont="1" applyBorder="1" applyAlignment="1">
      <alignment horizontal="center" wrapText="1"/>
    </xf>
    <xf numFmtId="0" fontId="48" fillId="0" borderId="24" xfId="1" applyFont="1" applyBorder="1" applyAlignment="1">
      <alignment horizontal="center" vertical="center" wrapText="1"/>
    </xf>
    <xf numFmtId="0" fontId="32" fillId="0" borderId="24" xfId="1" applyFont="1" applyBorder="1" applyAlignment="1">
      <alignment horizontal="center" vertical="center" wrapText="1"/>
    </xf>
    <xf numFmtId="0" fontId="48" fillId="0" borderId="24" xfId="1" applyFont="1" applyBorder="1" applyAlignment="1">
      <alignment horizontal="left" vertical="top" wrapText="1"/>
    </xf>
  </cellXfs>
  <cellStyles count="2">
    <cellStyle name="Normal" xfId="0" builtinId="0"/>
    <cellStyle name="Normal 2" xfId="1" xr:uid="{48AC8B0A-21DD-41C0-AC82-18BA8DF0E5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5</xdr:col>
      <xdr:colOff>447674</xdr:colOff>
      <xdr:row>2</xdr:row>
      <xdr:rowOff>161925</xdr:rowOff>
    </xdr:from>
    <xdr:to>
      <xdr:col>14</xdr:col>
      <xdr:colOff>487324</xdr:colOff>
      <xdr:row>8</xdr:row>
      <xdr:rowOff>132907</xdr:rowOff>
    </xdr:to>
    <xdr:sp macro="" textlink="">
      <xdr:nvSpPr>
        <xdr:cNvPr id="2" name="TextBox 1">
          <a:extLst>
            <a:ext uri="{FF2B5EF4-FFF2-40B4-BE49-F238E27FC236}">
              <a16:creationId xmlns:a16="http://schemas.microsoft.com/office/drawing/2014/main" id="{632B89CB-43F6-46B3-97F8-324C56BD6D85}"/>
            </a:ext>
          </a:extLst>
        </xdr:cNvPr>
        <xdr:cNvSpPr txBox="1"/>
      </xdr:nvSpPr>
      <xdr:spPr>
        <a:xfrm>
          <a:off x="5287703" y="903989"/>
          <a:ext cx="5632819" cy="116714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As</a:t>
          </a:r>
          <a:r>
            <a:rPr lang="en-IN" sz="1800" baseline="0"/>
            <a:t> we see the data we need to find out average percentage increase in price of product. For doing this, geometric mean is used instead of airthmetic mean. </a:t>
          </a:r>
          <a:endParaRPr lang="en-IN" sz="1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594013</xdr:colOff>
      <xdr:row>7</xdr:row>
      <xdr:rowOff>157018</xdr:rowOff>
    </xdr:from>
    <xdr:to>
      <xdr:col>15</xdr:col>
      <xdr:colOff>375228</xdr:colOff>
      <xdr:row>12</xdr:row>
      <xdr:rowOff>173182</xdr:rowOff>
    </xdr:to>
    <xdr:sp macro="" textlink="">
      <xdr:nvSpPr>
        <xdr:cNvPr id="2" name="TextBox 1">
          <a:extLst>
            <a:ext uri="{FF2B5EF4-FFF2-40B4-BE49-F238E27FC236}">
              <a16:creationId xmlns:a16="http://schemas.microsoft.com/office/drawing/2014/main" id="{F42E4A88-68E9-469D-AAE6-D908AB370DE5}"/>
            </a:ext>
          </a:extLst>
        </xdr:cNvPr>
        <xdr:cNvSpPr txBox="1"/>
      </xdr:nvSpPr>
      <xdr:spPr>
        <a:xfrm>
          <a:off x="3018558" y="1657927"/>
          <a:ext cx="6448715" cy="102639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The Harmonic mean</a:t>
          </a:r>
          <a:r>
            <a:rPr lang="en-IN" sz="1800" baseline="0"/>
            <a:t> is 30.55921281. </a:t>
          </a:r>
          <a:r>
            <a:rPr lang="en-IN" sz="1800"/>
            <a:t>Therefore, the average speed of the two-wheeler during the entire journey is approximately 30.56</a:t>
          </a:r>
          <a:r>
            <a:rPr lang="en-IN" sz="1800" baseline="0"/>
            <a:t> km per hour.</a:t>
          </a:r>
          <a:r>
            <a:rPr lang="en-IN" sz="1800"/>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218499</xdr:colOff>
      <xdr:row>15</xdr:row>
      <xdr:rowOff>182129</xdr:rowOff>
    </xdr:from>
    <xdr:to>
      <xdr:col>16</xdr:col>
      <xdr:colOff>183615</xdr:colOff>
      <xdr:row>21</xdr:row>
      <xdr:rowOff>126235</xdr:rowOff>
    </xdr:to>
    <xdr:sp macro="" textlink="">
      <xdr:nvSpPr>
        <xdr:cNvPr id="2" name="TextBox 1">
          <a:extLst>
            <a:ext uri="{FF2B5EF4-FFF2-40B4-BE49-F238E27FC236}">
              <a16:creationId xmlns:a16="http://schemas.microsoft.com/office/drawing/2014/main" id="{341E0FE9-6A9B-FA65-BFC2-7AC30BA621C6}"/>
            </a:ext>
          </a:extLst>
        </xdr:cNvPr>
        <xdr:cNvSpPr txBox="1"/>
      </xdr:nvSpPr>
      <xdr:spPr>
        <a:xfrm>
          <a:off x="5038379" y="3785563"/>
          <a:ext cx="6185055" cy="1458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Interpretation -  </a:t>
          </a:r>
          <a:r>
            <a:rPr lang="en-IN" sz="1600" b="0"/>
            <a:t>The</a:t>
          </a:r>
          <a:r>
            <a:rPr lang="en-IN" sz="1600" b="0" baseline="0"/>
            <a:t> value of </a:t>
          </a:r>
          <a:r>
            <a:rPr lang="el-GR" sz="1400" b="1" i="0" u="none" strike="noStrike">
              <a:solidFill>
                <a:schemeClr val="dk1"/>
              </a:solidFill>
              <a:effectLst/>
              <a:latin typeface="+mn-lt"/>
              <a:ea typeface="+mn-ea"/>
              <a:cs typeface="+mn-cs"/>
            </a:rPr>
            <a:t>γ</a:t>
          </a:r>
          <a:r>
            <a:rPr lang="el-GR" sz="1400" b="1" i="0" u="none" strike="noStrike" baseline="-25000">
              <a:solidFill>
                <a:schemeClr val="dk1"/>
              </a:solidFill>
              <a:effectLst/>
              <a:latin typeface="+mn-lt"/>
              <a:ea typeface="+mn-ea"/>
              <a:cs typeface="+mn-cs"/>
            </a:rPr>
            <a:t>1</a:t>
          </a:r>
          <a:r>
            <a:rPr lang="el-GR" sz="2000"/>
            <a:t> </a:t>
          </a:r>
          <a:r>
            <a:rPr lang="en-US" sz="1600"/>
            <a:t>is</a:t>
          </a:r>
          <a:r>
            <a:rPr lang="en-US" sz="1600" baseline="0"/>
            <a:t> 0.0999 and so the data for consumption of eggs is slightly positively skewed. Also the value of </a:t>
          </a:r>
          <a:r>
            <a:rPr lang="el-GR" sz="1400" b="1" i="0" u="none" strike="noStrike">
              <a:solidFill>
                <a:schemeClr val="dk1"/>
              </a:solidFill>
              <a:effectLst/>
              <a:latin typeface="+mn-lt"/>
              <a:ea typeface="+mn-ea"/>
              <a:cs typeface="+mn-cs"/>
            </a:rPr>
            <a:t>γ</a:t>
          </a:r>
          <a:r>
            <a:rPr lang="el-GR" sz="1400" b="1" i="0" u="none" strike="noStrike" baseline="-25000">
              <a:solidFill>
                <a:schemeClr val="dk1"/>
              </a:solidFill>
              <a:effectLst/>
              <a:latin typeface="+mn-lt"/>
              <a:ea typeface="+mn-ea"/>
              <a:cs typeface="+mn-cs"/>
            </a:rPr>
            <a:t>2</a:t>
          </a:r>
          <a:r>
            <a:rPr lang="el-GR" sz="2000"/>
            <a:t> </a:t>
          </a:r>
          <a:r>
            <a:rPr lang="en-US" sz="1600"/>
            <a:t>is</a:t>
          </a:r>
          <a:r>
            <a:rPr lang="en-US" sz="1600" baseline="0"/>
            <a:t> -0.6314 and so the data for consumption of eggs is platykurtic. Hence we have computed moments, skewness and kurtosis for above discrete frequency distribution.</a:t>
          </a:r>
          <a:endParaRPr lang="en-IN" sz="20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95250</xdr:colOff>
      <xdr:row>136</xdr:row>
      <xdr:rowOff>161925</xdr:rowOff>
    </xdr:from>
    <xdr:to>
      <xdr:col>9</xdr:col>
      <xdr:colOff>104775</xdr:colOff>
      <xdr:row>142</xdr:row>
      <xdr:rowOff>47624</xdr:rowOff>
    </xdr:to>
    <xdr:sp macro="" textlink="">
      <xdr:nvSpPr>
        <xdr:cNvPr id="3" name="TextBox 2">
          <a:extLst>
            <a:ext uri="{FF2B5EF4-FFF2-40B4-BE49-F238E27FC236}">
              <a16:creationId xmlns:a16="http://schemas.microsoft.com/office/drawing/2014/main" id="{F8588158-A277-2C3B-7A80-86F40CD741AF}"/>
            </a:ext>
          </a:extLst>
        </xdr:cNvPr>
        <xdr:cNvSpPr txBox="1"/>
      </xdr:nvSpPr>
      <xdr:spPr>
        <a:xfrm>
          <a:off x="95250" y="28570238"/>
          <a:ext cx="7427119" cy="102869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600" b="1">
              <a:solidFill>
                <a:schemeClr val="dk1"/>
              </a:solidFill>
              <a:effectLst/>
              <a:latin typeface="+mn-lt"/>
              <a:ea typeface="+mn-ea"/>
              <a:cs typeface="+mn-cs"/>
            </a:rPr>
            <a:t>Interpretation -  </a:t>
          </a:r>
          <a:r>
            <a:rPr lang="en-IN" sz="1600" b="0">
              <a:solidFill>
                <a:schemeClr val="dk1"/>
              </a:solidFill>
              <a:effectLst/>
              <a:latin typeface="+mn-lt"/>
              <a:ea typeface="+mn-ea"/>
              <a:cs typeface="+mn-cs"/>
            </a:rPr>
            <a:t>The</a:t>
          </a:r>
          <a:r>
            <a:rPr lang="en-IN" sz="1600" b="0" baseline="0">
              <a:solidFill>
                <a:schemeClr val="dk1"/>
              </a:solidFill>
              <a:effectLst/>
              <a:latin typeface="+mn-lt"/>
              <a:ea typeface="+mn-ea"/>
              <a:cs typeface="+mn-cs"/>
            </a:rPr>
            <a:t> value of </a:t>
          </a:r>
          <a:r>
            <a:rPr lang="el-GR" sz="1600" b="1" i="0">
              <a:solidFill>
                <a:schemeClr val="dk1"/>
              </a:solidFill>
              <a:effectLst/>
              <a:latin typeface="+mn-lt"/>
              <a:ea typeface="+mn-ea"/>
              <a:cs typeface="+mn-cs"/>
            </a:rPr>
            <a:t>γ</a:t>
          </a:r>
          <a:r>
            <a:rPr lang="el-GR" sz="1600" b="1" i="0" baseline="-25000">
              <a:solidFill>
                <a:schemeClr val="dk1"/>
              </a:solidFill>
              <a:effectLst/>
              <a:latin typeface="+mn-lt"/>
              <a:ea typeface="+mn-ea"/>
              <a:cs typeface="+mn-cs"/>
            </a:rPr>
            <a:t>1</a:t>
          </a:r>
          <a:r>
            <a:rPr lang="el-GR" sz="1600">
              <a:solidFill>
                <a:schemeClr val="dk1"/>
              </a:solidFill>
              <a:effectLst/>
              <a:latin typeface="+mn-lt"/>
              <a:ea typeface="+mn-ea"/>
              <a:cs typeface="+mn-cs"/>
            </a:rPr>
            <a:t> </a:t>
          </a:r>
          <a:r>
            <a:rPr lang="en-US" sz="1600">
              <a:solidFill>
                <a:schemeClr val="dk1"/>
              </a:solidFill>
              <a:effectLst/>
              <a:latin typeface="+mn-lt"/>
              <a:ea typeface="+mn-ea"/>
              <a:cs typeface="+mn-cs"/>
            </a:rPr>
            <a:t>is</a:t>
          </a:r>
          <a:r>
            <a:rPr lang="en-US" sz="1600" baseline="0">
              <a:solidFill>
                <a:schemeClr val="dk1"/>
              </a:solidFill>
              <a:effectLst/>
              <a:latin typeface="+mn-lt"/>
              <a:ea typeface="+mn-ea"/>
              <a:cs typeface="+mn-cs"/>
            </a:rPr>
            <a:t> 0.1409 and so the data for amount of rainfall is slightly positively skewed. Also the value of </a:t>
          </a:r>
          <a:r>
            <a:rPr lang="el-GR" sz="1600" b="1" i="0">
              <a:solidFill>
                <a:schemeClr val="dk1"/>
              </a:solidFill>
              <a:effectLst/>
              <a:latin typeface="+mn-lt"/>
              <a:ea typeface="+mn-ea"/>
              <a:cs typeface="+mn-cs"/>
            </a:rPr>
            <a:t>γ</a:t>
          </a:r>
          <a:r>
            <a:rPr lang="el-GR" sz="1600" b="1" i="0" baseline="-25000">
              <a:solidFill>
                <a:schemeClr val="dk1"/>
              </a:solidFill>
              <a:effectLst/>
              <a:latin typeface="+mn-lt"/>
              <a:ea typeface="+mn-ea"/>
              <a:cs typeface="+mn-cs"/>
            </a:rPr>
            <a:t>2</a:t>
          </a:r>
          <a:r>
            <a:rPr lang="el-GR" sz="1600">
              <a:solidFill>
                <a:schemeClr val="dk1"/>
              </a:solidFill>
              <a:effectLst/>
              <a:latin typeface="+mn-lt"/>
              <a:ea typeface="+mn-ea"/>
              <a:cs typeface="+mn-cs"/>
            </a:rPr>
            <a:t> </a:t>
          </a:r>
          <a:r>
            <a:rPr lang="en-US" sz="1600">
              <a:solidFill>
                <a:schemeClr val="dk1"/>
              </a:solidFill>
              <a:effectLst/>
              <a:latin typeface="+mn-lt"/>
              <a:ea typeface="+mn-ea"/>
              <a:cs typeface="+mn-cs"/>
            </a:rPr>
            <a:t>is</a:t>
          </a:r>
          <a:r>
            <a:rPr lang="en-US" sz="1600" baseline="0">
              <a:solidFill>
                <a:schemeClr val="dk1"/>
              </a:solidFill>
              <a:effectLst/>
              <a:latin typeface="+mn-lt"/>
              <a:ea typeface="+mn-ea"/>
              <a:cs typeface="+mn-cs"/>
            </a:rPr>
            <a:t> -0.5072 and so the data for amount of rainfall is platykurtic. Hence we have computed moments, skewness and kurtosis for raw data.</a:t>
          </a:r>
          <a:endParaRPr lang="en-IN" sz="1600">
            <a:effectLst/>
          </a:endParaRPr>
        </a:p>
        <a:p>
          <a:endParaRPr lang="en-IN" sz="1100"/>
        </a:p>
      </xdr:txBody>
    </xdr:sp>
    <xdr:clientData/>
  </xdr:twoCellAnchor>
  <xdr:twoCellAnchor>
    <xdr:from>
      <xdr:col>16</xdr:col>
      <xdr:colOff>80963</xdr:colOff>
      <xdr:row>13</xdr:row>
      <xdr:rowOff>179916</xdr:rowOff>
    </xdr:from>
    <xdr:to>
      <xdr:col>19</xdr:col>
      <xdr:colOff>105834</xdr:colOff>
      <xdr:row>23</xdr:row>
      <xdr:rowOff>21166</xdr:rowOff>
    </xdr:to>
    <xdr:sp macro="" textlink="">
      <xdr:nvSpPr>
        <xdr:cNvPr id="2" name="TextBox 1">
          <a:extLst>
            <a:ext uri="{FF2B5EF4-FFF2-40B4-BE49-F238E27FC236}">
              <a16:creationId xmlns:a16="http://schemas.microsoft.com/office/drawing/2014/main" id="{B78401DB-D659-42AD-85CD-AF2C21BECBDD}"/>
            </a:ext>
          </a:extLst>
        </xdr:cNvPr>
        <xdr:cNvSpPr txBox="1"/>
      </xdr:nvSpPr>
      <xdr:spPr>
        <a:xfrm>
          <a:off x="12156546" y="3450166"/>
          <a:ext cx="2744788" cy="239183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400" b="1">
              <a:solidFill>
                <a:schemeClr val="dk1"/>
              </a:solidFill>
              <a:effectLst/>
              <a:latin typeface="+mn-lt"/>
              <a:ea typeface="+mn-ea"/>
              <a:cs typeface="+mn-cs"/>
            </a:rPr>
            <a:t>Interpretation -  </a:t>
          </a:r>
          <a:r>
            <a:rPr lang="en-IN" sz="1400" b="0">
              <a:solidFill>
                <a:schemeClr val="dk1"/>
              </a:solidFill>
              <a:effectLst/>
              <a:latin typeface="+mn-lt"/>
              <a:ea typeface="+mn-ea"/>
              <a:cs typeface="+mn-cs"/>
            </a:rPr>
            <a:t>The</a:t>
          </a:r>
          <a:r>
            <a:rPr lang="en-IN" sz="1400" b="0" baseline="0">
              <a:solidFill>
                <a:schemeClr val="dk1"/>
              </a:solidFill>
              <a:effectLst/>
              <a:latin typeface="+mn-lt"/>
              <a:ea typeface="+mn-ea"/>
              <a:cs typeface="+mn-cs"/>
            </a:rPr>
            <a:t> value of </a:t>
          </a:r>
          <a:r>
            <a:rPr lang="el-GR" sz="1400" b="1" i="0">
              <a:solidFill>
                <a:schemeClr val="dk1"/>
              </a:solidFill>
              <a:effectLst/>
              <a:latin typeface="+mn-lt"/>
              <a:ea typeface="+mn-ea"/>
              <a:cs typeface="+mn-cs"/>
            </a:rPr>
            <a:t>γ</a:t>
          </a:r>
          <a:r>
            <a:rPr lang="el-GR" sz="1400" b="1" i="0" baseline="-25000">
              <a:solidFill>
                <a:schemeClr val="dk1"/>
              </a:solidFill>
              <a:effectLst/>
              <a:latin typeface="+mn-lt"/>
              <a:ea typeface="+mn-ea"/>
              <a:cs typeface="+mn-cs"/>
            </a:rPr>
            <a:t>1</a:t>
          </a:r>
          <a:r>
            <a:rPr lang="el-GR" sz="1400">
              <a:solidFill>
                <a:schemeClr val="dk1"/>
              </a:solidFill>
              <a:effectLst/>
              <a:latin typeface="+mn-lt"/>
              <a:ea typeface="+mn-ea"/>
              <a:cs typeface="+mn-cs"/>
            </a:rPr>
            <a:t> </a:t>
          </a:r>
          <a:r>
            <a:rPr lang="en-US" sz="1400">
              <a:solidFill>
                <a:schemeClr val="dk1"/>
              </a:solidFill>
              <a:effectLst/>
              <a:latin typeface="+mn-lt"/>
              <a:ea typeface="+mn-ea"/>
              <a:cs typeface="+mn-cs"/>
            </a:rPr>
            <a:t>is</a:t>
          </a:r>
          <a:r>
            <a:rPr lang="en-US" sz="1400" baseline="0">
              <a:solidFill>
                <a:schemeClr val="dk1"/>
              </a:solidFill>
              <a:effectLst/>
              <a:latin typeface="+mn-lt"/>
              <a:ea typeface="+mn-ea"/>
              <a:cs typeface="+mn-cs"/>
            </a:rPr>
            <a:t> 0.1978 and so the data for amount of rainfall is slightly positively skewed. Also the value of </a:t>
          </a:r>
          <a:r>
            <a:rPr lang="el-GR" sz="1400" b="1" i="0">
              <a:solidFill>
                <a:schemeClr val="dk1"/>
              </a:solidFill>
              <a:effectLst/>
              <a:latin typeface="+mn-lt"/>
              <a:ea typeface="+mn-ea"/>
              <a:cs typeface="+mn-cs"/>
            </a:rPr>
            <a:t>γ</a:t>
          </a:r>
          <a:r>
            <a:rPr lang="el-GR" sz="1400" b="1" i="0" baseline="-25000">
              <a:solidFill>
                <a:schemeClr val="dk1"/>
              </a:solidFill>
              <a:effectLst/>
              <a:latin typeface="+mn-lt"/>
              <a:ea typeface="+mn-ea"/>
              <a:cs typeface="+mn-cs"/>
            </a:rPr>
            <a:t>2</a:t>
          </a:r>
          <a:r>
            <a:rPr lang="el-GR" sz="1400">
              <a:solidFill>
                <a:schemeClr val="dk1"/>
              </a:solidFill>
              <a:effectLst/>
              <a:latin typeface="+mn-lt"/>
              <a:ea typeface="+mn-ea"/>
              <a:cs typeface="+mn-cs"/>
            </a:rPr>
            <a:t> </a:t>
          </a:r>
          <a:r>
            <a:rPr lang="en-US" sz="1400">
              <a:solidFill>
                <a:schemeClr val="dk1"/>
              </a:solidFill>
              <a:effectLst/>
              <a:latin typeface="+mn-lt"/>
              <a:ea typeface="+mn-ea"/>
              <a:cs typeface="+mn-cs"/>
            </a:rPr>
            <a:t>is</a:t>
          </a:r>
          <a:r>
            <a:rPr lang="en-US" sz="1400" baseline="0">
              <a:solidFill>
                <a:schemeClr val="dk1"/>
              </a:solidFill>
              <a:effectLst/>
              <a:latin typeface="+mn-lt"/>
              <a:ea typeface="+mn-ea"/>
              <a:cs typeface="+mn-cs"/>
            </a:rPr>
            <a:t> -0.7358 and so the data for amount of rainfall is platykurtic. Hence we have computed moments, skewness and kurtosis for continouous frequency distribution.</a:t>
          </a:r>
          <a:endParaRPr lang="en-IN" sz="1400">
            <a:effectLst/>
          </a:endParaRPr>
        </a:p>
        <a:p>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42332</xdr:colOff>
      <xdr:row>56</xdr:row>
      <xdr:rowOff>158750</xdr:rowOff>
    </xdr:from>
    <xdr:to>
      <xdr:col>15</xdr:col>
      <xdr:colOff>222250</xdr:colOff>
      <xdr:row>89</xdr:row>
      <xdr:rowOff>31750</xdr:rowOff>
    </xdr:to>
    <xdr:sp macro="" textlink="">
      <xdr:nvSpPr>
        <xdr:cNvPr id="2" name="TextBox 1">
          <a:extLst>
            <a:ext uri="{FF2B5EF4-FFF2-40B4-BE49-F238E27FC236}">
              <a16:creationId xmlns:a16="http://schemas.microsoft.com/office/drawing/2014/main" id="{95E2E358-E3C4-4352-BE5B-CCD9FD867BED}"/>
            </a:ext>
          </a:extLst>
        </xdr:cNvPr>
        <xdr:cNvSpPr txBox="1"/>
      </xdr:nvSpPr>
      <xdr:spPr>
        <a:xfrm>
          <a:off x="656165" y="12922250"/>
          <a:ext cx="9810752" cy="6159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dk1"/>
              </a:solidFill>
              <a:effectLst/>
              <a:latin typeface="+mn-lt"/>
              <a:ea typeface="+mn-ea"/>
              <a:cs typeface="+mn-cs"/>
            </a:rPr>
            <a:t>Interpretation -                                                                                                                                                                              </a:t>
          </a:r>
          <a:r>
            <a:rPr lang="en-IN" sz="1600" b="1">
              <a:solidFill>
                <a:schemeClr val="dk1"/>
              </a:solidFill>
              <a:effectLst/>
              <a:latin typeface="+mn-lt"/>
              <a:ea typeface="+mn-ea"/>
              <a:cs typeface="+mn-cs"/>
            </a:rPr>
            <a:t>(i)</a:t>
          </a:r>
          <a:r>
            <a:rPr lang="en-IN" sz="1600" b="1" baseline="0">
              <a:solidFill>
                <a:schemeClr val="dk1"/>
              </a:solidFill>
              <a:effectLst/>
              <a:latin typeface="+mn-lt"/>
              <a:ea typeface="+mn-ea"/>
              <a:cs typeface="+mn-cs"/>
            </a:rPr>
            <a:t> </a:t>
          </a:r>
          <a:r>
            <a:rPr lang="en-IN" sz="1600" b="1" i="0" u="none" strike="noStrike">
              <a:solidFill>
                <a:schemeClr val="dk1"/>
              </a:solidFill>
              <a:effectLst/>
              <a:latin typeface="+mn-lt"/>
              <a:ea typeface="+mn-ea"/>
              <a:cs typeface="+mn-cs"/>
            </a:rPr>
            <a:t>Correlation coefficient between electricity consumption and size of the house, r</a:t>
          </a:r>
          <a:r>
            <a:rPr lang="en-IN" sz="1600" b="1" i="0" u="none" strike="noStrike" baseline="-25000">
              <a:solidFill>
                <a:schemeClr val="dk1"/>
              </a:solidFill>
              <a:effectLst/>
              <a:latin typeface="+mn-lt"/>
              <a:ea typeface="+mn-ea"/>
              <a:cs typeface="+mn-cs"/>
            </a:rPr>
            <a:t>12 </a:t>
          </a:r>
          <a:r>
            <a:rPr lang="en-IN" sz="1800" b="1"/>
            <a:t> </a:t>
          </a:r>
          <a:r>
            <a:rPr lang="en-IN" sz="1600" b="1"/>
            <a:t>is</a:t>
          </a:r>
          <a:r>
            <a:rPr lang="en-IN" sz="1600" b="1" baseline="0"/>
            <a:t> 0.9896 so there's a high positive correlation between them. </a:t>
          </a:r>
          <a:r>
            <a:rPr lang="en-IN" sz="1600" b="1" i="0">
              <a:solidFill>
                <a:schemeClr val="dk1"/>
              </a:solidFill>
              <a:effectLst/>
              <a:latin typeface="+mn-lt"/>
              <a:ea typeface="+mn-ea"/>
              <a:cs typeface="+mn-cs"/>
            </a:rPr>
            <a:t>Correlation coefficient bw electricity</a:t>
          </a:r>
          <a:r>
            <a:rPr lang="en-IN" sz="1600" b="1" i="0" baseline="0">
              <a:solidFill>
                <a:schemeClr val="dk1"/>
              </a:solidFill>
              <a:effectLst/>
              <a:latin typeface="+mn-lt"/>
              <a:ea typeface="+mn-ea"/>
              <a:cs typeface="+mn-cs"/>
            </a:rPr>
            <a:t> </a:t>
          </a:r>
          <a:r>
            <a:rPr lang="en-IN" sz="1600" b="1" i="0">
              <a:solidFill>
                <a:schemeClr val="dk1"/>
              </a:solidFill>
              <a:effectLst/>
              <a:latin typeface="+mn-lt"/>
              <a:ea typeface="+mn-ea"/>
              <a:cs typeface="+mn-cs"/>
            </a:rPr>
            <a:t>consumption and no.</a:t>
          </a:r>
          <a:r>
            <a:rPr lang="en-IN" sz="1600" b="1" i="0" baseline="0">
              <a:solidFill>
                <a:schemeClr val="dk1"/>
              </a:solidFill>
              <a:effectLst/>
              <a:latin typeface="+mn-lt"/>
              <a:ea typeface="+mn-ea"/>
              <a:cs typeface="+mn-cs"/>
            </a:rPr>
            <a:t> of hours the AC is used,</a:t>
          </a:r>
          <a:r>
            <a:rPr lang="en-IN" sz="1600" b="1" i="0">
              <a:solidFill>
                <a:schemeClr val="dk1"/>
              </a:solidFill>
              <a:effectLst/>
              <a:latin typeface="+mn-lt"/>
              <a:ea typeface="+mn-ea"/>
              <a:cs typeface="+mn-cs"/>
            </a:rPr>
            <a:t> </a:t>
          </a:r>
          <a:r>
            <a:rPr lang="en-IN" sz="2000" b="1" baseline="0"/>
            <a:t> </a:t>
          </a:r>
          <a:r>
            <a:rPr lang="en-IN" sz="1800" b="1" i="0" u="none" strike="noStrike">
              <a:solidFill>
                <a:schemeClr val="dk1"/>
              </a:solidFill>
              <a:effectLst/>
              <a:latin typeface="+mn-lt"/>
              <a:ea typeface="+mn-ea"/>
              <a:cs typeface="+mn-cs"/>
            </a:rPr>
            <a:t>r</a:t>
          </a:r>
          <a:r>
            <a:rPr lang="en-IN" sz="1800" b="1" i="0" u="none" strike="noStrike" baseline="-25000">
              <a:solidFill>
                <a:schemeClr val="dk1"/>
              </a:solidFill>
              <a:effectLst/>
              <a:latin typeface="+mn-lt"/>
              <a:ea typeface="+mn-ea"/>
              <a:cs typeface="+mn-cs"/>
            </a:rPr>
            <a:t>13</a:t>
          </a:r>
          <a:r>
            <a:rPr lang="en-IN" sz="2800" b="1" i="0" u="none" strike="noStrike" baseline="0">
              <a:solidFill>
                <a:schemeClr val="dk1"/>
              </a:solidFill>
              <a:effectLst/>
              <a:latin typeface="+mn-lt"/>
              <a:ea typeface="+mn-ea"/>
              <a:cs typeface="+mn-cs"/>
            </a:rPr>
            <a:t> </a:t>
          </a:r>
          <a:r>
            <a:rPr lang="en-IN" sz="1600" b="1" i="0" u="none" strike="noStrike" baseline="0">
              <a:solidFill>
                <a:schemeClr val="dk1"/>
              </a:solidFill>
              <a:effectLst/>
              <a:latin typeface="+mn-lt"/>
              <a:ea typeface="+mn-ea"/>
              <a:cs typeface="+mn-cs"/>
            </a:rPr>
            <a:t>is   0.9848 so it's highly postively correlated. The correlation coefficient between size of the house and the no. of hours AC is used, </a:t>
          </a:r>
          <a:r>
            <a:rPr lang="en-IN" sz="1600" b="1" i="0" u="none" strike="noStrike">
              <a:solidFill>
                <a:schemeClr val="dk1"/>
              </a:solidFill>
              <a:effectLst/>
              <a:latin typeface="+mn-lt"/>
              <a:ea typeface="+mn-ea"/>
              <a:cs typeface="+mn-cs"/>
            </a:rPr>
            <a:t>r</a:t>
          </a:r>
          <a:r>
            <a:rPr lang="en-IN" sz="1600" b="1" i="0" u="none" strike="noStrike" baseline="-25000">
              <a:solidFill>
                <a:schemeClr val="dk1"/>
              </a:solidFill>
              <a:effectLst/>
              <a:latin typeface="+mn-lt"/>
              <a:ea typeface="+mn-ea"/>
              <a:cs typeface="+mn-cs"/>
            </a:rPr>
            <a:t>23</a:t>
          </a:r>
          <a:r>
            <a:rPr lang="en-IN" sz="2400" b="1"/>
            <a:t> </a:t>
          </a:r>
          <a:r>
            <a:rPr lang="en-IN" sz="1600" b="1"/>
            <a:t>is 0.9800 which is also</a:t>
          </a:r>
          <a:r>
            <a:rPr lang="en-IN" sz="1600" b="1" baseline="0"/>
            <a:t> highly postively corrrelated.                                                                                                                                        (ii) We can conclude that the size of house and the no. of hours AC is used are highly positively correlated with the electricity consumption, because the multiple correlation coefficient of electricity consumption on the size of house and no. of hours AC is used,</a:t>
          </a:r>
          <a:r>
            <a:rPr lang="en-IN" sz="1800" b="1" baseline="0"/>
            <a:t> </a:t>
          </a:r>
          <a:r>
            <a:rPr lang="en-IN" sz="1400" b="1" i="0" u="none" strike="noStrike">
              <a:solidFill>
                <a:schemeClr val="dk1"/>
              </a:solidFill>
              <a:effectLst/>
              <a:latin typeface="+mn-lt"/>
              <a:ea typeface="+mn-ea"/>
              <a:cs typeface="+mn-cs"/>
            </a:rPr>
            <a:t>R</a:t>
          </a:r>
          <a:r>
            <a:rPr lang="en-IN" sz="1400" b="1" i="0" u="none" strike="noStrike" baseline="-25000">
              <a:solidFill>
                <a:schemeClr val="dk1"/>
              </a:solidFill>
              <a:effectLst/>
              <a:latin typeface="+mn-lt"/>
              <a:ea typeface="+mn-ea"/>
              <a:cs typeface="+mn-cs"/>
            </a:rPr>
            <a:t>1.23</a:t>
          </a:r>
          <a:r>
            <a:rPr lang="en-IN" sz="1800" b="1"/>
            <a:t> </a:t>
          </a:r>
          <a:r>
            <a:rPr lang="en-IN" sz="1800" b="1" baseline="0"/>
            <a:t>  </a:t>
          </a:r>
          <a:r>
            <a:rPr lang="en-IN" sz="1600" b="1" baseline="0"/>
            <a:t>is 0.9924. The multiple correlation coefficient of size of the house on the </a:t>
          </a:r>
          <a:r>
            <a:rPr lang="en-IN" sz="1600" b="1" baseline="0">
              <a:solidFill>
                <a:schemeClr val="dk1"/>
              </a:solidFill>
              <a:effectLst/>
              <a:latin typeface="+mn-lt"/>
              <a:ea typeface="+mn-ea"/>
              <a:cs typeface="+mn-cs"/>
            </a:rPr>
            <a:t>electricity consumption and the no. of hours AC is used, </a:t>
          </a:r>
          <a:r>
            <a:rPr lang="en-IN" sz="1600" b="1" i="0">
              <a:solidFill>
                <a:schemeClr val="dk1"/>
              </a:solidFill>
              <a:effectLst/>
              <a:latin typeface="+mn-lt"/>
              <a:ea typeface="+mn-ea"/>
              <a:cs typeface="+mn-cs"/>
            </a:rPr>
            <a:t>R</a:t>
          </a:r>
          <a:r>
            <a:rPr lang="en-IN" sz="1600" b="1" i="0" baseline="-25000">
              <a:solidFill>
                <a:schemeClr val="dk1"/>
              </a:solidFill>
              <a:effectLst/>
              <a:latin typeface="+mn-lt"/>
              <a:ea typeface="+mn-ea"/>
              <a:cs typeface="+mn-cs"/>
            </a:rPr>
            <a:t>2.13</a:t>
          </a:r>
          <a:r>
            <a:rPr lang="en-IN" sz="1600" b="1">
              <a:solidFill>
                <a:schemeClr val="dk1"/>
              </a:solidFill>
              <a:effectLst/>
              <a:latin typeface="+mn-lt"/>
              <a:ea typeface="+mn-ea"/>
              <a:cs typeface="+mn-cs"/>
            </a:rPr>
            <a:t>  </a:t>
          </a:r>
          <a:r>
            <a:rPr lang="en-IN" sz="1600" b="1" baseline="0">
              <a:solidFill>
                <a:schemeClr val="dk1"/>
              </a:solidFill>
              <a:effectLst/>
              <a:latin typeface="+mn-lt"/>
              <a:ea typeface="+mn-ea"/>
              <a:cs typeface="+mn-cs"/>
            </a:rPr>
            <a:t>is 1.4055 which means that the electricity consumption and the no. of hours AC is used are</a:t>
          </a:r>
          <a:r>
            <a:rPr lang="en-IN" sz="2000" b="1" baseline="0">
              <a:solidFill>
                <a:schemeClr val="dk1"/>
              </a:solidFill>
              <a:effectLst/>
              <a:latin typeface="+mn-lt"/>
              <a:ea typeface="+mn-ea"/>
              <a:cs typeface="+mn-cs"/>
            </a:rPr>
            <a:t> </a:t>
          </a:r>
          <a:r>
            <a:rPr lang="en-IN" sz="1600" b="1" baseline="0">
              <a:solidFill>
                <a:schemeClr val="dk1"/>
              </a:solidFill>
              <a:effectLst/>
              <a:latin typeface="+mn-lt"/>
              <a:ea typeface="+mn-ea"/>
              <a:cs typeface="+mn-cs"/>
            </a:rPr>
            <a:t>very highly positively correlated with the size of the house. The multiple correlation coefficient of the no. of hours AC is used on the electricity consumption and the size of house, </a:t>
          </a:r>
          <a:r>
            <a:rPr lang="en-IN" sz="1400" b="1" i="0" u="none" strike="noStrike">
              <a:solidFill>
                <a:schemeClr val="dk1"/>
              </a:solidFill>
              <a:effectLst/>
              <a:latin typeface="+mn-lt"/>
              <a:ea typeface="+mn-ea"/>
              <a:cs typeface="+mn-cs"/>
            </a:rPr>
            <a:t>R</a:t>
          </a:r>
          <a:r>
            <a:rPr lang="en-IN" sz="1400" b="1" i="0" u="none" strike="noStrike" baseline="-25000">
              <a:solidFill>
                <a:schemeClr val="dk1"/>
              </a:solidFill>
              <a:effectLst/>
              <a:latin typeface="+mn-lt"/>
              <a:ea typeface="+mn-ea"/>
              <a:cs typeface="+mn-cs"/>
            </a:rPr>
            <a:t>3.12</a:t>
          </a:r>
          <a:r>
            <a:rPr lang="en-IN" sz="1800" b="1"/>
            <a:t> </a:t>
          </a:r>
          <a:r>
            <a:rPr lang="en-IN" sz="1600" b="1">
              <a:solidFill>
                <a:schemeClr val="dk1"/>
              </a:solidFill>
              <a:effectLst/>
              <a:latin typeface="+mn-lt"/>
              <a:ea typeface="+mn-ea"/>
              <a:cs typeface="+mn-cs"/>
            </a:rPr>
            <a:t>  </a:t>
          </a:r>
          <a:r>
            <a:rPr lang="en-IN" sz="1600" b="1" baseline="0">
              <a:solidFill>
                <a:schemeClr val="dk1"/>
              </a:solidFill>
              <a:effectLst/>
              <a:latin typeface="+mn-lt"/>
              <a:ea typeface="+mn-ea"/>
              <a:cs typeface="+mn-cs"/>
            </a:rPr>
            <a:t>is 0.9855 which means that the electricity consumption and the size of house are highly positively correlated with the no. of hours AC is used.                                                                                                                               (iii) Partial correlation cofficient between electricity consumption and size of the house after eliminating the effect of no. of hours AC is used, </a:t>
          </a:r>
          <a:r>
            <a:rPr lang="en-IN" sz="1400" b="1" i="0" u="none" strike="noStrike">
              <a:solidFill>
                <a:schemeClr val="dk1"/>
              </a:solidFill>
              <a:effectLst/>
              <a:latin typeface="+mn-lt"/>
              <a:ea typeface="+mn-ea"/>
              <a:cs typeface="+mn-cs"/>
            </a:rPr>
            <a:t>r</a:t>
          </a:r>
          <a:r>
            <a:rPr lang="en-IN" sz="1400" b="1" i="0" u="none" strike="noStrike" baseline="-25000">
              <a:solidFill>
                <a:schemeClr val="dk1"/>
              </a:solidFill>
              <a:effectLst/>
              <a:latin typeface="+mn-lt"/>
              <a:ea typeface="+mn-ea"/>
              <a:cs typeface="+mn-cs"/>
            </a:rPr>
            <a:t>12.3</a:t>
          </a:r>
          <a:r>
            <a:rPr lang="en-IN" sz="1800" b="1"/>
            <a:t> </a:t>
          </a:r>
          <a:r>
            <a:rPr lang="en-IN" sz="1600" b="1" baseline="0">
              <a:solidFill>
                <a:schemeClr val="dk1"/>
              </a:solidFill>
              <a:effectLst/>
              <a:latin typeface="+mn-lt"/>
              <a:ea typeface="+mn-ea"/>
              <a:cs typeface="+mn-cs"/>
            </a:rPr>
            <a:t> is 0.9964. It means that the electricity consumption and size of the house are highly positively correlated after eliminating the effect of no. of hours AC is used.</a:t>
          </a:r>
          <a:r>
            <a:rPr lang="en-IN" sz="1200" b="1" baseline="0">
              <a:solidFill>
                <a:schemeClr val="dk1"/>
              </a:solidFill>
              <a:effectLst/>
              <a:latin typeface="+mn-lt"/>
              <a:ea typeface="+mn-ea"/>
              <a:cs typeface="+mn-cs"/>
            </a:rPr>
            <a:t> </a:t>
          </a:r>
          <a:r>
            <a:rPr lang="en-IN" sz="1600" b="1" baseline="0">
              <a:solidFill>
                <a:schemeClr val="dk1"/>
              </a:solidFill>
              <a:effectLst/>
              <a:latin typeface="+mn-lt"/>
              <a:ea typeface="+mn-ea"/>
              <a:cs typeface="+mn-cs"/>
            </a:rPr>
            <a:t>Partial correlation cofficient between electricity consumption and no. of hours AC is used after eliminating the effect of the size of house, </a:t>
          </a:r>
          <a:r>
            <a:rPr lang="en-IN" sz="1600" b="1" i="0" u="none" strike="noStrike">
              <a:solidFill>
                <a:schemeClr val="dk1"/>
              </a:solidFill>
              <a:effectLst/>
              <a:latin typeface="+mn-lt"/>
              <a:ea typeface="+mn-ea"/>
              <a:cs typeface="+mn-cs"/>
            </a:rPr>
            <a:t>r</a:t>
          </a:r>
          <a:r>
            <a:rPr lang="en-IN" sz="1600" b="1" i="0" u="none" strike="noStrike" baseline="-25000">
              <a:solidFill>
                <a:schemeClr val="dk1"/>
              </a:solidFill>
              <a:effectLst/>
              <a:latin typeface="+mn-lt"/>
              <a:ea typeface="+mn-ea"/>
              <a:cs typeface="+mn-cs"/>
            </a:rPr>
            <a:t>13.2</a:t>
          </a:r>
          <a:r>
            <a:rPr lang="en-IN" sz="1600" b="1"/>
            <a:t> </a:t>
          </a:r>
          <a:r>
            <a:rPr lang="en-IN" sz="1600" b="1" baseline="0">
              <a:solidFill>
                <a:schemeClr val="dk1"/>
              </a:solidFill>
              <a:effectLst/>
              <a:latin typeface="+mn-lt"/>
              <a:ea typeface="+mn-ea"/>
              <a:cs typeface="+mn-cs"/>
            </a:rPr>
            <a:t> is 0.5229. It means that the electricity consumption and no. of hours AC is used are moderately positively correlated after eliminating the effect of the size of house. Also, Partial correlation cofficient between the size of the house and no. of hours AC is used after eliminating the effect of electricity consumption,</a:t>
          </a:r>
          <a:r>
            <a:rPr lang="en-IN" sz="1800" b="1" baseline="0">
              <a:solidFill>
                <a:schemeClr val="dk1"/>
              </a:solidFill>
              <a:effectLst/>
              <a:latin typeface="+mn-lt"/>
              <a:ea typeface="+mn-ea"/>
              <a:cs typeface="+mn-cs"/>
            </a:rPr>
            <a:t> </a:t>
          </a:r>
          <a:r>
            <a:rPr lang="en-IN" sz="1400" b="1" i="0" u="none" strike="noStrike">
              <a:solidFill>
                <a:schemeClr val="dk1"/>
              </a:solidFill>
              <a:effectLst/>
              <a:latin typeface="+mn-lt"/>
              <a:ea typeface="+mn-ea"/>
              <a:cs typeface="+mn-cs"/>
            </a:rPr>
            <a:t>r</a:t>
          </a:r>
          <a:r>
            <a:rPr lang="en-IN" sz="1400" b="1" i="0" u="none" strike="noStrike" baseline="-25000">
              <a:solidFill>
                <a:schemeClr val="dk1"/>
              </a:solidFill>
              <a:effectLst/>
              <a:latin typeface="+mn-lt"/>
              <a:ea typeface="+mn-ea"/>
              <a:cs typeface="+mn-cs"/>
            </a:rPr>
            <a:t>23.1</a:t>
          </a:r>
          <a:r>
            <a:rPr lang="en-IN" sz="1800" b="1"/>
            <a:t> </a:t>
          </a:r>
          <a:r>
            <a:rPr lang="en-IN" sz="1800" b="1">
              <a:solidFill>
                <a:schemeClr val="dk1"/>
              </a:solidFill>
              <a:effectLst/>
              <a:latin typeface="+mn-lt"/>
              <a:ea typeface="+mn-ea"/>
              <a:cs typeface="+mn-cs"/>
            </a:rPr>
            <a:t> </a:t>
          </a:r>
          <a:r>
            <a:rPr lang="en-IN" sz="1800" b="1" baseline="0">
              <a:solidFill>
                <a:schemeClr val="dk1"/>
              </a:solidFill>
              <a:effectLst/>
              <a:latin typeface="+mn-lt"/>
              <a:ea typeface="+mn-ea"/>
              <a:cs typeface="+mn-cs"/>
            </a:rPr>
            <a:t> </a:t>
          </a:r>
          <a:r>
            <a:rPr lang="en-IN" sz="1600" b="1" baseline="0">
              <a:solidFill>
                <a:schemeClr val="dk1"/>
              </a:solidFill>
              <a:effectLst/>
              <a:latin typeface="+mn-lt"/>
              <a:ea typeface="+mn-ea"/>
              <a:cs typeface="+mn-cs"/>
            </a:rPr>
            <a:t>is 0.2196. It means that the size of the house and the no. of hours AC is used are slightly positively correlated after eliminating the effect of the electricty consumption</a:t>
          </a:r>
          <a:r>
            <a:rPr lang="en-IN" sz="1400" b="1" baseline="0">
              <a:solidFill>
                <a:schemeClr val="dk1"/>
              </a:solidFill>
              <a:effectLst/>
              <a:latin typeface="+mn-lt"/>
              <a:ea typeface="+mn-ea"/>
              <a:cs typeface="+mn-cs"/>
            </a:rPr>
            <a:t>.</a:t>
          </a:r>
          <a:endParaRPr lang="en-IN" sz="16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451028</xdr:colOff>
      <xdr:row>6</xdr:row>
      <xdr:rowOff>83580</xdr:rowOff>
    </xdr:from>
    <xdr:to>
      <xdr:col>17</xdr:col>
      <xdr:colOff>359401</xdr:colOff>
      <xdr:row>11</xdr:row>
      <xdr:rowOff>16502</xdr:rowOff>
    </xdr:to>
    <xdr:sp macro="" textlink="">
      <xdr:nvSpPr>
        <xdr:cNvPr id="2" name="TextBox 1">
          <a:extLst>
            <a:ext uri="{FF2B5EF4-FFF2-40B4-BE49-F238E27FC236}">
              <a16:creationId xmlns:a16="http://schemas.microsoft.com/office/drawing/2014/main" id="{EDDB3020-CB20-2FC8-8DB3-1725EDF631FC}"/>
            </a:ext>
          </a:extLst>
        </xdr:cNvPr>
        <xdr:cNvSpPr txBox="1"/>
      </xdr:nvSpPr>
      <xdr:spPr>
        <a:xfrm>
          <a:off x="5535500" y="1492207"/>
          <a:ext cx="5341647" cy="9390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Interpretation</a:t>
          </a:r>
          <a:r>
            <a:rPr lang="en-IN" sz="1600" b="1" baseline="0"/>
            <a:t> </a:t>
          </a:r>
          <a:r>
            <a:rPr lang="en-IN" sz="1600" baseline="0"/>
            <a:t>- After finding spearman's rank correlation coefficient for the above data, w</a:t>
          </a:r>
          <a:r>
            <a:rPr lang="en-IN" sz="1600"/>
            <a:t>e can conclude that there is high positive correlation between scores given by both judges.</a:t>
          </a:r>
          <a:r>
            <a:rPr lang="en-IN" sz="1600" baseline="0"/>
            <a:t> </a:t>
          </a:r>
          <a:endParaRPr lang="en-IN" sz="16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83344</xdr:colOff>
      <xdr:row>22</xdr:row>
      <xdr:rowOff>4763</xdr:rowOff>
    </xdr:from>
    <xdr:to>
      <xdr:col>18</xdr:col>
      <xdr:colOff>510268</xdr:colOff>
      <xdr:row>26</xdr:row>
      <xdr:rowOff>35719</xdr:rowOff>
    </xdr:to>
    <xdr:sp macro="" textlink="">
      <xdr:nvSpPr>
        <xdr:cNvPr id="2" name="TextBox 1">
          <a:extLst>
            <a:ext uri="{FF2B5EF4-FFF2-40B4-BE49-F238E27FC236}">
              <a16:creationId xmlns:a16="http://schemas.microsoft.com/office/drawing/2014/main" id="{F3896233-51F7-09EA-93D9-C02783891612}"/>
            </a:ext>
          </a:extLst>
        </xdr:cNvPr>
        <xdr:cNvSpPr txBox="1"/>
      </xdr:nvSpPr>
      <xdr:spPr>
        <a:xfrm>
          <a:off x="5905500" y="5541169"/>
          <a:ext cx="7332549"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Interpretation</a:t>
          </a:r>
          <a:r>
            <a:rPr lang="en-IN" sz="1600" b="1" baseline="0"/>
            <a:t> - </a:t>
          </a:r>
          <a:r>
            <a:rPr lang="en-IN" sz="1600" b="0" baseline="0"/>
            <a:t>We can conclude that there is very high positive correlation between success rate and rank of the university, i.e an increase in success rate is correlated with a increase in the rank of the university.</a:t>
          </a:r>
          <a:endParaRPr lang="en-IN" sz="16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63"/>
  <sheetViews>
    <sheetView zoomScale="68" zoomScaleNormal="68" workbookViewId="0">
      <selection activeCell="U17" sqref="U17"/>
    </sheetView>
  </sheetViews>
  <sheetFormatPr defaultRowHeight="15"/>
  <cols>
    <col min="3" max="3" width="12.5703125" customWidth="1"/>
    <col min="4" max="4" width="16.42578125" customWidth="1"/>
    <col min="5" max="5" width="12.42578125" customWidth="1"/>
    <col min="6" max="6" width="16.42578125" customWidth="1"/>
    <col min="8" max="8" width="18.28515625" customWidth="1"/>
    <col min="9" max="9" width="10.85546875" customWidth="1"/>
  </cols>
  <sheetData>
    <row r="1" spans="2:14" ht="26.25">
      <c r="B1" s="206" t="s">
        <v>109</v>
      </c>
      <c r="C1" s="206"/>
      <c r="D1" s="206"/>
      <c r="E1" s="206"/>
      <c r="F1" s="206"/>
    </row>
    <row r="2" spans="2:14" ht="26.25">
      <c r="B2" s="206" t="s">
        <v>237</v>
      </c>
      <c r="C2" s="206"/>
      <c r="D2" s="206"/>
      <c r="E2" s="206"/>
      <c r="F2" s="206"/>
      <c r="H2" s="26" t="s">
        <v>38</v>
      </c>
      <c r="I2" s="26"/>
      <c r="J2" s="26"/>
      <c r="K2" s="26"/>
      <c r="L2" s="26"/>
      <c r="M2" s="26"/>
      <c r="N2" s="25"/>
    </row>
    <row r="3" spans="2:14" ht="48.75" customHeight="1">
      <c r="C3" s="202" t="s">
        <v>85</v>
      </c>
      <c r="D3" s="203" t="s">
        <v>0</v>
      </c>
      <c r="E3" s="202" t="s">
        <v>85</v>
      </c>
      <c r="F3" s="203" t="s">
        <v>0</v>
      </c>
      <c r="H3" s="204" t="s">
        <v>2</v>
      </c>
      <c r="I3" s="205" t="s">
        <v>3</v>
      </c>
      <c r="J3" s="205" t="s">
        <v>4</v>
      </c>
    </row>
    <row r="4" spans="2:14" ht="15.75">
      <c r="C4" s="35">
        <v>1</v>
      </c>
      <c r="D4" s="36">
        <v>7</v>
      </c>
      <c r="E4" s="37">
        <v>61</v>
      </c>
      <c r="F4" s="37">
        <v>4</v>
      </c>
      <c r="H4" s="45">
        <v>1</v>
      </c>
      <c r="I4" s="45">
        <v>3</v>
      </c>
      <c r="J4" s="22">
        <f>I4*H4</f>
        <v>3</v>
      </c>
    </row>
    <row r="5" spans="2:14" ht="15.75">
      <c r="C5" s="37">
        <v>2</v>
      </c>
      <c r="D5" s="38">
        <v>5</v>
      </c>
      <c r="E5" s="37">
        <v>62</v>
      </c>
      <c r="F5" s="37">
        <v>3</v>
      </c>
      <c r="H5" s="22">
        <v>2</v>
      </c>
      <c r="I5" s="22">
        <v>9</v>
      </c>
      <c r="J5" s="22">
        <f t="shared" ref="J5:J13" si="0">I5*H5</f>
        <v>18</v>
      </c>
    </row>
    <row r="6" spans="2:14" ht="15.75">
      <c r="C6" s="37">
        <v>3</v>
      </c>
      <c r="D6" s="38">
        <v>1</v>
      </c>
      <c r="E6" s="37">
        <v>63</v>
      </c>
      <c r="F6" s="37">
        <v>6</v>
      </c>
      <c r="H6" s="22">
        <v>3</v>
      </c>
      <c r="I6" s="22">
        <v>13</v>
      </c>
      <c r="J6" s="22">
        <f t="shared" si="0"/>
        <v>39</v>
      </c>
    </row>
    <row r="7" spans="2:14" ht="15.75">
      <c r="C7" s="37">
        <v>4</v>
      </c>
      <c r="D7" s="38">
        <v>9</v>
      </c>
      <c r="E7" s="37">
        <v>64</v>
      </c>
      <c r="F7" s="37">
        <v>4</v>
      </c>
      <c r="H7" s="22">
        <v>4</v>
      </c>
      <c r="I7" s="22">
        <v>17</v>
      </c>
      <c r="J7" s="22">
        <f t="shared" si="0"/>
        <v>68</v>
      </c>
    </row>
    <row r="8" spans="2:14" ht="15.75">
      <c r="C8" s="37">
        <v>5</v>
      </c>
      <c r="D8" s="38">
        <v>6</v>
      </c>
      <c r="E8" s="37">
        <v>65</v>
      </c>
      <c r="F8" s="37">
        <v>2</v>
      </c>
      <c r="H8" s="22">
        <v>5</v>
      </c>
      <c r="I8" s="22">
        <v>21</v>
      </c>
      <c r="J8" s="22">
        <f t="shared" si="0"/>
        <v>105</v>
      </c>
    </row>
    <row r="9" spans="2:14" ht="15.75">
      <c r="C9" s="37">
        <v>6</v>
      </c>
      <c r="D9" s="38">
        <v>6</v>
      </c>
      <c r="E9" s="37">
        <v>66</v>
      </c>
      <c r="F9" s="37">
        <v>5</v>
      </c>
      <c r="H9" s="22">
        <v>6</v>
      </c>
      <c r="I9" s="22">
        <v>20</v>
      </c>
      <c r="J9" s="22">
        <f t="shared" si="0"/>
        <v>120</v>
      </c>
    </row>
    <row r="10" spans="2:14" ht="15.75">
      <c r="C10" s="37">
        <v>7</v>
      </c>
      <c r="D10" s="38">
        <v>5</v>
      </c>
      <c r="E10" s="37">
        <v>67</v>
      </c>
      <c r="F10" s="37">
        <v>2</v>
      </c>
      <c r="H10" s="22">
        <v>7</v>
      </c>
      <c r="I10" s="22">
        <v>15</v>
      </c>
      <c r="J10" s="22">
        <f t="shared" si="0"/>
        <v>105</v>
      </c>
    </row>
    <row r="11" spans="2:14" ht="15.75">
      <c r="C11" s="37">
        <v>8</v>
      </c>
      <c r="D11" s="38">
        <v>6</v>
      </c>
      <c r="E11" s="37">
        <v>68</v>
      </c>
      <c r="F11" s="37">
        <v>7</v>
      </c>
      <c r="H11" s="22">
        <v>8</v>
      </c>
      <c r="I11" s="22">
        <v>11</v>
      </c>
      <c r="J11" s="22">
        <f t="shared" si="0"/>
        <v>88</v>
      </c>
    </row>
    <row r="12" spans="2:14" ht="15.75">
      <c r="C12" s="37">
        <v>9</v>
      </c>
      <c r="D12" s="38">
        <v>9</v>
      </c>
      <c r="E12" s="37">
        <v>69</v>
      </c>
      <c r="F12" s="37">
        <v>5</v>
      </c>
      <c r="H12" s="22">
        <v>9</v>
      </c>
      <c r="I12" s="22">
        <v>7</v>
      </c>
      <c r="J12" s="22">
        <f t="shared" si="0"/>
        <v>63</v>
      </c>
    </row>
    <row r="13" spans="2:14" ht="15.75">
      <c r="C13" s="37">
        <v>10</v>
      </c>
      <c r="D13" s="38">
        <v>6</v>
      </c>
      <c r="E13" s="37">
        <v>70</v>
      </c>
      <c r="F13" s="37">
        <v>4</v>
      </c>
      <c r="H13" s="22">
        <v>10</v>
      </c>
      <c r="I13" s="46">
        <v>4</v>
      </c>
      <c r="J13" s="46">
        <f t="shared" si="0"/>
        <v>40</v>
      </c>
    </row>
    <row r="14" spans="2:14" ht="15.75">
      <c r="C14" s="37">
        <v>11</v>
      </c>
      <c r="D14" s="38">
        <v>7</v>
      </c>
      <c r="E14" s="37">
        <v>71</v>
      </c>
      <c r="F14" s="37">
        <v>4</v>
      </c>
      <c r="H14" s="21" t="s">
        <v>1</v>
      </c>
      <c r="I14" s="21">
        <v>120</v>
      </c>
      <c r="J14" s="21">
        <f>SUM(J4:J13)</f>
        <v>649</v>
      </c>
    </row>
    <row r="15" spans="2:14" ht="15.75">
      <c r="C15" s="37">
        <v>12</v>
      </c>
      <c r="D15" s="38">
        <v>6</v>
      </c>
      <c r="E15" s="37">
        <v>72</v>
      </c>
      <c r="F15" s="37">
        <v>4</v>
      </c>
      <c r="H15" s="17"/>
      <c r="I15" s="17"/>
      <c r="J15" s="17"/>
    </row>
    <row r="16" spans="2:14" ht="15.75">
      <c r="C16" s="37">
        <v>13</v>
      </c>
      <c r="D16" s="37">
        <v>1</v>
      </c>
      <c r="E16" s="37">
        <v>73</v>
      </c>
      <c r="F16" s="37">
        <v>5</v>
      </c>
      <c r="H16" s="47" t="str">
        <f>"X"&amp;_xlfn.UNICHAR(773)</f>
        <v>X̅</v>
      </c>
      <c r="I16" s="16">
        <f>J14/I14</f>
        <v>5.4083333333333332</v>
      </c>
      <c r="J16" s="16" t="s">
        <v>5</v>
      </c>
    </row>
    <row r="17" spans="3:10" ht="15.75">
      <c r="C17" s="37">
        <v>14</v>
      </c>
      <c r="D17" s="37">
        <v>6</v>
      </c>
      <c r="E17" s="37">
        <v>74</v>
      </c>
      <c r="F17" s="37">
        <v>3</v>
      </c>
      <c r="H17" s="16"/>
      <c r="I17" s="19"/>
      <c r="J17" s="17"/>
    </row>
    <row r="18" spans="3:10" ht="15.75">
      <c r="C18" s="37">
        <v>15</v>
      </c>
      <c r="D18" s="37">
        <v>6</v>
      </c>
      <c r="E18" s="37">
        <v>75</v>
      </c>
      <c r="F18" s="37">
        <v>7</v>
      </c>
      <c r="H18" s="207" t="s">
        <v>6</v>
      </c>
      <c r="I18" s="208"/>
      <c r="J18" s="17"/>
    </row>
    <row r="19" spans="3:10" ht="15.75">
      <c r="C19" s="37">
        <v>16</v>
      </c>
      <c r="D19" s="37">
        <v>3</v>
      </c>
      <c r="E19" s="37">
        <v>76</v>
      </c>
      <c r="F19" s="37">
        <v>7</v>
      </c>
      <c r="H19" s="16" t="s">
        <v>7</v>
      </c>
      <c r="I19" s="16">
        <f>I14/2</f>
        <v>60</v>
      </c>
      <c r="J19" s="17"/>
    </row>
    <row r="20" spans="3:10" ht="18.75">
      <c r="C20" s="37">
        <v>17</v>
      </c>
      <c r="D20" s="37">
        <v>9</v>
      </c>
      <c r="E20" s="37">
        <v>77</v>
      </c>
      <c r="F20" s="37">
        <v>4</v>
      </c>
      <c r="H20" s="16" t="s">
        <v>86</v>
      </c>
      <c r="I20" s="16">
        <v>4</v>
      </c>
      <c r="J20" s="17"/>
    </row>
    <row r="21" spans="3:10" ht="18">
      <c r="C21" s="37">
        <v>18</v>
      </c>
      <c r="D21" s="37">
        <v>8</v>
      </c>
      <c r="E21" s="37">
        <v>78</v>
      </c>
      <c r="F21" s="37">
        <v>4</v>
      </c>
      <c r="H21" s="207" t="s">
        <v>46</v>
      </c>
      <c r="I21" s="208"/>
      <c r="J21" s="17"/>
    </row>
    <row r="22" spans="3:10" ht="15.75">
      <c r="C22" s="37">
        <v>19</v>
      </c>
      <c r="D22" s="37">
        <v>6</v>
      </c>
      <c r="E22" s="37">
        <v>79</v>
      </c>
      <c r="F22" s="37">
        <v>5</v>
      </c>
      <c r="H22" s="16" t="s">
        <v>8</v>
      </c>
      <c r="I22" s="16">
        <f>I14/4</f>
        <v>30</v>
      </c>
      <c r="J22" s="17"/>
    </row>
    <row r="23" spans="3:10" ht="18.75">
      <c r="C23" s="37">
        <v>20</v>
      </c>
      <c r="D23" s="37">
        <v>4</v>
      </c>
      <c r="E23" s="37">
        <v>80</v>
      </c>
      <c r="F23" s="37">
        <v>5</v>
      </c>
      <c r="H23" s="16" t="s">
        <v>47</v>
      </c>
      <c r="I23" s="16">
        <v>3</v>
      </c>
      <c r="J23" s="17"/>
    </row>
    <row r="24" spans="3:10" ht="18">
      <c r="C24" s="37">
        <v>21</v>
      </c>
      <c r="D24" s="37">
        <v>8</v>
      </c>
      <c r="E24" s="39">
        <v>81</v>
      </c>
      <c r="F24" s="40">
        <v>3</v>
      </c>
      <c r="H24" s="207" t="s">
        <v>48</v>
      </c>
      <c r="I24" s="208"/>
      <c r="J24" s="17"/>
    </row>
    <row r="25" spans="3:10" ht="15.75">
      <c r="C25" s="37">
        <v>22</v>
      </c>
      <c r="D25" s="37">
        <v>7</v>
      </c>
      <c r="E25" s="37">
        <v>82</v>
      </c>
      <c r="F25" s="37">
        <v>7</v>
      </c>
      <c r="H25" s="16" t="s">
        <v>11</v>
      </c>
      <c r="I25" s="16">
        <f>2*I14/4</f>
        <v>60</v>
      </c>
      <c r="J25" s="17"/>
    </row>
    <row r="26" spans="3:10" ht="18.75">
      <c r="C26" s="37">
        <v>23</v>
      </c>
      <c r="D26" s="37">
        <v>9</v>
      </c>
      <c r="E26" s="37">
        <v>83</v>
      </c>
      <c r="F26" s="37">
        <v>6</v>
      </c>
      <c r="H26" s="16" t="s">
        <v>49</v>
      </c>
      <c r="I26" s="16">
        <v>4</v>
      </c>
      <c r="J26" s="17"/>
    </row>
    <row r="27" spans="3:10" ht="15.75">
      <c r="C27" s="37">
        <v>24</v>
      </c>
      <c r="D27" s="37">
        <v>5</v>
      </c>
      <c r="E27" s="37">
        <v>84</v>
      </c>
      <c r="F27" s="37">
        <v>8</v>
      </c>
      <c r="H27" s="207" t="s">
        <v>12</v>
      </c>
      <c r="I27" s="208"/>
      <c r="J27" s="17"/>
    </row>
    <row r="28" spans="3:10" ht="15.75">
      <c r="C28" s="37">
        <v>25</v>
      </c>
      <c r="D28" s="37">
        <v>7</v>
      </c>
      <c r="E28" s="37">
        <v>85</v>
      </c>
      <c r="F28" s="37">
        <v>2</v>
      </c>
      <c r="H28" s="16" t="s">
        <v>13</v>
      </c>
      <c r="I28" s="16">
        <f>3*I14/4</f>
        <v>90</v>
      </c>
      <c r="J28" s="17"/>
    </row>
    <row r="29" spans="3:10" ht="18.75">
      <c r="C29" s="37">
        <v>26</v>
      </c>
      <c r="D29" s="37">
        <v>3</v>
      </c>
      <c r="E29" s="37">
        <v>86</v>
      </c>
      <c r="F29" s="37">
        <v>5</v>
      </c>
      <c r="H29" s="16" t="s">
        <v>50</v>
      </c>
      <c r="I29" s="16">
        <v>5</v>
      </c>
      <c r="J29" s="17"/>
    </row>
    <row r="30" spans="3:10" ht="18">
      <c r="C30" s="37">
        <v>27</v>
      </c>
      <c r="D30" s="37">
        <v>7</v>
      </c>
      <c r="E30" s="37">
        <v>87</v>
      </c>
      <c r="F30" s="37">
        <v>2</v>
      </c>
      <c r="H30" s="207" t="s">
        <v>51</v>
      </c>
      <c r="I30" s="208"/>
      <c r="J30" s="17"/>
    </row>
    <row r="31" spans="3:10" ht="15.75">
      <c r="C31" s="37">
        <v>28</v>
      </c>
      <c r="D31" s="37">
        <v>9</v>
      </c>
      <c r="E31" s="37">
        <v>88</v>
      </c>
      <c r="F31" s="37">
        <v>5</v>
      </c>
      <c r="H31" s="16" t="s">
        <v>15</v>
      </c>
      <c r="I31" s="16">
        <f>4*I14/10</f>
        <v>48</v>
      </c>
      <c r="J31" s="17"/>
    </row>
    <row r="32" spans="3:10" ht="18.75">
      <c r="C32" s="37">
        <v>29</v>
      </c>
      <c r="D32" s="37">
        <v>6</v>
      </c>
      <c r="E32" s="37">
        <v>89</v>
      </c>
      <c r="F32" s="37">
        <v>9</v>
      </c>
      <c r="H32" s="16" t="s">
        <v>52</v>
      </c>
      <c r="I32" s="16">
        <v>4</v>
      </c>
      <c r="J32" s="17"/>
    </row>
    <row r="33" spans="3:10" ht="18">
      <c r="C33" s="37">
        <v>30</v>
      </c>
      <c r="D33" s="37">
        <v>6</v>
      </c>
      <c r="E33" s="37">
        <v>90</v>
      </c>
      <c r="F33" s="37">
        <v>8</v>
      </c>
      <c r="H33" s="207" t="s">
        <v>53</v>
      </c>
      <c r="I33" s="208"/>
      <c r="J33" s="17"/>
    </row>
    <row r="34" spans="3:10" ht="15.75">
      <c r="C34" s="37">
        <v>31</v>
      </c>
      <c r="D34" s="37">
        <v>2</v>
      </c>
      <c r="E34" s="37">
        <v>91</v>
      </c>
      <c r="F34" s="37">
        <v>3</v>
      </c>
      <c r="H34" s="16" t="s">
        <v>17</v>
      </c>
      <c r="I34" s="16">
        <f>37*I14/100</f>
        <v>44.4</v>
      </c>
      <c r="J34" s="17"/>
    </row>
    <row r="35" spans="3:10" ht="18.75">
      <c r="C35" s="37">
        <v>32</v>
      </c>
      <c r="D35" s="37">
        <v>8</v>
      </c>
      <c r="E35" s="37">
        <v>92</v>
      </c>
      <c r="F35" s="37">
        <v>5</v>
      </c>
      <c r="H35" s="16" t="s">
        <v>54</v>
      </c>
      <c r="I35" s="16">
        <v>4</v>
      </c>
      <c r="J35" s="17"/>
    </row>
    <row r="36" spans="3:10" ht="15.75">
      <c r="C36" s="37">
        <v>33</v>
      </c>
      <c r="D36" s="37">
        <v>3</v>
      </c>
      <c r="E36" s="37">
        <v>93</v>
      </c>
      <c r="F36" s="37">
        <v>4</v>
      </c>
      <c r="H36" s="17"/>
      <c r="I36" s="17"/>
      <c r="J36" s="17"/>
    </row>
    <row r="37" spans="3:10" ht="15.75">
      <c r="C37" s="37">
        <v>34</v>
      </c>
      <c r="D37" s="37">
        <v>8</v>
      </c>
      <c r="E37" s="37">
        <v>94</v>
      </c>
      <c r="F37" s="37">
        <v>2</v>
      </c>
      <c r="H37" s="17"/>
      <c r="I37" s="17"/>
      <c r="J37" s="17"/>
    </row>
    <row r="38" spans="3:10" ht="15.75">
      <c r="C38" s="37">
        <v>35</v>
      </c>
      <c r="D38" s="37">
        <v>5</v>
      </c>
      <c r="E38" s="37">
        <v>95</v>
      </c>
      <c r="F38" s="37">
        <v>5</v>
      </c>
      <c r="H38" s="17"/>
      <c r="I38" s="17"/>
      <c r="J38" s="17"/>
    </row>
    <row r="39" spans="3:10" ht="15.75">
      <c r="C39" s="37">
        <v>36</v>
      </c>
      <c r="D39" s="37">
        <v>6</v>
      </c>
      <c r="E39" s="37">
        <v>96</v>
      </c>
      <c r="F39" s="37">
        <v>2</v>
      </c>
      <c r="H39" s="17"/>
      <c r="I39" s="17"/>
      <c r="J39" s="17"/>
    </row>
    <row r="40" spans="3:10" ht="15.75">
      <c r="C40" s="37">
        <v>37</v>
      </c>
      <c r="D40" s="37">
        <v>8</v>
      </c>
      <c r="E40" s="37">
        <v>97</v>
      </c>
      <c r="F40" s="37">
        <v>5</v>
      </c>
      <c r="H40" s="17"/>
      <c r="I40" s="17"/>
      <c r="J40" s="17"/>
    </row>
    <row r="41" spans="3:10" ht="15.75">
      <c r="C41" s="37">
        <v>38</v>
      </c>
      <c r="D41" s="37">
        <v>3</v>
      </c>
      <c r="E41" s="37">
        <v>98</v>
      </c>
      <c r="F41" s="37">
        <v>5</v>
      </c>
      <c r="H41" s="17"/>
      <c r="I41" s="17"/>
      <c r="J41" s="17"/>
    </row>
    <row r="42" spans="3:10" ht="15.75">
      <c r="C42" s="37">
        <v>39</v>
      </c>
      <c r="D42" s="37">
        <v>9</v>
      </c>
      <c r="E42" s="37">
        <v>99</v>
      </c>
      <c r="F42" s="37">
        <v>2</v>
      </c>
      <c r="H42" s="17"/>
      <c r="I42" s="17"/>
      <c r="J42" s="17"/>
    </row>
    <row r="43" spans="3:10" ht="15.75">
      <c r="C43" s="37">
        <v>40</v>
      </c>
      <c r="D43" s="37">
        <v>6</v>
      </c>
      <c r="E43" s="37">
        <v>100</v>
      </c>
      <c r="F43" s="37">
        <v>7</v>
      </c>
      <c r="H43" s="17"/>
      <c r="I43" s="17"/>
      <c r="J43" s="17"/>
    </row>
    <row r="44" spans="3:10">
      <c r="C44" s="40">
        <v>41</v>
      </c>
      <c r="D44" s="40">
        <v>7</v>
      </c>
      <c r="E44" s="37">
        <v>101</v>
      </c>
      <c r="F44" s="41">
        <v>1</v>
      </c>
    </row>
    <row r="45" spans="3:10">
      <c r="C45" s="37">
        <v>42</v>
      </c>
      <c r="D45" s="37">
        <v>5</v>
      </c>
      <c r="E45" s="37">
        <v>102</v>
      </c>
      <c r="F45" s="37">
        <v>10</v>
      </c>
    </row>
    <row r="46" spans="3:10">
      <c r="C46" s="37">
        <v>43</v>
      </c>
      <c r="D46" s="37">
        <v>6</v>
      </c>
      <c r="E46" s="37">
        <v>103</v>
      </c>
      <c r="F46" s="37">
        <v>7</v>
      </c>
    </row>
    <row r="47" spans="3:10">
      <c r="C47" s="37">
        <v>44</v>
      </c>
      <c r="D47" s="37">
        <v>2</v>
      </c>
      <c r="E47" s="37">
        <v>104</v>
      </c>
      <c r="F47" s="37">
        <v>4</v>
      </c>
    </row>
    <row r="48" spans="3:10">
      <c r="C48" s="37">
        <v>45</v>
      </c>
      <c r="D48" s="37">
        <v>5</v>
      </c>
      <c r="E48" s="37">
        <v>105</v>
      </c>
      <c r="F48" s="37">
        <v>4</v>
      </c>
    </row>
    <row r="49" spans="3:6">
      <c r="C49" s="37">
        <v>46</v>
      </c>
      <c r="D49" s="37">
        <v>4</v>
      </c>
      <c r="E49" s="37">
        <v>106</v>
      </c>
      <c r="F49" s="37">
        <v>10</v>
      </c>
    </row>
    <row r="50" spans="3:6">
      <c r="C50" s="37">
        <v>47</v>
      </c>
      <c r="D50" s="37">
        <v>6</v>
      </c>
      <c r="E50" s="37">
        <v>107</v>
      </c>
      <c r="F50" s="37">
        <v>7</v>
      </c>
    </row>
    <row r="51" spans="3:6">
      <c r="C51" s="37">
        <v>48</v>
      </c>
      <c r="D51" s="37">
        <v>7</v>
      </c>
      <c r="E51" s="37">
        <v>108</v>
      </c>
      <c r="F51" s="37">
        <v>5</v>
      </c>
    </row>
    <row r="52" spans="3:6">
      <c r="C52" s="37">
        <v>49</v>
      </c>
      <c r="D52" s="37">
        <v>4</v>
      </c>
      <c r="E52" s="37">
        <v>109</v>
      </c>
      <c r="F52" s="37">
        <v>10</v>
      </c>
    </row>
    <row r="53" spans="3:6">
      <c r="C53" s="37">
        <v>50</v>
      </c>
      <c r="D53" s="37">
        <v>4</v>
      </c>
      <c r="E53" s="37">
        <v>110</v>
      </c>
      <c r="F53" s="37">
        <v>4</v>
      </c>
    </row>
    <row r="54" spans="3:6">
      <c r="C54" s="37">
        <v>51</v>
      </c>
      <c r="D54" s="37">
        <v>7</v>
      </c>
      <c r="E54" s="37">
        <v>111</v>
      </c>
      <c r="F54" s="37">
        <v>8</v>
      </c>
    </row>
    <row r="55" spans="3:6">
      <c r="C55" s="37">
        <v>52</v>
      </c>
      <c r="D55" s="37">
        <v>5</v>
      </c>
      <c r="E55" s="37">
        <v>112</v>
      </c>
      <c r="F55" s="37">
        <v>8</v>
      </c>
    </row>
    <row r="56" spans="3:6">
      <c r="C56" s="37">
        <v>53</v>
      </c>
      <c r="D56" s="37">
        <v>4</v>
      </c>
      <c r="E56" s="37">
        <v>113</v>
      </c>
      <c r="F56" s="37">
        <v>6</v>
      </c>
    </row>
    <row r="57" spans="3:6">
      <c r="C57" s="37">
        <v>54</v>
      </c>
      <c r="D57" s="37">
        <v>8</v>
      </c>
      <c r="E57" s="37">
        <v>114</v>
      </c>
      <c r="F57" s="37">
        <v>3</v>
      </c>
    </row>
    <row r="58" spans="3:6">
      <c r="C58" s="37">
        <v>55</v>
      </c>
      <c r="D58" s="37">
        <v>8</v>
      </c>
      <c r="E58" s="37">
        <v>115</v>
      </c>
      <c r="F58" s="37">
        <v>6</v>
      </c>
    </row>
    <row r="59" spans="3:6">
      <c r="C59" s="37">
        <v>56</v>
      </c>
      <c r="D59" s="37">
        <v>6</v>
      </c>
      <c r="E59" s="37">
        <v>116</v>
      </c>
      <c r="F59" s="37">
        <v>3</v>
      </c>
    </row>
    <row r="60" spans="3:6">
      <c r="C60" s="37">
        <v>57</v>
      </c>
      <c r="D60" s="37">
        <v>3</v>
      </c>
      <c r="E60" s="37">
        <v>117</v>
      </c>
      <c r="F60" s="37">
        <v>5</v>
      </c>
    </row>
    <row r="61" spans="3:6">
      <c r="C61" s="37">
        <v>58</v>
      </c>
      <c r="D61" s="37">
        <v>6</v>
      </c>
      <c r="E61" s="37">
        <v>118</v>
      </c>
      <c r="F61" s="37">
        <v>4</v>
      </c>
    </row>
    <row r="62" spans="3:6">
      <c r="C62" s="37">
        <v>59</v>
      </c>
      <c r="D62" s="37">
        <v>3</v>
      </c>
      <c r="E62" s="37">
        <v>119</v>
      </c>
      <c r="F62" s="37">
        <v>3</v>
      </c>
    </row>
    <row r="63" spans="3:6">
      <c r="C63" s="42">
        <v>60</v>
      </c>
      <c r="D63" s="42">
        <v>5</v>
      </c>
      <c r="E63" s="43">
        <v>120</v>
      </c>
      <c r="F63" s="43">
        <v>10</v>
      </c>
    </row>
  </sheetData>
  <mergeCells count="8">
    <mergeCell ref="B1:F1"/>
    <mergeCell ref="H30:I30"/>
    <mergeCell ref="H33:I33"/>
    <mergeCell ref="B2:F2"/>
    <mergeCell ref="H18:I18"/>
    <mergeCell ref="H21:I21"/>
    <mergeCell ref="H24:I24"/>
    <mergeCell ref="H27:I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81"/>
  <sheetViews>
    <sheetView topLeftCell="A40" zoomScale="83" zoomScaleNormal="83" workbookViewId="0">
      <selection activeCell="T37" sqref="T37"/>
    </sheetView>
  </sheetViews>
  <sheetFormatPr defaultRowHeight="15"/>
  <cols>
    <col min="7" max="7" width="14.28515625" customWidth="1"/>
    <col min="8" max="8" width="15.28515625" customWidth="1"/>
    <col min="9" max="9" width="8.7109375" customWidth="1"/>
    <col min="10" max="10" width="8.85546875" customWidth="1"/>
    <col min="13" max="13" width="26.42578125" customWidth="1"/>
  </cols>
  <sheetData>
    <row r="1" spans="2:13" ht="23.25">
      <c r="B1" s="212" t="s">
        <v>36</v>
      </c>
      <c r="C1" s="212"/>
      <c r="D1" s="212"/>
      <c r="E1" s="212"/>
      <c r="F1" s="212"/>
    </row>
    <row r="2" spans="2:13" ht="16.5" customHeight="1">
      <c r="B2" s="20" t="s">
        <v>18</v>
      </c>
      <c r="C2" s="20" t="s">
        <v>19</v>
      </c>
      <c r="D2" s="20" t="s">
        <v>18</v>
      </c>
      <c r="E2" s="20" t="s">
        <v>19</v>
      </c>
      <c r="F2" s="12"/>
      <c r="G2" s="48">
        <v>1</v>
      </c>
      <c r="H2" s="211" t="s">
        <v>45</v>
      </c>
      <c r="I2" s="211"/>
      <c r="J2" s="211"/>
      <c r="K2" s="17"/>
    </row>
    <row r="3" spans="2:13" ht="16.5" customHeight="1">
      <c r="B3" s="6">
        <v>1</v>
      </c>
      <c r="C3" s="6">
        <v>187.2</v>
      </c>
      <c r="D3" s="6">
        <v>61</v>
      </c>
      <c r="E3" s="6">
        <v>182.6</v>
      </c>
      <c r="F3" s="5"/>
      <c r="G3" s="18"/>
      <c r="H3" s="17"/>
      <c r="I3" s="17"/>
      <c r="J3" s="19" t="s">
        <v>20</v>
      </c>
      <c r="K3" s="18">
        <v>205.47750000000008</v>
      </c>
    </row>
    <row r="4" spans="2:13" ht="16.5" customHeight="1">
      <c r="B4" s="6">
        <v>2</v>
      </c>
      <c r="C4" s="6">
        <v>207.9</v>
      </c>
      <c r="D4" s="6">
        <v>62</v>
      </c>
      <c r="E4" s="6">
        <v>230.7</v>
      </c>
      <c r="F4" s="5"/>
      <c r="G4" s="18"/>
      <c r="H4" s="17"/>
      <c r="I4" s="17"/>
      <c r="J4" s="19" t="s">
        <v>6</v>
      </c>
      <c r="K4" s="18">
        <v>206.3</v>
      </c>
    </row>
    <row r="5" spans="2:13" ht="16.5" customHeight="1">
      <c r="B5" s="6">
        <v>3</v>
      </c>
      <c r="C5" s="6">
        <v>171.5</v>
      </c>
      <c r="D5" s="6">
        <v>63</v>
      </c>
      <c r="E5" s="6">
        <v>186.3</v>
      </c>
      <c r="F5" s="5"/>
      <c r="G5" s="18"/>
      <c r="H5" s="17"/>
      <c r="I5" s="17"/>
      <c r="J5" s="19" t="s">
        <v>87</v>
      </c>
      <c r="K5" s="18">
        <v>186.3</v>
      </c>
    </row>
    <row r="6" spans="2:13" ht="16.5" customHeight="1">
      <c r="B6" s="6">
        <v>4</v>
      </c>
      <c r="C6" s="6">
        <v>217.7</v>
      </c>
      <c r="D6" s="6">
        <v>64</v>
      </c>
      <c r="E6" s="6">
        <v>229.2</v>
      </c>
      <c r="F6" s="5"/>
      <c r="G6" s="18"/>
      <c r="H6" s="17"/>
      <c r="I6" s="17"/>
      <c r="J6" s="19" t="s">
        <v>88</v>
      </c>
      <c r="K6" s="18">
        <v>206.3</v>
      </c>
    </row>
    <row r="7" spans="2:13" ht="16.5" customHeight="1">
      <c r="B7" s="6">
        <v>5</v>
      </c>
      <c r="C7" s="6">
        <v>199.5</v>
      </c>
      <c r="D7" s="6">
        <v>65</v>
      </c>
      <c r="E7" s="6">
        <v>230.4</v>
      </c>
      <c r="F7" s="5"/>
      <c r="G7" s="18"/>
      <c r="H7" s="17"/>
      <c r="I7" s="17"/>
      <c r="J7" s="19" t="s">
        <v>89</v>
      </c>
      <c r="K7" s="18">
        <v>227.92500000000001</v>
      </c>
    </row>
    <row r="8" spans="2:13" ht="16.5" customHeight="1">
      <c r="B8" s="6">
        <v>6</v>
      </c>
      <c r="C8" s="6">
        <v>185.7</v>
      </c>
      <c r="D8" s="6">
        <v>66</v>
      </c>
      <c r="E8" s="6">
        <v>220.1</v>
      </c>
      <c r="F8" s="5"/>
      <c r="G8" s="18"/>
      <c r="H8" s="17"/>
      <c r="I8" s="17"/>
      <c r="J8" s="19" t="s">
        <v>90</v>
      </c>
      <c r="K8" s="18">
        <v>191.63299999999998</v>
      </c>
    </row>
    <row r="9" spans="2:13" ht="16.5" customHeight="1">
      <c r="B9" s="6">
        <v>7</v>
      </c>
      <c r="C9" s="6">
        <v>268.8</v>
      </c>
      <c r="D9" s="6">
        <v>67</v>
      </c>
      <c r="E9" s="6">
        <v>189.4</v>
      </c>
      <c r="F9" s="5"/>
      <c r="G9" s="18"/>
      <c r="H9" s="17"/>
      <c r="I9" s="17"/>
      <c r="J9" s="19" t="s">
        <v>91</v>
      </c>
      <c r="K9" s="18">
        <v>195.6</v>
      </c>
    </row>
    <row r="10" spans="2:13" ht="16.5" customHeight="1">
      <c r="B10" s="6">
        <v>8</v>
      </c>
      <c r="C10" s="6">
        <v>201.5</v>
      </c>
      <c r="D10" s="6">
        <v>68</v>
      </c>
      <c r="E10" s="6">
        <v>188.4</v>
      </c>
      <c r="F10" s="5"/>
    </row>
    <row r="11" spans="2:13" ht="16.5" customHeight="1">
      <c r="B11" s="6">
        <v>9</v>
      </c>
      <c r="C11" s="6">
        <v>173.1</v>
      </c>
      <c r="D11" s="6">
        <v>69</v>
      </c>
      <c r="E11" s="6">
        <v>179.1</v>
      </c>
      <c r="F11" s="5"/>
      <c r="G11" s="49">
        <v>2</v>
      </c>
      <c r="H11" s="211" t="s">
        <v>39</v>
      </c>
      <c r="I11" s="211"/>
      <c r="J11" s="211"/>
    </row>
    <row r="12" spans="2:13" ht="18.75">
      <c r="B12" s="6">
        <v>10</v>
      </c>
      <c r="C12" s="6">
        <v>192.7</v>
      </c>
      <c r="D12" s="6">
        <v>70</v>
      </c>
      <c r="E12" s="6">
        <v>199.2</v>
      </c>
      <c r="G12" s="26" t="s">
        <v>37</v>
      </c>
      <c r="H12" s="25"/>
      <c r="I12" s="25"/>
      <c r="J12" s="25"/>
      <c r="K12" s="25"/>
      <c r="L12" s="25"/>
      <c r="M12" s="25"/>
    </row>
    <row r="13" spans="2:13">
      <c r="B13" s="6">
        <v>11</v>
      </c>
      <c r="C13" s="6">
        <v>157.30000000000001</v>
      </c>
      <c r="D13" s="6">
        <v>71</v>
      </c>
      <c r="E13" s="6">
        <v>228.8</v>
      </c>
    </row>
    <row r="14" spans="2:13" ht="41.25" customHeight="1">
      <c r="B14" s="6">
        <v>12</v>
      </c>
      <c r="C14" s="6">
        <v>244.4</v>
      </c>
      <c r="D14" s="6">
        <v>72</v>
      </c>
      <c r="E14" s="6">
        <v>190.4</v>
      </c>
      <c r="G14" s="50" t="s">
        <v>29</v>
      </c>
      <c r="H14" s="51" t="s">
        <v>33</v>
      </c>
      <c r="I14" s="1" t="s">
        <v>30</v>
      </c>
      <c r="J14" s="1" t="s">
        <v>31</v>
      </c>
      <c r="K14" s="52" t="s">
        <v>32</v>
      </c>
      <c r="L14" s="52" t="s">
        <v>4</v>
      </c>
      <c r="M14" s="51" t="s">
        <v>40</v>
      </c>
    </row>
    <row r="15" spans="2:13">
      <c r="B15" s="6">
        <v>13</v>
      </c>
      <c r="C15" s="6">
        <v>182.2</v>
      </c>
      <c r="D15" s="6">
        <v>73</v>
      </c>
      <c r="E15" s="6">
        <v>251.1</v>
      </c>
      <c r="G15" s="53" t="s">
        <v>21</v>
      </c>
      <c r="H15" s="53">
        <v>4</v>
      </c>
      <c r="I15" s="53">
        <v>150</v>
      </c>
      <c r="J15" s="54">
        <v>165</v>
      </c>
      <c r="K15" s="55">
        <f>(I15+J15)/2</f>
        <v>157.5</v>
      </c>
      <c r="L15" s="108">
        <f>H15*K15</f>
        <v>630</v>
      </c>
      <c r="M15" s="53">
        <v>4</v>
      </c>
    </row>
    <row r="16" spans="2:13">
      <c r="B16" s="6">
        <v>14</v>
      </c>
      <c r="C16" s="6">
        <v>241.5</v>
      </c>
      <c r="D16" s="6">
        <v>74</v>
      </c>
      <c r="E16" s="6">
        <v>207.6</v>
      </c>
      <c r="G16" s="6" t="s">
        <v>22</v>
      </c>
      <c r="H16" s="6">
        <v>9</v>
      </c>
      <c r="I16" s="6">
        <v>165</v>
      </c>
      <c r="J16" s="56">
        <v>180</v>
      </c>
      <c r="K16" s="57">
        <f t="shared" ref="K16:K22" si="0">(I16+J16)/2</f>
        <v>172.5</v>
      </c>
      <c r="L16" s="109">
        <f t="shared" ref="L16:L22" si="1">H16*K16</f>
        <v>1552.5</v>
      </c>
      <c r="M16" s="6">
        <v>13</v>
      </c>
    </row>
    <row r="17" spans="2:13">
      <c r="B17" s="6">
        <v>15</v>
      </c>
      <c r="C17" s="6">
        <v>232.4</v>
      </c>
      <c r="D17" s="6">
        <v>75</v>
      </c>
      <c r="E17" s="6">
        <v>211.9</v>
      </c>
      <c r="G17" s="58" t="s">
        <v>23</v>
      </c>
      <c r="H17" s="58">
        <v>34</v>
      </c>
      <c r="I17" s="58">
        <v>180</v>
      </c>
      <c r="J17" s="59">
        <v>195</v>
      </c>
      <c r="K17" s="60">
        <f t="shared" si="0"/>
        <v>187.5</v>
      </c>
      <c r="L17" s="110">
        <f t="shared" si="1"/>
        <v>6375</v>
      </c>
      <c r="M17" s="58">
        <v>47</v>
      </c>
    </row>
    <row r="18" spans="2:13">
      <c r="B18" s="6">
        <v>16</v>
      </c>
      <c r="C18" s="6">
        <v>182.4</v>
      </c>
      <c r="D18" s="6">
        <v>76</v>
      </c>
      <c r="E18" s="6">
        <v>187.2</v>
      </c>
      <c r="G18" s="61" t="s">
        <v>24</v>
      </c>
      <c r="H18" s="61">
        <v>25</v>
      </c>
      <c r="I18" s="61">
        <v>195</v>
      </c>
      <c r="J18" s="62">
        <v>210</v>
      </c>
      <c r="K18" s="63">
        <f t="shared" si="0"/>
        <v>202.5</v>
      </c>
      <c r="L18" s="111">
        <f t="shared" si="1"/>
        <v>5062.5</v>
      </c>
      <c r="M18" s="61">
        <v>72</v>
      </c>
    </row>
    <row r="19" spans="2:13">
      <c r="B19" s="6">
        <v>17</v>
      </c>
      <c r="C19" s="6">
        <v>182.7</v>
      </c>
      <c r="D19" s="6">
        <v>77</v>
      </c>
      <c r="E19" s="6">
        <v>207.9</v>
      </c>
      <c r="G19" s="6" t="s">
        <v>25</v>
      </c>
      <c r="H19" s="6">
        <v>14</v>
      </c>
      <c r="I19" s="6">
        <v>210</v>
      </c>
      <c r="J19" s="56">
        <v>225</v>
      </c>
      <c r="K19" s="57">
        <f t="shared" si="0"/>
        <v>217.5</v>
      </c>
      <c r="L19" s="109">
        <f t="shared" si="1"/>
        <v>3045</v>
      </c>
      <c r="M19" s="6">
        <v>86</v>
      </c>
    </row>
    <row r="20" spans="2:13">
      <c r="B20" s="6">
        <v>18</v>
      </c>
      <c r="C20" s="6">
        <v>151.19999999999999</v>
      </c>
      <c r="D20" s="6">
        <v>78</v>
      </c>
      <c r="E20" s="6">
        <v>171.5</v>
      </c>
      <c r="G20" s="64" t="s">
        <v>26</v>
      </c>
      <c r="H20" s="64">
        <v>24</v>
      </c>
      <c r="I20" s="64">
        <v>225</v>
      </c>
      <c r="J20" s="65">
        <v>240</v>
      </c>
      <c r="K20" s="66">
        <f t="shared" si="0"/>
        <v>232.5</v>
      </c>
      <c r="L20" s="112">
        <f t="shared" si="1"/>
        <v>5580</v>
      </c>
      <c r="M20" s="64">
        <v>110</v>
      </c>
    </row>
    <row r="21" spans="2:13">
      <c r="B21" s="6">
        <v>19</v>
      </c>
      <c r="C21" s="6">
        <v>191.6</v>
      </c>
      <c r="D21" s="6">
        <v>79</v>
      </c>
      <c r="E21" s="6">
        <v>217.7</v>
      </c>
      <c r="G21" s="6" t="s">
        <v>27</v>
      </c>
      <c r="H21" s="6">
        <v>8</v>
      </c>
      <c r="I21" s="6">
        <v>240</v>
      </c>
      <c r="J21" s="56">
        <v>255</v>
      </c>
      <c r="K21" s="57">
        <f t="shared" si="0"/>
        <v>247.5</v>
      </c>
      <c r="L21" s="109">
        <f t="shared" si="1"/>
        <v>1980</v>
      </c>
      <c r="M21" s="6">
        <v>118</v>
      </c>
    </row>
    <row r="22" spans="2:13">
      <c r="B22" s="6">
        <v>20</v>
      </c>
      <c r="C22" s="6">
        <v>188.4</v>
      </c>
      <c r="D22" s="6">
        <v>80</v>
      </c>
      <c r="E22" s="6">
        <v>199.5</v>
      </c>
      <c r="G22" s="7" t="s">
        <v>28</v>
      </c>
      <c r="H22" s="7">
        <v>2</v>
      </c>
      <c r="I22" s="7">
        <v>255</v>
      </c>
      <c r="J22" s="67">
        <v>270</v>
      </c>
      <c r="K22" s="68">
        <f t="shared" si="0"/>
        <v>262.5</v>
      </c>
      <c r="L22" s="113">
        <f t="shared" si="1"/>
        <v>525</v>
      </c>
      <c r="M22" s="7">
        <v>120</v>
      </c>
    </row>
    <row r="23" spans="2:13">
      <c r="B23" s="6">
        <v>21</v>
      </c>
      <c r="C23" s="6">
        <v>226.3</v>
      </c>
      <c r="D23" s="6">
        <v>81</v>
      </c>
      <c r="E23" s="6">
        <v>185.7</v>
      </c>
      <c r="G23" s="103" t="s">
        <v>34</v>
      </c>
      <c r="H23" s="107">
        <f>SUM(H15:H22)</f>
        <v>120</v>
      </c>
      <c r="K23" s="8" t="s">
        <v>35</v>
      </c>
      <c r="L23" s="57">
        <f>SUM(L15:L22)</f>
        <v>24750</v>
      </c>
    </row>
    <row r="24" spans="2:13">
      <c r="B24" s="6">
        <v>22</v>
      </c>
      <c r="C24" s="6">
        <v>178.7</v>
      </c>
      <c r="D24" s="6">
        <v>82</v>
      </c>
      <c r="E24" s="6">
        <v>268.8</v>
      </c>
      <c r="G24" s="103" t="s">
        <v>44</v>
      </c>
      <c r="H24" s="107">
        <v>15</v>
      </c>
      <c r="K24" s="3" t="s">
        <v>20</v>
      </c>
      <c r="L24" s="57">
        <f>L23/H23</f>
        <v>206.25</v>
      </c>
    </row>
    <row r="25" spans="2:13">
      <c r="B25" s="6">
        <v>23</v>
      </c>
      <c r="C25" s="6">
        <v>228.8</v>
      </c>
      <c r="D25" s="6">
        <v>83</v>
      </c>
      <c r="E25" s="6">
        <v>201.5</v>
      </c>
    </row>
    <row r="26" spans="2:13">
      <c r="B26" s="6">
        <v>24</v>
      </c>
      <c r="C26" s="6">
        <v>182.6</v>
      </c>
      <c r="D26" s="6">
        <v>84</v>
      </c>
      <c r="E26" s="6">
        <v>173.1</v>
      </c>
      <c r="F26" s="10"/>
      <c r="G26" s="11"/>
      <c r="K26" s="213" t="s">
        <v>6</v>
      </c>
      <c r="L26" s="214"/>
    </row>
    <row r="27" spans="2:13">
      <c r="B27" s="6">
        <v>25</v>
      </c>
      <c r="C27" s="6">
        <v>230.7</v>
      </c>
      <c r="D27" s="6">
        <v>85</v>
      </c>
      <c r="E27" s="6">
        <v>192.7</v>
      </c>
      <c r="K27" s="4" t="s">
        <v>7</v>
      </c>
      <c r="L27">
        <f>H23/2</f>
        <v>60</v>
      </c>
    </row>
    <row r="28" spans="2:13">
      <c r="B28" s="6">
        <v>26</v>
      </c>
      <c r="C28" s="6">
        <v>186.3</v>
      </c>
      <c r="D28" s="6">
        <v>86</v>
      </c>
      <c r="E28" s="6">
        <v>157.30000000000001</v>
      </c>
      <c r="K28" s="3" t="s">
        <v>41</v>
      </c>
      <c r="L28">
        <v>195</v>
      </c>
    </row>
    <row r="29" spans="2:13">
      <c r="B29" s="6">
        <v>27</v>
      </c>
      <c r="C29" s="6">
        <v>229.2</v>
      </c>
      <c r="D29" s="6">
        <v>87</v>
      </c>
      <c r="E29" s="6">
        <v>244.4</v>
      </c>
      <c r="K29" s="3" t="s">
        <v>42</v>
      </c>
      <c r="L29">
        <v>47</v>
      </c>
    </row>
    <row r="30" spans="2:13">
      <c r="B30" s="6">
        <v>28</v>
      </c>
      <c r="C30" s="6">
        <v>230.1</v>
      </c>
      <c r="D30" s="6">
        <v>88</v>
      </c>
      <c r="E30" s="6">
        <v>182.2</v>
      </c>
      <c r="K30" s="3" t="s">
        <v>43</v>
      </c>
      <c r="L30">
        <v>25</v>
      </c>
    </row>
    <row r="31" spans="2:13" ht="18.75">
      <c r="B31" s="6">
        <v>29</v>
      </c>
      <c r="C31" s="6">
        <v>220.1</v>
      </c>
      <c r="D31" s="6">
        <v>89</v>
      </c>
      <c r="E31" s="6">
        <v>241.5</v>
      </c>
      <c r="K31" s="19" t="s">
        <v>244</v>
      </c>
      <c r="L31">
        <f>L28+((L27-L29)/L30)*H24</f>
        <v>202.8</v>
      </c>
    </row>
    <row r="32" spans="2:13" ht="17.25">
      <c r="B32" s="6">
        <v>30</v>
      </c>
      <c r="C32" s="6">
        <v>189.4</v>
      </c>
      <c r="D32" s="6">
        <v>90</v>
      </c>
      <c r="E32" s="6">
        <v>232.4</v>
      </c>
      <c r="K32" s="209" t="s">
        <v>9</v>
      </c>
      <c r="L32" s="210"/>
    </row>
    <row r="33" spans="2:12">
      <c r="B33" s="6">
        <v>31</v>
      </c>
      <c r="C33" s="6">
        <v>188.4</v>
      </c>
      <c r="D33" s="6">
        <v>91</v>
      </c>
      <c r="E33" s="6">
        <v>182.4</v>
      </c>
      <c r="K33" s="4" t="s">
        <v>8</v>
      </c>
      <c r="L33">
        <f>H23/4</f>
        <v>30</v>
      </c>
    </row>
    <row r="34" spans="2:12">
      <c r="B34" s="6">
        <v>32</v>
      </c>
      <c r="C34" s="6">
        <v>179.1</v>
      </c>
      <c r="D34" s="6">
        <v>92</v>
      </c>
      <c r="E34" s="6">
        <v>182.7</v>
      </c>
      <c r="K34" s="3" t="s">
        <v>41</v>
      </c>
      <c r="L34">
        <v>180</v>
      </c>
    </row>
    <row r="35" spans="2:12">
      <c r="B35" s="6">
        <v>33</v>
      </c>
      <c r="C35" s="6">
        <v>199.2</v>
      </c>
      <c r="D35" s="6">
        <v>93</v>
      </c>
      <c r="E35" s="6">
        <v>151.19999999999999</v>
      </c>
      <c r="K35" s="3" t="s">
        <v>42</v>
      </c>
      <c r="L35">
        <v>13</v>
      </c>
    </row>
    <row r="36" spans="2:12">
      <c r="B36" s="6">
        <v>34</v>
      </c>
      <c r="C36" s="6">
        <v>228.8</v>
      </c>
      <c r="D36" s="6">
        <v>94</v>
      </c>
      <c r="E36" s="6">
        <v>191.6</v>
      </c>
      <c r="K36" s="3" t="s">
        <v>43</v>
      </c>
      <c r="L36">
        <v>34</v>
      </c>
    </row>
    <row r="37" spans="2:12" ht="18.75">
      <c r="B37" s="6">
        <v>35</v>
      </c>
      <c r="C37" s="6">
        <v>190.7</v>
      </c>
      <c r="D37" s="6">
        <v>95</v>
      </c>
      <c r="E37" s="6">
        <v>228.3</v>
      </c>
      <c r="K37" s="19" t="s">
        <v>87</v>
      </c>
      <c r="L37">
        <f>L34+((L33-L35)/L36)*H24</f>
        <v>187.5</v>
      </c>
    </row>
    <row r="38" spans="2:12" ht="17.25">
      <c r="B38" s="6">
        <v>36</v>
      </c>
      <c r="C38" s="6">
        <v>251.1</v>
      </c>
      <c r="D38" s="6">
        <v>96</v>
      </c>
      <c r="E38" s="6">
        <v>204.4</v>
      </c>
      <c r="K38" s="213" t="s">
        <v>10</v>
      </c>
      <c r="L38" s="214"/>
    </row>
    <row r="39" spans="2:12">
      <c r="B39" s="6">
        <v>37</v>
      </c>
      <c r="C39" s="6">
        <v>207.6</v>
      </c>
      <c r="D39" s="6">
        <v>97</v>
      </c>
      <c r="E39" s="6">
        <v>195.6</v>
      </c>
      <c r="K39" s="4" t="s">
        <v>11</v>
      </c>
      <c r="L39">
        <f>2*H23/4</f>
        <v>60</v>
      </c>
    </row>
    <row r="40" spans="2:12">
      <c r="B40" s="6">
        <v>38</v>
      </c>
      <c r="C40" s="6">
        <v>211.9</v>
      </c>
      <c r="D40" s="6">
        <v>98</v>
      </c>
      <c r="E40" s="6">
        <v>221.8</v>
      </c>
      <c r="K40" s="3" t="s">
        <v>41</v>
      </c>
      <c r="L40">
        <v>195</v>
      </c>
    </row>
    <row r="41" spans="2:12">
      <c r="B41" s="6">
        <v>39</v>
      </c>
      <c r="C41" s="6">
        <v>228.3</v>
      </c>
      <c r="D41" s="6">
        <v>99</v>
      </c>
      <c r="E41" s="6">
        <v>206.2</v>
      </c>
      <c r="K41" s="3" t="s">
        <v>42</v>
      </c>
      <c r="L41">
        <v>47</v>
      </c>
    </row>
    <row r="42" spans="2:12">
      <c r="B42" s="6">
        <v>40</v>
      </c>
      <c r="C42" s="6">
        <v>204.4</v>
      </c>
      <c r="D42" s="6">
        <v>100</v>
      </c>
      <c r="E42" s="6">
        <v>235.9</v>
      </c>
      <c r="K42" s="3" t="s">
        <v>43</v>
      </c>
      <c r="L42">
        <v>25</v>
      </c>
    </row>
    <row r="43" spans="2:12" ht="20.25">
      <c r="B43" s="6">
        <v>41</v>
      </c>
      <c r="C43" s="6">
        <v>195.6</v>
      </c>
      <c r="D43" s="6">
        <v>101</v>
      </c>
      <c r="E43" s="6">
        <v>218.5</v>
      </c>
      <c r="K43" s="76" t="s">
        <v>243</v>
      </c>
      <c r="L43">
        <f>L40+((L39-L41)/L42)*H24</f>
        <v>202.8</v>
      </c>
    </row>
    <row r="44" spans="2:12">
      <c r="B44" s="6">
        <v>42</v>
      </c>
      <c r="C44" s="6">
        <v>221.8</v>
      </c>
      <c r="D44" s="6">
        <v>102</v>
      </c>
      <c r="E44" s="6">
        <v>168.5</v>
      </c>
      <c r="K44" s="215" t="s">
        <v>12</v>
      </c>
      <c r="L44" s="216"/>
    </row>
    <row r="45" spans="2:12">
      <c r="B45" s="6">
        <v>43</v>
      </c>
      <c r="C45" s="6">
        <v>206.6</v>
      </c>
      <c r="D45" s="6">
        <v>103</v>
      </c>
      <c r="E45" s="6">
        <v>183.6</v>
      </c>
      <c r="K45" s="4" t="s">
        <v>13</v>
      </c>
      <c r="L45">
        <f>3*H23/4</f>
        <v>90</v>
      </c>
    </row>
    <row r="46" spans="2:12">
      <c r="B46" s="6">
        <v>44</v>
      </c>
      <c r="C46" s="6">
        <v>235.9</v>
      </c>
      <c r="D46" s="6">
        <v>104</v>
      </c>
      <c r="E46" s="6">
        <v>213</v>
      </c>
      <c r="K46" s="3" t="s">
        <v>41</v>
      </c>
      <c r="L46">
        <v>225</v>
      </c>
    </row>
    <row r="47" spans="2:12">
      <c r="B47" s="6">
        <v>45</v>
      </c>
      <c r="C47" s="6">
        <v>218.5</v>
      </c>
      <c r="D47" s="6">
        <v>105</v>
      </c>
      <c r="E47" s="6">
        <v>180.8</v>
      </c>
      <c r="K47" s="3" t="s">
        <v>42</v>
      </c>
      <c r="L47">
        <v>86</v>
      </c>
    </row>
    <row r="48" spans="2:12">
      <c r="B48" s="6">
        <v>46</v>
      </c>
      <c r="C48" s="6">
        <v>168.4</v>
      </c>
      <c r="D48" s="6">
        <v>106</v>
      </c>
      <c r="E48" s="6">
        <v>208.4</v>
      </c>
      <c r="K48" s="3" t="s">
        <v>43</v>
      </c>
      <c r="L48">
        <v>24</v>
      </c>
    </row>
    <row r="49" spans="2:13" ht="20.25">
      <c r="B49" s="6">
        <v>47</v>
      </c>
      <c r="C49" s="6">
        <v>183.6</v>
      </c>
      <c r="D49" s="6">
        <v>107</v>
      </c>
      <c r="E49" s="6">
        <v>240.6</v>
      </c>
      <c r="K49" s="76" t="s">
        <v>242</v>
      </c>
      <c r="L49">
        <f>L46+((L45-L47)/L48)*H24</f>
        <v>227.5</v>
      </c>
    </row>
    <row r="50" spans="2:13" ht="17.25">
      <c r="B50" s="6">
        <v>48</v>
      </c>
      <c r="C50" s="6">
        <v>213.2</v>
      </c>
      <c r="D50" s="6">
        <v>108</v>
      </c>
      <c r="E50" s="6">
        <v>208.2</v>
      </c>
      <c r="K50" s="213" t="s">
        <v>14</v>
      </c>
      <c r="L50" s="214"/>
    </row>
    <row r="51" spans="2:13">
      <c r="B51" s="6">
        <v>49</v>
      </c>
      <c r="C51" s="6">
        <v>180.8</v>
      </c>
      <c r="D51" s="6">
        <v>109</v>
      </c>
      <c r="E51" s="6">
        <v>187.2</v>
      </c>
      <c r="K51" s="4" t="s">
        <v>15</v>
      </c>
      <c r="L51">
        <f>4*H23/10</f>
        <v>48</v>
      </c>
    </row>
    <row r="52" spans="2:13">
      <c r="B52" s="6">
        <v>50</v>
      </c>
      <c r="C52" s="6">
        <v>208.4</v>
      </c>
      <c r="D52" s="6">
        <v>110</v>
      </c>
      <c r="E52" s="6">
        <v>234.7</v>
      </c>
      <c r="K52" s="3" t="s">
        <v>41</v>
      </c>
      <c r="L52">
        <v>195</v>
      </c>
    </row>
    <row r="53" spans="2:13">
      <c r="B53" s="6">
        <v>51</v>
      </c>
      <c r="C53" s="6">
        <v>240.6</v>
      </c>
      <c r="D53" s="6">
        <v>111</v>
      </c>
      <c r="E53" s="6">
        <v>206.4</v>
      </c>
      <c r="K53" s="3" t="s">
        <v>42</v>
      </c>
      <c r="L53">
        <v>47</v>
      </c>
    </row>
    <row r="54" spans="2:13">
      <c r="B54" s="6">
        <v>52</v>
      </c>
      <c r="C54" s="6">
        <v>208.2</v>
      </c>
      <c r="D54" s="6">
        <v>112</v>
      </c>
      <c r="E54" s="6">
        <v>227.8</v>
      </c>
      <c r="K54" s="3" t="s">
        <v>43</v>
      </c>
      <c r="L54">
        <v>25</v>
      </c>
    </row>
    <row r="55" spans="2:13" ht="20.25">
      <c r="B55" s="6">
        <v>53</v>
      </c>
      <c r="C55" s="6">
        <v>187.2</v>
      </c>
      <c r="D55" s="6">
        <v>113</v>
      </c>
      <c r="E55" s="6">
        <v>228.3</v>
      </c>
      <c r="K55" s="76" t="s">
        <v>241</v>
      </c>
      <c r="L55">
        <f>L52+((L51-L53)/L54)*H24</f>
        <v>195.6</v>
      </c>
    </row>
    <row r="56" spans="2:13" ht="17.25">
      <c r="B56" s="6">
        <v>54</v>
      </c>
      <c r="C56" s="6">
        <v>234.7</v>
      </c>
      <c r="D56" s="6">
        <v>114</v>
      </c>
      <c r="E56" s="6">
        <v>204.4</v>
      </c>
      <c r="K56" s="209" t="s">
        <v>16</v>
      </c>
      <c r="L56" s="210"/>
    </row>
    <row r="57" spans="2:13">
      <c r="B57" s="6">
        <v>55</v>
      </c>
      <c r="C57" s="6">
        <v>206.4</v>
      </c>
      <c r="D57" s="6">
        <v>115</v>
      </c>
      <c r="E57" s="6">
        <v>195.6</v>
      </c>
      <c r="K57" s="4" t="s">
        <v>17</v>
      </c>
      <c r="L57">
        <f>37*H23/100</f>
        <v>44.4</v>
      </c>
    </row>
    <row r="58" spans="2:13">
      <c r="B58" s="6">
        <v>56</v>
      </c>
      <c r="C58" s="6">
        <v>227.8</v>
      </c>
      <c r="D58" s="6">
        <v>116</v>
      </c>
      <c r="E58" s="6">
        <v>221.8</v>
      </c>
      <c r="K58" s="3" t="s">
        <v>41</v>
      </c>
      <c r="L58">
        <v>180</v>
      </c>
    </row>
    <row r="59" spans="2:13">
      <c r="B59" s="6">
        <v>57</v>
      </c>
      <c r="C59" s="6">
        <v>188.4</v>
      </c>
      <c r="D59" s="6">
        <v>117</v>
      </c>
      <c r="E59" s="6">
        <v>206.4</v>
      </c>
      <c r="K59" s="3" t="s">
        <v>42</v>
      </c>
      <c r="L59">
        <v>13</v>
      </c>
    </row>
    <row r="60" spans="2:13">
      <c r="B60" s="6">
        <v>58</v>
      </c>
      <c r="C60" s="6">
        <v>226.3</v>
      </c>
      <c r="D60" s="6">
        <v>118</v>
      </c>
      <c r="E60" s="6">
        <v>235.9</v>
      </c>
      <c r="K60" s="3" t="s">
        <v>43</v>
      </c>
      <c r="L60">
        <v>34</v>
      </c>
    </row>
    <row r="61" spans="2:13" ht="20.25">
      <c r="B61" s="6">
        <v>59</v>
      </c>
      <c r="C61" s="6">
        <v>178.7</v>
      </c>
      <c r="D61" s="6">
        <v>119</v>
      </c>
      <c r="E61" s="6">
        <v>218.5</v>
      </c>
      <c r="K61" s="76" t="s">
        <v>240</v>
      </c>
      <c r="L61">
        <f>L58+((L57-L59)/L60)*H24</f>
        <v>193.85294117647058</v>
      </c>
    </row>
    <row r="62" spans="2:13">
      <c r="B62" s="7">
        <v>60</v>
      </c>
      <c r="C62" s="7">
        <v>228.8</v>
      </c>
      <c r="D62" s="7">
        <v>120</v>
      </c>
      <c r="E62" s="7">
        <v>168.7</v>
      </c>
    </row>
    <row r="64" spans="2:13" ht="18.75">
      <c r="G64" s="25"/>
      <c r="H64" s="25"/>
      <c r="I64" s="25"/>
      <c r="J64" s="25"/>
      <c r="K64" s="25"/>
      <c r="L64" s="25"/>
      <c r="M64" s="25"/>
    </row>
    <row r="65" spans="3:13" ht="18.75">
      <c r="G65" s="25"/>
      <c r="H65" s="25"/>
      <c r="I65" s="25"/>
      <c r="J65" s="25"/>
      <c r="K65" s="25"/>
      <c r="L65" s="25"/>
      <c r="M65" s="25"/>
    </row>
    <row r="66" spans="3:13" ht="18.75">
      <c r="G66" s="25"/>
      <c r="H66" s="25"/>
      <c r="I66" s="25"/>
      <c r="J66" s="25"/>
      <c r="K66" s="25"/>
      <c r="L66" s="25"/>
      <c r="M66" s="25"/>
    </row>
    <row r="75" spans="3:13">
      <c r="C75" s="3"/>
      <c r="D75" s="8"/>
    </row>
    <row r="76" spans="3:13">
      <c r="C76" s="3"/>
      <c r="D76" s="8"/>
    </row>
    <row r="77" spans="3:13">
      <c r="C77" s="3"/>
      <c r="D77" s="8"/>
    </row>
    <row r="78" spans="3:13">
      <c r="C78" s="3"/>
      <c r="D78" s="8"/>
    </row>
    <row r="79" spans="3:13">
      <c r="C79" s="3"/>
      <c r="D79" s="8"/>
    </row>
    <row r="80" spans="3:13">
      <c r="C80" s="3"/>
      <c r="D80" s="8"/>
    </row>
    <row r="81" spans="3:4">
      <c r="C81" s="3"/>
      <c r="D81" s="8"/>
    </row>
  </sheetData>
  <mergeCells count="9">
    <mergeCell ref="K56:L56"/>
    <mergeCell ref="H2:J2"/>
    <mergeCell ref="H11:J11"/>
    <mergeCell ref="B1:F1"/>
    <mergeCell ref="K26:L26"/>
    <mergeCell ref="K32:L32"/>
    <mergeCell ref="K38:L38"/>
    <mergeCell ref="K44:L44"/>
    <mergeCell ref="K50:L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41"/>
  <sheetViews>
    <sheetView zoomScale="86" zoomScaleNormal="86" workbookViewId="0">
      <selection activeCell="W12" sqref="W12"/>
    </sheetView>
  </sheetViews>
  <sheetFormatPr defaultRowHeight="15"/>
  <cols>
    <col min="3" max="3" width="11.7109375" customWidth="1"/>
    <col min="4" max="4" width="16.5703125" customWidth="1"/>
    <col min="5" max="5" width="25.85546875" customWidth="1"/>
    <col min="6" max="6" width="10.85546875" customWidth="1"/>
  </cols>
  <sheetData>
    <row r="1" spans="2:8" ht="23.25">
      <c r="B1" s="212" t="s">
        <v>69</v>
      </c>
      <c r="C1" s="212"/>
      <c r="D1" s="212"/>
      <c r="E1" s="212"/>
      <c r="F1" s="212"/>
    </row>
    <row r="2" spans="2:8" ht="35.25" customHeight="1">
      <c r="C2" s="21" t="s">
        <v>55</v>
      </c>
      <c r="D2" s="21" t="s">
        <v>56</v>
      </c>
      <c r="E2" s="9" t="s">
        <v>61</v>
      </c>
      <c r="F2" s="17"/>
      <c r="G2" s="17"/>
      <c r="H2" s="17"/>
    </row>
    <row r="3" spans="2:8" ht="15.75">
      <c r="C3" s="14">
        <v>1994</v>
      </c>
      <c r="D3" s="14">
        <v>11.8</v>
      </c>
      <c r="E3" s="13">
        <f>100+D3</f>
        <v>111.8</v>
      </c>
      <c r="F3" s="17"/>
      <c r="G3" s="17"/>
      <c r="H3" s="17"/>
    </row>
    <row r="4" spans="2:8" ht="15.75">
      <c r="C4" s="14">
        <v>1995</v>
      </c>
      <c r="D4" s="14">
        <v>12.7</v>
      </c>
      <c r="E4" s="14">
        <f t="shared" ref="E4:E22" si="0">100+D4</f>
        <v>112.7</v>
      </c>
      <c r="F4" s="17"/>
      <c r="G4" s="17"/>
      <c r="H4" s="17"/>
    </row>
    <row r="5" spans="2:8" ht="15.75">
      <c r="C5" s="14">
        <v>1996</v>
      </c>
      <c r="D5" s="14">
        <v>14.4</v>
      </c>
      <c r="E5" s="14">
        <f t="shared" si="0"/>
        <v>114.4</v>
      </c>
      <c r="F5" s="17"/>
      <c r="G5" s="17"/>
      <c r="H5" s="17"/>
    </row>
    <row r="6" spans="2:8" ht="15.75">
      <c r="C6" s="14">
        <v>1997</v>
      </c>
      <c r="D6" s="14">
        <v>19.7</v>
      </c>
      <c r="E6" s="14">
        <f t="shared" si="0"/>
        <v>119.7</v>
      </c>
      <c r="F6" s="17"/>
      <c r="G6" s="17"/>
      <c r="H6" s="17"/>
    </row>
    <row r="7" spans="2:8" ht="15.75">
      <c r="C7" s="14">
        <v>1998</v>
      </c>
      <c r="D7" s="14">
        <v>21.6</v>
      </c>
      <c r="E7" s="14">
        <f t="shared" si="0"/>
        <v>121.6</v>
      </c>
      <c r="F7" s="17"/>
      <c r="G7" s="17"/>
      <c r="H7" s="17"/>
    </row>
    <row r="8" spans="2:8" ht="15.75">
      <c r="C8" s="14">
        <v>1999</v>
      </c>
      <c r="D8" s="14">
        <v>26.4</v>
      </c>
      <c r="E8" s="14">
        <f t="shared" si="0"/>
        <v>126.4</v>
      </c>
      <c r="F8" s="17"/>
      <c r="G8" s="17"/>
      <c r="H8" s="17"/>
    </row>
    <row r="9" spans="2:8" ht="15.75">
      <c r="C9" s="14">
        <v>2000</v>
      </c>
      <c r="D9" s="14">
        <v>30.2</v>
      </c>
      <c r="E9" s="14">
        <f t="shared" si="0"/>
        <v>130.19999999999999</v>
      </c>
      <c r="F9" s="17"/>
      <c r="G9" s="17"/>
      <c r="H9" s="17"/>
    </row>
    <row r="10" spans="2:8" ht="15.75">
      <c r="C10" s="14">
        <v>2001</v>
      </c>
      <c r="D10" s="14">
        <v>38.799999999999997</v>
      </c>
      <c r="E10" s="14">
        <f t="shared" si="0"/>
        <v>138.80000000000001</v>
      </c>
      <c r="F10" s="17"/>
      <c r="G10" s="17"/>
      <c r="H10" s="17"/>
    </row>
    <row r="11" spans="2:8" ht="15.75">
      <c r="C11" s="14">
        <v>2002</v>
      </c>
      <c r="D11" s="14">
        <v>44.7</v>
      </c>
      <c r="E11" s="14">
        <f t="shared" si="0"/>
        <v>144.69999999999999</v>
      </c>
      <c r="F11" s="17"/>
      <c r="G11" s="17"/>
      <c r="H11" s="17"/>
    </row>
    <row r="12" spans="2:8" ht="15.75">
      <c r="C12" s="14">
        <v>2003</v>
      </c>
      <c r="D12" s="14">
        <v>47.5</v>
      </c>
      <c r="E12" s="14">
        <f t="shared" si="0"/>
        <v>147.5</v>
      </c>
      <c r="F12" s="17"/>
      <c r="G12" s="17"/>
      <c r="H12" s="17"/>
    </row>
    <row r="13" spans="2:8" ht="15.75">
      <c r="C13" s="14">
        <v>2004</v>
      </c>
      <c r="D13" s="14">
        <v>48.9</v>
      </c>
      <c r="E13" s="14">
        <f t="shared" si="0"/>
        <v>148.9</v>
      </c>
      <c r="F13" s="17"/>
      <c r="G13" s="17"/>
      <c r="H13" s="17"/>
    </row>
    <row r="14" spans="2:8" ht="15.75">
      <c r="C14" s="14">
        <v>2005</v>
      </c>
      <c r="D14" s="14">
        <v>50.4</v>
      </c>
      <c r="E14" s="14">
        <f t="shared" si="0"/>
        <v>150.4</v>
      </c>
      <c r="F14" s="17"/>
      <c r="G14" s="17"/>
      <c r="H14" s="17"/>
    </row>
    <row r="15" spans="2:8" ht="15.75">
      <c r="C15" s="14">
        <v>2006</v>
      </c>
      <c r="D15" s="14">
        <v>54.7</v>
      </c>
      <c r="E15" s="14">
        <f t="shared" si="0"/>
        <v>154.69999999999999</v>
      </c>
      <c r="F15" s="17"/>
      <c r="G15" s="17"/>
      <c r="H15" s="17"/>
    </row>
    <row r="16" spans="2:8" ht="15.75">
      <c r="C16" s="14">
        <v>2007</v>
      </c>
      <c r="D16" s="14">
        <v>59.7</v>
      </c>
      <c r="E16" s="14">
        <f t="shared" si="0"/>
        <v>159.69999999999999</v>
      </c>
      <c r="F16" s="17"/>
      <c r="G16" s="17"/>
      <c r="H16" s="17"/>
    </row>
    <row r="17" spans="3:8" ht="15.75">
      <c r="C17" s="14">
        <v>2008</v>
      </c>
      <c r="D17" s="14">
        <v>65.2</v>
      </c>
      <c r="E17" s="14">
        <f t="shared" si="0"/>
        <v>165.2</v>
      </c>
      <c r="F17" s="17"/>
      <c r="G17" s="17"/>
      <c r="H17" s="17"/>
    </row>
    <row r="18" spans="3:8" ht="15.75">
      <c r="C18" s="14">
        <v>2009</v>
      </c>
      <c r="D18" s="14">
        <v>67.7</v>
      </c>
      <c r="E18" s="14">
        <f t="shared" si="0"/>
        <v>167.7</v>
      </c>
      <c r="F18" s="17"/>
      <c r="G18" s="17"/>
      <c r="H18" s="17"/>
    </row>
    <row r="19" spans="3:8" ht="15.75">
      <c r="C19" s="14">
        <v>2010</v>
      </c>
      <c r="D19" s="14">
        <v>72.400000000000006</v>
      </c>
      <c r="E19" s="14">
        <f t="shared" si="0"/>
        <v>172.4</v>
      </c>
      <c r="F19" s="17"/>
      <c r="G19" s="17"/>
      <c r="H19" s="17"/>
    </row>
    <row r="20" spans="3:8" ht="15.75">
      <c r="C20" s="14">
        <v>2011</v>
      </c>
      <c r="D20" s="14">
        <v>80.099999999999994</v>
      </c>
      <c r="E20" s="14">
        <f t="shared" si="0"/>
        <v>180.1</v>
      </c>
      <c r="F20" s="17"/>
      <c r="G20" s="17"/>
      <c r="H20" s="17"/>
    </row>
    <row r="21" spans="3:8" ht="15.75">
      <c r="C21" s="14">
        <v>2012</v>
      </c>
      <c r="D21" s="14">
        <v>90.2</v>
      </c>
      <c r="E21" s="14">
        <f t="shared" si="0"/>
        <v>190.2</v>
      </c>
      <c r="F21" s="17"/>
      <c r="G21" s="17"/>
      <c r="H21" s="17"/>
    </row>
    <row r="22" spans="3:8" ht="15.75">
      <c r="C22" s="15">
        <v>2013</v>
      </c>
      <c r="D22" s="15">
        <v>98.2</v>
      </c>
      <c r="E22" s="15">
        <f t="shared" si="0"/>
        <v>198.2</v>
      </c>
      <c r="F22" s="17"/>
      <c r="G22" s="17"/>
      <c r="H22" s="17"/>
    </row>
    <row r="23" spans="3:8" ht="15.75">
      <c r="C23" s="17"/>
      <c r="D23" s="2" t="s">
        <v>62</v>
      </c>
      <c r="E23" s="22">
        <f>GEOMEAN(E3:E22)</f>
        <v>145.60747728251658</v>
      </c>
      <c r="F23" s="17"/>
      <c r="G23" s="17"/>
      <c r="H23" s="17"/>
    </row>
    <row r="24" spans="3:8" ht="15.75">
      <c r="C24" s="17"/>
      <c r="D24" s="17"/>
      <c r="E24" s="17"/>
      <c r="F24" s="17"/>
      <c r="G24" s="17"/>
      <c r="H24" s="17"/>
    </row>
    <row r="25" spans="3:8" ht="18.75">
      <c r="C25" s="26" t="s">
        <v>66</v>
      </c>
      <c r="D25" s="26"/>
      <c r="E25" s="26"/>
      <c r="F25" s="25"/>
      <c r="G25" s="25"/>
      <c r="H25" s="25"/>
    </row>
    <row r="26" spans="3:8" ht="18.75">
      <c r="C26" s="25"/>
      <c r="D26" s="69" t="s">
        <v>64</v>
      </c>
      <c r="E26" s="25" t="s">
        <v>63</v>
      </c>
      <c r="F26" s="25"/>
      <c r="G26" s="25"/>
      <c r="H26" s="25"/>
    </row>
    <row r="27" spans="3:8" ht="18.75">
      <c r="C27" s="25"/>
      <c r="D27" s="69" t="s">
        <v>64</v>
      </c>
      <c r="E27" s="70">
        <f xml:space="preserve">   45.6074773</f>
        <v>45.607477299999999</v>
      </c>
      <c r="F27" s="25"/>
      <c r="G27" s="25"/>
      <c r="H27" s="25"/>
    </row>
    <row r="28" spans="3:8" ht="18.75">
      <c r="C28" s="25"/>
      <c r="D28" s="69"/>
      <c r="E28" s="71" t="s">
        <v>65</v>
      </c>
      <c r="F28" s="25"/>
      <c r="G28" s="25"/>
      <c r="H28" s="25"/>
    </row>
    <row r="29" spans="3:8" ht="18.75">
      <c r="C29" s="25"/>
      <c r="D29" s="25"/>
      <c r="E29" s="25"/>
      <c r="F29" s="25"/>
      <c r="G29" s="25"/>
      <c r="H29" s="25"/>
    </row>
    <row r="30" spans="3:8" ht="15.75">
      <c r="C30" s="17"/>
      <c r="D30" s="17"/>
      <c r="E30" s="17"/>
      <c r="F30" s="17"/>
      <c r="G30" s="17"/>
      <c r="H30" s="17"/>
    </row>
    <row r="31" spans="3:8" ht="15.75">
      <c r="C31" s="17"/>
      <c r="D31" s="17"/>
      <c r="E31" s="17"/>
      <c r="F31" s="17"/>
      <c r="G31" s="17"/>
      <c r="H31" s="17"/>
    </row>
    <row r="32" spans="3:8" ht="15.75">
      <c r="C32" s="17"/>
      <c r="D32" s="17"/>
      <c r="E32" s="17"/>
      <c r="F32" s="17"/>
      <c r="G32" s="17"/>
      <c r="H32" s="17"/>
    </row>
    <row r="33" spans="3:8" ht="15.75">
      <c r="C33" s="17"/>
      <c r="D33" s="17"/>
      <c r="E33" s="17"/>
      <c r="F33" s="17"/>
      <c r="G33" s="17"/>
      <c r="H33" s="17"/>
    </row>
    <row r="34" spans="3:8" ht="15.75">
      <c r="C34" s="17"/>
      <c r="D34" s="17"/>
      <c r="E34" s="17"/>
      <c r="F34" s="17"/>
      <c r="G34" s="17"/>
      <c r="H34" s="17"/>
    </row>
    <row r="35" spans="3:8" ht="15.75">
      <c r="C35" s="17"/>
      <c r="D35" s="17"/>
      <c r="E35" s="17"/>
      <c r="F35" s="17"/>
      <c r="G35" s="17"/>
      <c r="H35" s="17"/>
    </row>
    <row r="36" spans="3:8" ht="15.75">
      <c r="C36" s="17"/>
      <c r="D36" s="17"/>
      <c r="E36" s="17"/>
      <c r="F36" s="17"/>
      <c r="G36" s="17"/>
      <c r="H36" s="17"/>
    </row>
    <row r="37" spans="3:8" ht="15.75">
      <c r="C37" s="17"/>
      <c r="D37" s="17"/>
      <c r="E37" s="17"/>
      <c r="F37" s="17"/>
      <c r="G37" s="17"/>
      <c r="H37" s="17"/>
    </row>
    <row r="38" spans="3:8" ht="15.75">
      <c r="C38" s="17"/>
      <c r="D38" s="17"/>
      <c r="E38" s="17"/>
      <c r="F38" s="17"/>
      <c r="G38" s="17"/>
      <c r="H38" s="17"/>
    </row>
    <row r="39" spans="3:8" ht="15.75">
      <c r="C39" s="17"/>
      <c r="D39" s="17"/>
      <c r="E39" s="17"/>
      <c r="F39" s="17"/>
      <c r="G39" s="17"/>
      <c r="H39" s="17"/>
    </row>
    <row r="40" spans="3:8" ht="15.75">
      <c r="C40" s="17"/>
      <c r="D40" s="17"/>
      <c r="E40" s="17"/>
      <c r="F40" s="17"/>
      <c r="G40" s="17"/>
      <c r="H40" s="17"/>
    </row>
    <row r="41" spans="3:8" ht="15.75">
      <c r="C41" s="17"/>
      <c r="D41" s="17"/>
      <c r="E41" s="17"/>
      <c r="F41" s="17"/>
      <c r="G41" s="17"/>
      <c r="H41" s="17"/>
    </row>
  </sheetData>
  <mergeCells count="1">
    <mergeCell ref="B1:F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38"/>
  <sheetViews>
    <sheetView zoomScale="68" zoomScaleNormal="68" workbookViewId="0">
      <selection activeCell="G27" sqref="G27"/>
    </sheetView>
  </sheetViews>
  <sheetFormatPr defaultRowHeight="15"/>
  <cols>
    <col min="2" max="2" width="6.42578125" customWidth="1"/>
    <col min="3" max="3" width="6.7109375" customWidth="1"/>
    <col min="4" max="4" width="14.140625" customWidth="1"/>
  </cols>
  <sheetData>
    <row r="1" spans="2:6" ht="26.25">
      <c r="B1" s="206" t="s">
        <v>68</v>
      </c>
      <c r="C1" s="206"/>
      <c r="D1" s="206"/>
      <c r="E1" s="206"/>
      <c r="F1" s="206"/>
    </row>
    <row r="2" spans="2:6" ht="15.75">
      <c r="C2" s="21" t="s">
        <v>57</v>
      </c>
      <c r="D2" s="21" t="s">
        <v>58</v>
      </c>
    </row>
    <row r="3" spans="2:6" ht="15.75">
      <c r="C3" s="14">
        <v>1</v>
      </c>
      <c r="D3" s="14">
        <v>30</v>
      </c>
    </row>
    <row r="4" spans="2:6" ht="15.75">
      <c r="C4" s="14">
        <v>2</v>
      </c>
      <c r="D4" s="14">
        <v>25</v>
      </c>
    </row>
    <row r="5" spans="2:6" ht="15.75">
      <c r="C5" s="14">
        <v>3</v>
      </c>
      <c r="D5" s="14">
        <v>30</v>
      </c>
    </row>
    <row r="6" spans="2:6" ht="15.75">
      <c r="C6" s="14">
        <v>4</v>
      </c>
      <c r="D6" s="14">
        <v>35</v>
      </c>
    </row>
    <row r="7" spans="2:6" ht="15.75">
      <c r="C7" s="14">
        <v>5</v>
      </c>
      <c r="D7" s="14">
        <v>35</v>
      </c>
    </row>
    <row r="8" spans="2:6" ht="15.75">
      <c r="C8" s="14">
        <v>6</v>
      </c>
      <c r="D8" s="14">
        <v>45</v>
      </c>
    </row>
    <row r="9" spans="2:6" ht="15.75">
      <c r="C9" s="14">
        <v>7</v>
      </c>
      <c r="D9" s="14">
        <v>30</v>
      </c>
    </row>
    <row r="10" spans="2:6" ht="15.75">
      <c r="C10" s="14">
        <v>8</v>
      </c>
      <c r="D10" s="14">
        <v>35</v>
      </c>
    </row>
    <row r="11" spans="2:6" ht="15.75">
      <c r="C11" s="14">
        <v>9</v>
      </c>
      <c r="D11" s="14">
        <v>45</v>
      </c>
    </row>
    <row r="12" spans="2:6" ht="15.75">
      <c r="C12" s="14">
        <v>10</v>
      </c>
      <c r="D12" s="14">
        <v>45</v>
      </c>
    </row>
    <row r="13" spans="2:6" ht="15.75">
      <c r="C13" s="14">
        <v>11</v>
      </c>
      <c r="D13" s="14">
        <v>40</v>
      </c>
    </row>
    <row r="14" spans="2:6" ht="15.75">
      <c r="C14" s="14">
        <v>12</v>
      </c>
      <c r="D14" s="14">
        <v>20</v>
      </c>
    </row>
    <row r="15" spans="2:6" ht="15.75">
      <c r="C15" s="14">
        <v>13</v>
      </c>
      <c r="D15" s="14">
        <v>35</v>
      </c>
    </row>
    <row r="16" spans="2:6" ht="15.75">
      <c r="C16" s="14">
        <v>14</v>
      </c>
      <c r="D16" s="14">
        <v>45</v>
      </c>
    </row>
    <row r="17" spans="3:4" ht="15.75">
      <c r="C17" s="14">
        <v>15</v>
      </c>
      <c r="D17" s="14">
        <v>30</v>
      </c>
    </row>
    <row r="18" spans="3:4" ht="15.75">
      <c r="C18" s="14">
        <v>16</v>
      </c>
      <c r="D18" s="14">
        <v>40</v>
      </c>
    </row>
    <row r="19" spans="3:4" ht="15.75">
      <c r="C19" s="14">
        <v>17</v>
      </c>
      <c r="D19" s="14">
        <v>20</v>
      </c>
    </row>
    <row r="20" spans="3:4" ht="15.75">
      <c r="C20" s="14">
        <v>18</v>
      </c>
      <c r="D20" s="14">
        <v>20</v>
      </c>
    </row>
    <row r="21" spans="3:4" ht="15.75">
      <c r="C21" s="14">
        <v>19</v>
      </c>
      <c r="D21" s="14">
        <v>25</v>
      </c>
    </row>
    <row r="22" spans="3:4" ht="15.75">
      <c r="C22" s="14">
        <v>20</v>
      </c>
      <c r="D22" s="14">
        <v>30</v>
      </c>
    </row>
    <row r="23" spans="3:4" ht="15.75">
      <c r="C23" s="14">
        <v>21</v>
      </c>
      <c r="D23" s="14">
        <v>30</v>
      </c>
    </row>
    <row r="24" spans="3:4" ht="15.75">
      <c r="C24" s="14">
        <v>22</v>
      </c>
      <c r="D24" s="14">
        <v>40</v>
      </c>
    </row>
    <row r="25" spans="3:4" ht="15.75">
      <c r="C25" s="14">
        <v>23</v>
      </c>
      <c r="D25" s="14">
        <v>45</v>
      </c>
    </row>
    <row r="26" spans="3:4" ht="15.75">
      <c r="C26" s="14">
        <v>24</v>
      </c>
      <c r="D26" s="14">
        <v>45</v>
      </c>
    </row>
    <row r="27" spans="3:4" ht="15.75">
      <c r="C27" s="14">
        <v>25</v>
      </c>
      <c r="D27" s="14">
        <v>45</v>
      </c>
    </row>
    <row r="28" spans="3:4" ht="15.75">
      <c r="C28" s="14">
        <v>26</v>
      </c>
      <c r="D28" s="14">
        <v>40</v>
      </c>
    </row>
    <row r="29" spans="3:4" ht="15.75">
      <c r="C29" s="14">
        <v>27</v>
      </c>
      <c r="D29" s="14">
        <v>35</v>
      </c>
    </row>
    <row r="30" spans="3:4" ht="15.75">
      <c r="C30" s="14">
        <v>28</v>
      </c>
      <c r="D30" s="14">
        <v>30</v>
      </c>
    </row>
    <row r="31" spans="3:4" ht="15.75">
      <c r="C31" s="14">
        <v>29</v>
      </c>
      <c r="D31" s="14">
        <v>40</v>
      </c>
    </row>
    <row r="32" spans="3:4" ht="15.75">
      <c r="C32" s="14">
        <v>30</v>
      </c>
      <c r="D32" s="14">
        <v>25</v>
      </c>
    </row>
    <row r="33" spans="3:4" ht="15.75">
      <c r="C33" s="14">
        <v>31</v>
      </c>
      <c r="D33" s="14">
        <v>35</v>
      </c>
    </row>
    <row r="34" spans="3:4" ht="15.75">
      <c r="C34" s="14">
        <v>32</v>
      </c>
      <c r="D34" s="14">
        <v>20</v>
      </c>
    </row>
    <row r="35" spans="3:4" ht="15.75">
      <c r="C35" s="14">
        <v>33</v>
      </c>
      <c r="D35" s="14">
        <v>20</v>
      </c>
    </row>
    <row r="36" spans="3:4" ht="15.75">
      <c r="C36" s="14">
        <v>34</v>
      </c>
      <c r="D36" s="14">
        <v>25</v>
      </c>
    </row>
    <row r="37" spans="3:4" ht="15.75">
      <c r="C37" s="15">
        <v>35</v>
      </c>
      <c r="D37" s="15">
        <v>20</v>
      </c>
    </row>
    <row r="38" spans="3:4" ht="18.75">
      <c r="C38" s="76" t="s">
        <v>67</v>
      </c>
      <c r="D38" s="25">
        <f>HARMEAN(D3:D37)</f>
        <v>30.559212805765352</v>
      </c>
    </row>
  </sheetData>
  <mergeCells count="1">
    <mergeCell ref="B1:F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V58"/>
  <sheetViews>
    <sheetView zoomScale="70" zoomScaleNormal="70" workbookViewId="0">
      <selection activeCell="K58" sqref="K58"/>
    </sheetView>
  </sheetViews>
  <sheetFormatPr defaultRowHeight="15"/>
  <cols>
    <col min="3" max="3" width="8.5703125" customWidth="1"/>
    <col min="4" max="4" width="17.28515625" customWidth="1"/>
    <col min="5" max="6" width="11.85546875" customWidth="1"/>
    <col min="8" max="8" width="13.5703125" customWidth="1"/>
    <col min="9" max="9" width="20.7109375" customWidth="1"/>
    <col min="14" max="14" width="16.28515625" customWidth="1"/>
    <col min="15" max="15" width="15.5703125" customWidth="1"/>
    <col min="17" max="17" width="14.28515625" customWidth="1"/>
  </cols>
  <sheetData>
    <row r="1" spans="2:22" ht="28.5">
      <c r="B1" s="217" t="s">
        <v>84</v>
      </c>
      <c r="C1" s="217"/>
      <c r="D1" s="217"/>
      <c r="E1" s="217"/>
      <c r="F1" s="217"/>
      <c r="G1" s="217"/>
      <c r="H1" s="217"/>
    </row>
    <row r="2" spans="2:22" ht="18.75">
      <c r="C2" s="81" t="s">
        <v>71</v>
      </c>
      <c r="D2" s="81"/>
      <c r="E2" s="81"/>
      <c r="F2" s="81"/>
      <c r="G2" s="25"/>
      <c r="H2" s="81" t="s">
        <v>72</v>
      </c>
      <c r="I2" s="25"/>
      <c r="J2" s="25"/>
      <c r="K2" s="17"/>
      <c r="L2" s="17"/>
      <c r="M2" s="81" t="s">
        <v>78</v>
      </c>
      <c r="N2" s="81"/>
      <c r="O2" s="81"/>
      <c r="P2" s="81"/>
      <c r="Q2" s="81"/>
      <c r="R2" s="24"/>
      <c r="S2" s="17"/>
      <c r="T2" s="17"/>
      <c r="U2" s="17"/>
      <c r="V2" s="17"/>
    </row>
    <row r="3" spans="2:22" ht="35.25" customHeight="1">
      <c r="C3" s="21" t="s">
        <v>60</v>
      </c>
      <c r="D3" s="21" t="s">
        <v>59</v>
      </c>
      <c r="E3" s="223"/>
      <c r="F3" s="223"/>
      <c r="G3" s="17"/>
      <c r="H3" s="21" t="s">
        <v>59</v>
      </c>
      <c r="I3" s="27" t="s">
        <v>73</v>
      </c>
      <c r="J3" s="17"/>
      <c r="K3" s="17"/>
      <c r="L3" s="17"/>
      <c r="M3" s="17"/>
      <c r="N3" s="27" t="s">
        <v>99</v>
      </c>
      <c r="O3" s="27" t="s">
        <v>100</v>
      </c>
      <c r="P3" s="21" t="s">
        <v>108</v>
      </c>
      <c r="Q3" s="28" t="s">
        <v>73</v>
      </c>
      <c r="R3" s="17"/>
      <c r="S3" s="17"/>
      <c r="T3" s="17"/>
      <c r="U3" s="17"/>
      <c r="V3" s="17"/>
    </row>
    <row r="4" spans="2:22" ht="15.75">
      <c r="C4" s="13">
        <v>1</v>
      </c>
      <c r="D4" s="13">
        <v>5</v>
      </c>
      <c r="E4" s="224"/>
      <c r="F4" s="224"/>
      <c r="G4" s="2" t="s">
        <v>74</v>
      </c>
      <c r="H4" s="13">
        <v>1</v>
      </c>
      <c r="I4" s="13">
        <f t="array" ref="I4:I13">FREQUENCY(D4:D53,H4:H13)</f>
        <v>0</v>
      </c>
      <c r="J4" s="17"/>
      <c r="K4" s="17"/>
      <c r="L4" s="2" t="s">
        <v>74</v>
      </c>
      <c r="M4" s="17"/>
      <c r="N4" s="29" t="s">
        <v>92</v>
      </c>
      <c r="O4" s="29" t="s">
        <v>101</v>
      </c>
      <c r="P4" s="14">
        <v>4</v>
      </c>
      <c r="Q4" s="13" cm="1">
        <f t="array" ref="Q4:Q11">FREQUENCY(D4:D53,P4:P10)</f>
        <v>2</v>
      </c>
      <c r="R4" s="17"/>
      <c r="S4" s="17"/>
      <c r="T4" s="17"/>
      <c r="U4" s="17"/>
      <c r="V4" s="17"/>
    </row>
    <row r="5" spans="2:22" ht="15.75">
      <c r="C5" s="14">
        <v>2</v>
      </c>
      <c r="D5" s="14">
        <v>6</v>
      </c>
      <c r="E5" s="224"/>
      <c r="F5" s="224"/>
      <c r="G5" s="17">
        <f>MAX(D4:D53)</f>
        <v>10</v>
      </c>
      <c r="H5" s="14">
        <v>2</v>
      </c>
      <c r="I5" s="14">
        <v>0</v>
      </c>
      <c r="J5" s="17"/>
      <c r="K5" s="17"/>
      <c r="L5" s="17">
        <v>10</v>
      </c>
      <c r="M5" s="17"/>
      <c r="N5" s="29" t="s">
        <v>93</v>
      </c>
      <c r="O5" s="29" t="s">
        <v>102</v>
      </c>
      <c r="P5" s="14">
        <v>5</v>
      </c>
      <c r="Q5" s="14">
        <v>9</v>
      </c>
      <c r="R5" s="17"/>
      <c r="S5" s="17"/>
      <c r="T5" s="17"/>
      <c r="U5" s="17"/>
      <c r="V5" s="17"/>
    </row>
    <row r="6" spans="2:22" ht="15.75">
      <c r="C6" s="14">
        <v>3</v>
      </c>
      <c r="D6" s="14">
        <v>7</v>
      </c>
      <c r="E6" s="224"/>
      <c r="F6" s="224"/>
      <c r="G6" s="2" t="s">
        <v>75</v>
      </c>
      <c r="H6" s="14">
        <v>3</v>
      </c>
      <c r="I6" s="14">
        <v>0</v>
      </c>
      <c r="J6" s="17"/>
      <c r="K6" s="17"/>
      <c r="L6" s="2" t="s">
        <v>75</v>
      </c>
      <c r="M6" s="17"/>
      <c r="N6" s="29" t="s">
        <v>94</v>
      </c>
      <c r="O6" s="29" t="s">
        <v>103</v>
      </c>
      <c r="P6" s="14">
        <v>6</v>
      </c>
      <c r="Q6" s="14">
        <v>10</v>
      </c>
      <c r="R6" s="17"/>
      <c r="S6" s="17"/>
      <c r="T6" s="17"/>
      <c r="U6" s="17"/>
      <c r="V6" s="17"/>
    </row>
    <row r="7" spans="2:22" ht="15.75">
      <c r="C7" s="14">
        <v>4</v>
      </c>
      <c r="D7" s="14">
        <v>8</v>
      </c>
      <c r="E7" s="224"/>
      <c r="F7" s="224"/>
      <c r="G7" s="17">
        <f>MIN(D4:D53)</f>
        <v>4</v>
      </c>
      <c r="H7" s="14">
        <v>4</v>
      </c>
      <c r="I7" s="14">
        <v>2</v>
      </c>
      <c r="J7" s="17"/>
      <c r="K7" s="17"/>
      <c r="L7" s="17">
        <v>4</v>
      </c>
      <c r="M7" s="17"/>
      <c r="N7" s="30" t="s">
        <v>95</v>
      </c>
      <c r="O7" s="30" t="s">
        <v>104</v>
      </c>
      <c r="P7" s="14">
        <v>7</v>
      </c>
      <c r="Q7" s="31">
        <v>14</v>
      </c>
      <c r="R7" s="17"/>
      <c r="S7" s="17"/>
      <c r="T7" s="17"/>
      <c r="U7" s="17"/>
      <c r="V7" s="17"/>
    </row>
    <row r="8" spans="2:22" ht="15.75">
      <c r="C8" s="14">
        <v>5</v>
      </c>
      <c r="D8" s="14">
        <v>5</v>
      </c>
      <c r="E8" s="224"/>
      <c r="F8" s="224"/>
      <c r="G8" s="17"/>
      <c r="H8" s="14">
        <v>5</v>
      </c>
      <c r="I8" s="14">
        <v>9</v>
      </c>
      <c r="J8" s="17"/>
      <c r="K8" s="17"/>
      <c r="L8" s="2" t="s">
        <v>77</v>
      </c>
      <c r="M8" s="17"/>
      <c r="N8" s="29" t="s">
        <v>96</v>
      </c>
      <c r="O8" s="29" t="s">
        <v>105</v>
      </c>
      <c r="P8" s="14">
        <v>8</v>
      </c>
      <c r="Q8" s="14">
        <v>9</v>
      </c>
      <c r="R8" s="17"/>
      <c r="S8" s="17"/>
      <c r="T8" s="17"/>
      <c r="U8" s="17"/>
      <c r="V8" s="17"/>
    </row>
    <row r="9" spans="2:22" ht="15.75">
      <c r="C9" s="14">
        <v>6</v>
      </c>
      <c r="D9" s="14">
        <v>7</v>
      </c>
      <c r="E9" s="224"/>
      <c r="F9" s="224"/>
      <c r="G9" s="17"/>
      <c r="H9" s="14">
        <v>6</v>
      </c>
      <c r="I9" s="14">
        <v>10</v>
      </c>
      <c r="J9" s="17"/>
      <c r="K9" s="17"/>
      <c r="L9" s="17">
        <f>(L5-L7)/(1+3.322*LOG10(50))</f>
        <v>0.90307338163175011</v>
      </c>
      <c r="M9" s="17"/>
      <c r="N9" s="29" t="s">
        <v>97</v>
      </c>
      <c r="O9" s="29" t="s">
        <v>106</v>
      </c>
      <c r="P9" s="14">
        <v>9</v>
      </c>
      <c r="Q9" s="14">
        <v>5</v>
      </c>
      <c r="R9" s="17"/>
      <c r="S9" s="17"/>
      <c r="T9" s="17"/>
      <c r="U9" s="17"/>
      <c r="V9" s="17"/>
    </row>
    <row r="10" spans="2:22" ht="15.75">
      <c r="C10" s="14">
        <v>7</v>
      </c>
      <c r="D10" s="14">
        <v>5</v>
      </c>
      <c r="E10" s="224"/>
      <c r="F10" s="224"/>
      <c r="G10" s="17"/>
      <c r="H10" s="32">
        <v>7</v>
      </c>
      <c r="I10" s="32">
        <v>14</v>
      </c>
      <c r="J10" s="17"/>
      <c r="K10" s="17"/>
      <c r="L10" s="17" t="s">
        <v>76</v>
      </c>
      <c r="M10" s="17"/>
      <c r="N10" s="29" t="s">
        <v>98</v>
      </c>
      <c r="O10" s="29" t="s">
        <v>107</v>
      </c>
      <c r="P10" s="14">
        <v>10</v>
      </c>
      <c r="Q10" s="15">
        <v>1</v>
      </c>
      <c r="R10" s="17"/>
      <c r="S10" s="17"/>
      <c r="T10" s="17"/>
      <c r="U10" s="17"/>
      <c r="V10" s="17"/>
    </row>
    <row r="11" spans="2:22" ht="18.75">
      <c r="C11" s="14">
        <v>8</v>
      </c>
      <c r="D11" s="14">
        <v>7</v>
      </c>
      <c r="E11" s="224"/>
      <c r="F11" s="224"/>
      <c r="G11" s="17"/>
      <c r="H11" s="14">
        <v>8</v>
      </c>
      <c r="I11" s="14">
        <v>9</v>
      </c>
      <c r="J11" s="17"/>
      <c r="K11" s="17"/>
      <c r="L11" s="17"/>
      <c r="M11" s="17"/>
      <c r="N11" s="77" t="s">
        <v>41</v>
      </c>
      <c r="O11" s="77"/>
      <c r="P11" s="78">
        <v>7</v>
      </c>
      <c r="Q11" s="25">
        <v>0</v>
      </c>
      <c r="R11" s="17"/>
      <c r="S11" s="17"/>
      <c r="T11" s="17"/>
      <c r="U11" s="17"/>
      <c r="V11" s="17"/>
    </row>
    <row r="12" spans="2:22" ht="20.25">
      <c r="C12" s="14">
        <v>9</v>
      </c>
      <c r="D12" s="14">
        <v>6</v>
      </c>
      <c r="E12" s="224"/>
      <c r="F12" s="224"/>
      <c r="G12" s="17"/>
      <c r="H12" s="14">
        <v>9</v>
      </c>
      <c r="I12" s="14">
        <v>5</v>
      </c>
      <c r="J12" s="17"/>
      <c r="K12" s="17"/>
      <c r="L12" s="17"/>
      <c r="M12" s="17"/>
      <c r="N12" s="79" t="s">
        <v>110</v>
      </c>
      <c r="O12" s="79"/>
      <c r="P12" s="75">
        <v>14</v>
      </c>
      <c r="Q12" s="25"/>
      <c r="R12" s="17"/>
      <c r="S12" s="17"/>
      <c r="T12" s="17"/>
      <c r="U12" s="17"/>
      <c r="V12" s="17"/>
    </row>
    <row r="13" spans="2:22" ht="20.25">
      <c r="C13" s="14">
        <v>10</v>
      </c>
      <c r="D13" s="14">
        <v>8</v>
      </c>
      <c r="E13" s="224"/>
      <c r="F13" s="224"/>
      <c r="G13" s="17"/>
      <c r="H13" s="15">
        <v>10</v>
      </c>
      <c r="I13" s="15">
        <v>1</v>
      </c>
      <c r="J13" s="17"/>
      <c r="K13" s="17"/>
      <c r="L13" s="17"/>
      <c r="M13" s="17"/>
      <c r="N13" s="79" t="s">
        <v>111</v>
      </c>
      <c r="O13" s="79"/>
      <c r="P13" s="75">
        <v>10</v>
      </c>
      <c r="Q13" s="25"/>
      <c r="R13" s="17"/>
      <c r="S13" s="17"/>
      <c r="T13" s="17"/>
      <c r="U13" s="17"/>
      <c r="V13" s="17"/>
    </row>
    <row r="14" spans="2:22" ht="20.25">
      <c r="C14" s="14">
        <v>11</v>
      </c>
      <c r="D14" s="14">
        <v>9</v>
      </c>
      <c r="E14" s="224"/>
      <c r="F14" s="224"/>
      <c r="G14" s="17"/>
      <c r="H14" s="76" t="s">
        <v>70</v>
      </c>
      <c r="I14" s="75">
        <v>7</v>
      </c>
      <c r="J14" s="17"/>
      <c r="K14" s="17"/>
      <c r="L14" s="17"/>
      <c r="M14" s="17"/>
      <c r="N14" s="79" t="s">
        <v>112</v>
      </c>
      <c r="O14" s="79"/>
      <c r="P14" s="75">
        <v>9</v>
      </c>
      <c r="Q14" s="25"/>
      <c r="R14" s="17"/>
      <c r="S14" s="17"/>
      <c r="T14" s="17"/>
      <c r="U14" s="17"/>
      <c r="V14" s="17"/>
    </row>
    <row r="15" spans="2:22" ht="18.75">
      <c r="C15" s="14">
        <v>12</v>
      </c>
      <c r="D15" s="14">
        <v>9</v>
      </c>
      <c r="E15" s="224"/>
      <c r="F15" s="224"/>
      <c r="G15" s="17"/>
      <c r="H15" s="16"/>
      <c r="I15" s="17"/>
      <c r="J15" s="17"/>
      <c r="K15" s="17"/>
      <c r="L15" s="17"/>
      <c r="M15" s="17"/>
      <c r="N15" s="79" t="s">
        <v>44</v>
      </c>
      <c r="O15" s="79"/>
      <c r="P15" s="75">
        <v>1</v>
      </c>
      <c r="Q15" s="25"/>
      <c r="R15" s="17"/>
      <c r="S15" s="17"/>
      <c r="T15" s="17"/>
      <c r="U15" s="17"/>
      <c r="V15" s="17"/>
    </row>
    <row r="16" spans="2:22" ht="18.75">
      <c r="C16" s="14">
        <v>13</v>
      </c>
      <c r="D16" s="14">
        <v>7</v>
      </c>
      <c r="E16" s="224"/>
      <c r="F16" s="224"/>
      <c r="G16" s="17"/>
      <c r="H16" s="72" t="s">
        <v>81</v>
      </c>
      <c r="I16" s="73"/>
      <c r="J16" s="73"/>
      <c r="K16" s="25"/>
      <c r="L16" s="17"/>
      <c r="M16" s="17"/>
      <c r="N16" s="79" t="s">
        <v>70</v>
      </c>
      <c r="O16" s="79"/>
      <c r="P16" s="25">
        <f>P11+((P12-P13)/(2*P12-P13-P14))*P15</f>
        <v>7.4444444444444446</v>
      </c>
      <c r="Q16" s="25" t="s">
        <v>79</v>
      </c>
      <c r="R16" s="17"/>
      <c r="S16" s="17"/>
      <c r="T16" s="17"/>
      <c r="U16" s="17"/>
      <c r="V16" s="17"/>
    </row>
    <row r="17" spans="3:22" ht="18.75">
      <c r="C17" s="14">
        <v>14</v>
      </c>
      <c r="D17" s="14">
        <v>7</v>
      </c>
      <c r="E17" s="224"/>
      <c r="F17" s="224"/>
      <c r="G17" s="23"/>
      <c r="H17" s="74" t="s">
        <v>80</v>
      </c>
      <c r="I17" s="74"/>
      <c r="J17" s="74"/>
      <c r="K17" s="26"/>
      <c r="L17" s="17"/>
      <c r="M17" s="17"/>
      <c r="N17" s="80" t="s">
        <v>83</v>
      </c>
      <c r="O17" s="80"/>
      <c r="P17" s="25"/>
      <c r="Q17" s="25"/>
      <c r="R17" s="17"/>
      <c r="S17" s="17"/>
      <c r="T17" s="17"/>
      <c r="U17" s="17"/>
      <c r="V17" s="17"/>
    </row>
    <row r="18" spans="3:22" ht="18.75">
      <c r="C18" s="14">
        <v>15</v>
      </c>
      <c r="D18" s="14">
        <v>7</v>
      </c>
      <c r="E18" s="224"/>
      <c r="F18" s="224"/>
      <c r="G18" s="17"/>
      <c r="H18" s="75"/>
      <c r="I18" s="70"/>
      <c r="J18" s="25"/>
      <c r="K18" s="25"/>
      <c r="L18" s="17"/>
      <c r="M18" s="17"/>
      <c r="N18" s="26" t="s">
        <v>80</v>
      </c>
      <c r="O18" s="26"/>
      <c r="P18" s="26"/>
      <c r="Q18" s="26"/>
      <c r="R18" s="2"/>
      <c r="S18" s="17"/>
      <c r="T18" s="17"/>
      <c r="U18" s="17"/>
      <c r="V18" s="17"/>
    </row>
    <row r="19" spans="3:22" ht="18.75">
      <c r="C19" s="14">
        <v>16</v>
      </c>
      <c r="D19" s="14">
        <v>4</v>
      </c>
      <c r="E19" s="224"/>
      <c r="F19" s="224"/>
      <c r="G19" s="17"/>
      <c r="H19" s="16"/>
      <c r="I19" s="17"/>
      <c r="J19" s="17"/>
      <c r="K19" s="17"/>
      <c r="L19" s="17"/>
      <c r="M19" s="17"/>
      <c r="N19" s="25"/>
      <c r="O19" s="25"/>
      <c r="P19" s="25"/>
      <c r="Q19" s="25"/>
      <c r="R19" s="17"/>
      <c r="S19" s="17"/>
      <c r="T19" s="17"/>
      <c r="U19" s="17"/>
      <c r="V19" s="17"/>
    </row>
    <row r="20" spans="3:22" ht="15.75">
      <c r="C20" s="14">
        <v>17</v>
      </c>
      <c r="D20" s="14">
        <v>8</v>
      </c>
      <c r="E20" s="224"/>
      <c r="F20" s="224"/>
      <c r="G20" s="17"/>
      <c r="H20" s="16"/>
      <c r="I20" s="17"/>
      <c r="J20" s="17"/>
      <c r="K20" s="17"/>
      <c r="L20" s="17"/>
      <c r="M20" s="17"/>
      <c r="N20" s="17"/>
      <c r="O20" s="17"/>
      <c r="P20" s="17"/>
      <c r="Q20" s="17"/>
      <c r="R20" s="17"/>
      <c r="S20" s="17"/>
      <c r="T20" s="17"/>
      <c r="U20" s="17"/>
      <c r="V20" s="17"/>
    </row>
    <row r="21" spans="3:22" ht="15.75">
      <c r="C21" s="14">
        <v>18</v>
      </c>
      <c r="D21" s="14">
        <v>5</v>
      </c>
      <c r="E21" s="224"/>
      <c r="F21" s="224"/>
      <c r="G21" s="17"/>
      <c r="H21" s="16"/>
      <c r="I21" s="17"/>
      <c r="J21" s="17"/>
      <c r="K21" s="17"/>
      <c r="L21" s="17"/>
      <c r="M21" s="17"/>
      <c r="N21" s="17"/>
      <c r="O21" s="17"/>
      <c r="P21" s="17"/>
      <c r="Q21" s="17"/>
      <c r="R21" s="17"/>
      <c r="S21" s="17"/>
      <c r="T21" s="17"/>
      <c r="U21" s="17"/>
      <c r="V21" s="17"/>
    </row>
    <row r="22" spans="3:22" ht="15.75">
      <c r="C22" s="14">
        <v>19</v>
      </c>
      <c r="D22" s="14">
        <v>6</v>
      </c>
      <c r="E22" s="224"/>
      <c r="F22" s="224"/>
      <c r="G22" s="17"/>
      <c r="H22" s="16"/>
      <c r="I22" s="17"/>
      <c r="J22" s="17"/>
      <c r="K22" s="17"/>
      <c r="L22" s="17"/>
      <c r="M22" s="17"/>
      <c r="N22" s="17"/>
      <c r="O22" s="17"/>
      <c r="P22" s="17"/>
      <c r="Q22" s="17"/>
      <c r="R22" s="17"/>
      <c r="S22" s="17"/>
      <c r="T22" s="17"/>
      <c r="U22" s="17"/>
      <c r="V22" s="17"/>
    </row>
    <row r="23" spans="3:22" ht="15.75">
      <c r="C23" s="14">
        <v>20</v>
      </c>
      <c r="D23" s="14">
        <v>5</v>
      </c>
      <c r="E23" s="224"/>
      <c r="F23" s="224"/>
      <c r="G23" s="17"/>
      <c r="H23" s="16"/>
      <c r="I23" s="17"/>
      <c r="J23" s="17"/>
      <c r="K23" s="17"/>
      <c r="L23" s="17"/>
      <c r="M23" s="17"/>
      <c r="N23" s="17"/>
      <c r="O23" s="17"/>
      <c r="P23" s="17"/>
      <c r="Q23" s="17"/>
      <c r="R23" s="17"/>
      <c r="S23" s="17"/>
      <c r="T23" s="17"/>
      <c r="U23" s="17"/>
      <c r="V23" s="17"/>
    </row>
    <row r="24" spans="3:22" ht="15.75">
      <c r="C24" s="14">
        <v>21</v>
      </c>
      <c r="D24" s="14">
        <v>10</v>
      </c>
      <c r="E24" s="224"/>
      <c r="F24" s="224"/>
      <c r="G24" s="17"/>
      <c r="H24" s="16"/>
      <c r="I24" s="17"/>
      <c r="J24" s="17"/>
      <c r="K24" s="17"/>
      <c r="L24" s="17"/>
      <c r="M24" s="17"/>
      <c r="N24" s="17"/>
      <c r="O24" s="17"/>
      <c r="P24" s="17"/>
      <c r="Q24" s="17"/>
      <c r="R24" s="17"/>
      <c r="S24" s="17"/>
      <c r="T24" s="17"/>
      <c r="U24" s="17"/>
      <c r="V24" s="17"/>
    </row>
    <row r="25" spans="3:22" ht="15.75">
      <c r="C25" s="14">
        <v>22</v>
      </c>
      <c r="D25" s="14">
        <v>9</v>
      </c>
      <c r="E25" s="224"/>
      <c r="F25" s="224"/>
      <c r="G25" s="17"/>
      <c r="H25" s="16"/>
      <c r="I25" s="17"/>
      <c r="J25" s="17"/>
      <c r="K25" s="17"/>
      <c r="L25" s="17"/>
      <c r="M25" s="17"/>
      <c r="N25" s="17"/>
      <c r="O25" s="17"/>
      <c r="P25" s="17"/>
      <c r="Q25" s="17"/>
      <c r="R25" s="17"/>
      <c r="S25" s="17"/>
      <c r="T25" s="17"/>
      <c r="U25" s="17"/>
      <c r="V25" s="17"/>
    </row>
    <row r="26" spans="3:22" ht="15.75">
      <c r="C26" s="14">
        <v>23</v>
      </c>
      <c r="D26" s="14">
        <v>8</v>
      </c>
      <c r="E26" s="224"/>
      <c r="F26" s="224"/>
      <c r="G26" s="17"/>
      <c r="H26" s="16"/>
      <c r="I26" s="17"/>
      <c r="J26" s="17"/>
      <c r="K26" s="17"/>
      <c r="L26" s="17"/>
      <c r="M26" s="17"/>
      <c r="N26" s="17"/>
      <c r="O26" s="17"/>
      <c r="P26" s="17"/>
      <c r="Q26" s="17"/>
      <c r="R26" s="17"/>
      <c r="S26" s="17"/>
      <c r="T26" s="17"/>
      <c r="U26" s="17"/>
      <c r="V26" s="17"/>
    </row>
    <row r="27" spans="3:22" ht="15.75">
      <c r="C27" s="14">
        <v>24</v>
      </c>
      <c r="D27" s="14">
        <v>7</v>
      </c>
      <c r="E27" s="224"/>
      <c r="F27" s="224"/>
      <c r="G27" s="17"/>
      <c r="H27" s="16"/>
      <c r="I27" s="17"/>
      <c r="J27" s="17"/>
      <c r="K27" s="17"/>
      <c r="L27" s="17"/>
      <c r="M27" s="17"/>
      <c r="N27" s="17"/>
      <c r="O27" s="17"/>
      <c r="P27" s="17"/>
      <c r="Q27" s="17"/>
      <c r="R27" s="17"/>
      <c r="S27" s="17"/>
      <c r="T27" s="17"/>
      <c r="U27" s="17"/>
      <c r="V27" s="17"/>
    </row>
    <row r="28" spans="3:22" ht="15.75">
      <c r="C28" s="14">
        <v>25</v>
      </c>
      <c r="D28" s="14">
        <v>6</v>
      </c>
      <c r="E28" s="224"/>
      <c r="F28" s="224"/>
      <c r="G28" s="17"/>
      <c r="H28" s="16"/>
      <c r="I28" s="17"/>
      <c r="J28" s="17"/>
      <c r="K28" s="17"/>
      <c r="L28" s="17"/>
      <c r="M28" s="17"/>
      <c r="N28" s="17"/>
      <c r="O28" s="17"/>
      <c r="P28" s="17"/>
      <c r="Q28" s="17"/>
      <c r="R28" s="17"/>
      <c r="S28" s="17"/>
      <c r="T28" s="17"/>
      <c r="U28" s="17"/>
      <c r="V28" s="17"/>
    </row>
    <row r="29" spans="3:22" ht="15.75">
      <c r="C29" s="14">
        <v>26</v>
      </c>
      <c r="D29" s="14">
        <v>5</v>
      </c>
      <c r="E29" s="224"/>
      <c r="F29" s="224"/>
      <c r="G29" s="17"/>
      <c r="H29" s="16"/>
      <c r="I29" s="17"/>
      <c r="J29" s="17"/>
      <c r="K29" s="17"/>
      <c r="L29" s="17"/>
      <c r="M29" s="17"/>
      <c r="N29" s="17"/>
      <c r="O29" s="17"/>
      <c r="P29" s="17"/>
      <c r="Q29" s="17"/>
      <c r="R29" s="17"/>
      <c r="S29" s="17"/>
      <c r="T29" s="17"/>
      <c r="U29" s="17"/>
      <c r="V29" s="17"/>
    </row>
    <row r="30" spans="3:22" ht="15.75">
      <c r="C30" s="14">
        <v>27</v>
      </c>
      <c r="D30" s="14">
        <v>6</v>
      </c>
      <c r="E30" s="224"/>
      <c r="F30" s="224"/>
      <c r="G30" s="17"/>
      <c r="H30" s="16"/>
      <c r="I30" s="17"/>
      <c r="J30" s="17"/>
      <c r="K30" s="17"/>
      <c r="L30" s="17"/>
      <c r="M30" s="17"/>
      <c r="N30" s="17"/>
      <c r="O30" s="17"/>
      <c r="P30" s="17"/>
      <c r="Q30" s="17"/>
      <c r="R30" s="17"/>
      <c r="S30" s="17"/>
      <c r="T30" s="17"/>
      <c r="U30" s="17"/>
      <c r="V30" s="17"/>
    </row>
    <row r="31" spans="3:22" ht="15.75">
      <c r="C31" s="14">
        <v>28</v>
      </c>
      <c r="D31" s="14">
        <v>8</v>
      </c>
      <c r="E31" s="224"/>
      <c r="F31" s="224"/>
      <c r="G31" s="17"/>
      <c r="H31" s="16"/>
      <c r="I31" s="17"/>
      <c r="J31" s="17"/>
      <c r="K31" s="17"/>
      <c r="L31" s="17"/>
      <c r="M31" s="17"/>
      <c r="N31" s="17"/>
      <c r="O31" s="17"/>
      <c r="P31" s="17"/>
      <c r="Q31" s="17"/>
      <c r="R31" s="17"/>
      <c r="S31" s="17"/>
      <c r="T31" s="17"/>
      <c r="U31" s="17"/>
      <c r="V31" s="17"/>
    </row>
    <row r="32" spans="3:22" ht="15.75">
      <c r="C32" s="14">
        <v>29</v>
      </c>
      <c r="D32" s="14">
        <v>7</v>
      </c>
      <c r="E32" s="224"/>
      <c r="F32" s="224"/>
      <c r="G32" s="17"/>
      <c r="H32" s="16"/>
      <c r="I32" s="17"/>
      <c r="J32" s="17"/>
      <c r="K32" s="17"/>
      <c r="L32" s="17"/>
      <c r="M32" s="17"/>
      <c r="N32" s="17"/>
      <c r="O32" s="17"/>
      <c r="P32" s="17"/>
      <c r="Q32" s="17"/>
      <c r="R32" s="17"/>
      <c r="S32" s="17"/>
      <c r="T32" s="17"/>
      <c r="U32" s="17"/>
      <c r="V32" s="17"/>
    </row>
    <row r="33" spans="3:22" ht="15.75">
      <c r="C33" s="14">
        <v>30</v>
      </c>
      <c r="D33" s="14">
        <v>6</v>
      </c>
      <c r="E33" s="224"/>
      <c r="F33" s="224"/>
      <c r="G33" s="17"/>
      <c r="H33" s="16"/>
      <c r="I33" s="17"/>
      <c r="J33" s="17"/>
      <c r="K33" s="17"/>
      <c r="L33" s="17"/>
      <c r="M33" s="17"/>
      <c r="N33" s="17"/>
      <c r="O33" s="17"/>
      <c r="P33" s="17"/>
      <c r="Q33" s="17"/>
      <c r="R33" s="17"/>
      <c r="S33" s="17"/>
      <c r="T33" s="17"/>
      <c r="U33" s="17"/>
      <c r="V33" s="17"/>
    </row>
    <row r="34" spans="3:22" ht="15.75">
      <c r="C34" s="14">
        <v>31</v>
      </c>
      <c r="D34" s="14">
        <v>7</v>
      </c>
      <c r="E34" s="224"/>
      <c r="F34" s="224"/>
      <c r="G34" s="17"/>
      <c r="H34" s="16"/>
      <c r="I34" s="17"/>
      <c r="J34" s="17"/>
      <c r="K34" s="17"/>
      <c r="L34" s="17"/>
      <c r="M34" s="17"/>
      <c r="N34" s="17"/>
      <c r="O34" s="17"/>
      <c r="P34" s="17"/>
      <c r="Q34" s="17"/>
      <c r="R34" s="17"/>
      <c r="S34" s="17"/>
      <c r="T34" s="17"/>
      <c r="U34" s="17"/>
      <c r="V34" s="17"/>
    </row>
    <row r="35" spans="3:22" ht="15.75">
      <c r="C35" s="14">
        <v>32</v>
      </c>
      <c r="D35" s="14">
        <v>8</v>
      </c>
      <c r="E35" s="224"/>
      <c r="F35" s="224"/>
      <c r="G35" s="17"/>
      <c r="H35" s="16"/>
      <c r="I35" s="17"/>
      <c r="J35" s="17"/>
      <c r="K35" s="17"/>
      <c r="L35" s="17"/>
      <c r="M35" s="17"/>
      <c r="N35" s="17"/>
      <c r="O35" s="17"/>
      <c r="P35" s="17"/>
      <c r="Q35" s="17"/>
      <c r="R35" s="17"/>
      <c r="S35" s="17"/>
      <c r="T35" s="17"/>
      <c r="U35" s="17"/>
      <c r="V35" s="17"/>
    </row>
    <row r="36" spans="3:22" ht="15.75">
      <c r="C36" s="14">
        <v>33</v>
      </c>
      <c r="D36" s="14">
        <v>6</v>
      </c>
      <c r="E36" s="224"/>
      <c r="F36" s="224"/>
      <c r="G36" s="17"/>
      <c r="H36" s="16"/>
      <c r="I36" s="17"/>
      <c r="J36" s="17"/>
      <c r="K36" s="17"/>
      <c r="L36" s="17"/>
      <c r="M36" s="17"/>
      <c r="N36" s="17"/>
      <c r="O36" s="17"/>
      <c r="P36" s="17"/>
      <c r="Q36" s="17"/>
      <c r="R36" s="17"/>
      <c r="S36" s="17"/>
      <c r="T36" s="17"/>
      <c r="U36" s="17"/>
      <c r="V36" s="17"/>
    </row>
    <row r="37" spans="3:22" ht="15.75">
      <c r="C37" s="14">
        <v>34</v>
      </c>
      <c r="D37" s="14">
        <v>9</v>
      </c>
      <c r="E37" s="224"/>
      <c r="F37" s="224"/>
      <c r="G37" s="17"/>
      <c r="H37" s="16"/>
      <c r="I37" s="17"/>
      <c r="J37" s="17"/>
      <c r="K37" s="17"/>
      <c r="L37" s="17"/>
      <c r="M37" s="17"/>
      <c r="N37" s="17"/>
      <c r="O37" s="17"/>
      <c r="P37" s="17"/>
      <c r="Q37" s="17"/>
      <c r="R37" s="17"/>
      <c r="S37" s="17"/>
      <c r="T37" s="17"/>
      <c r="U37" s="17"/>
      <c r="V37" s="17"/>
    </row>
    <row r="38" spans="3:22" ht="15.75">
      <c r="C38" s="14">
        <v>35</v>
      </c>
      <c r="D38" s="14">
        <v>8</v>
      </c>
      <c r="E38" s="224"/>
      <c r="F38" s="224"/>
      <c r="G38" s="17"/>
      <c r="H38" s="16"/>
      <c r="I38" s="17"/>
      <c r="J38" s="17"/>
      <c r="K38" s="17"/>
      <c r="L38" s="17"/>
      <c r="M38" s="17"/>
      <c r="N38" s="17"/>
      <c r="O38" s="17"/>
      <c r="P38" s="17"/>
      <c r="Q38" s="17"/>
      <c r="R38" s="17"/>
      <c r="S38" s="17"/>
      <c r="T38" s="17"/>
      <c r="U38" s="17"/>
      <c r="V38" s="17"/>
    </row>
    <row r="39" spans="3:22" ht="15.75">
      <c r="C39" s="14">
        <v>36</v>
      </c>
      <c r="D39" s="14">
        <v>5</v>
      </c>
      <c r="E39" s="224"/>
      <c r="F39" s="224"/>
      <c r="G39" s="17"/>
      <c r="H39" s="16"/>
      <c r="I39" s="17"/>
      <c r="J39" s="17"/>
      <c r="K39" s="17"/>
      <c r="L39" s="17"/>
      <c r="M39" s="17"/>
      <c r="N39" s="17"/>
      <c r="O39" s="17"/>
      <c r="P39" s="17"/>
      <c r="Q39" s="17"/>
      <c r="R39" s="17"/>
      <c r="S39" s="17"/>
      <c r="T39" s="17"/>
      <c r="U39" s="17"/>
      <c r="V39" s="17"/>
    </row>
    <row r="40" spans="3:22" ht="15.75">
      <c r="C40" s="14">
        <v>37</v>
      </c>
      <c r="D40" s="14">
        <v>7</v>
      </c>
      <c r="E40" s="224"/>
      <c r="F40" s="224"/>
      <c r="G40" s="17"/>
      <c r="H40" s="16"/>
      <c r="I40" s="17"/>
      <c r="J40" s="17"/>
      <c r="K40" s="17"/>
      <c r="L40" s="17"/>
      <c r="M40" s="17"/>
      <c r="N40" s="17"/>
      <c r="O40" s="17"/>
      <c r="P40" s="17"/>
      <c r="Q40" s="17"/>
      <c r="R40" s="17"/>
      <c r="S40" s="17"/>
      <c r="T40" s="17"/>
      <c r="U40" s="17"/>
      <c r="V40" s="17"/>
    </row>
    <row r="41" spans="3:22" ht="15.75">
      <c r="C41" s="14">
        <v>38</v>
      </c>
      <c r="D41" s="14">
        <v>6</v>
      </c>
      <c r="E41" s="224"/>
      <c r="F41" s="224"/>
      <c r="G41" s="17"/>
      <c r="H41" s="16"/>
      <c r="I41" s="17"/>
      <c r="J41" s="17"/>
      <c r="K41" s="17"/>
      <c r="L41" s="17"/>
      <c r="M41" s="17"/>
      <c r="N41" s="17"/>
      <c r="O41" s="17"/>
      <c r="P41" s="17"/>
      <c r="Q41" s="17"/>
      <c r="R41" s="17"/>
      <c r="S41" s="17"/>
      <c r="T41" s="17"/>
      <c r="U41" s="17"/>
      <c r="V41" s="17"/>
    </row>
    <row r="42" spans="3:22" ht="15.75">
      <c r="C42" s="14">
        <v>39</v>
      </c>
      <c r="D42" s="14">
        <v>8</v>
      </c>
      <c r="E42" s="224"/>
      <c r="F42" s="224"/>
      <c r="G42" s="17"/>
      <c r="H42" s="16"/>
      <c r="I42" s="17"/>
      <c r="J42" s="17"/>
      <c r="K42" s="17"/>
      <c r="L42" s="17"/>
      <c r="M42" s="17"/>
      <c r="N42" s="17"/>
      <c r="O42" s="17"/>
      <c r="P42" s="17"/>
      <c r="Q42" s="17"/>
      <c r="R42" s="17"/>
      <c r="S42" s="17"/>
      <c r="T42" s="17"/>
      <c r="U42" s="17"/>
      <c r="V42" s="17"/>
    </row>
    <row r="43" spans="3:22" ht="15.75">
      <c r="C43" s="14">
        <v>40</v>
      </c>
      <c r="D43" s="14">
        <v>7</v>
      </c>
      <c r="E43" s="224"/>
      <c r="F43" s="224"/>
      <c r="G43" s="17"/>
      <c r="H43" s="16"/>
      <c r="I43" s="17"/>
      <c r="J43" s="17"/>
      <c r="K43" s="17"/>
      <c r="L43" s="17"/>
      <c r="M43" s="17"/>
      <c r="N43" s="17"/>
      <c r="O43" s="17"/>
      <c r="P43" s="17"/>
      <c r="Q43" s="17"/>
      <c r="R43" s="17"/>
      <c r="S43" s="17"/>
      <c r="T43" s="17"/>
      <c r="U43" s="17"/>
      <c r="V43" s="17"/>
    </row>
    <row r="44" spans="3:22" ht="15.75">
      <c r="C44" s="14">
        <v>41</v>
      </c>
      <c r="D44" s="14">
        <v>4</v>
      </c>
      <c r="E44" s="224"/>
      <c r="F44" s="224"/>
      <c r="G44" s="17"/>
      <c r="H44" s="16"/>
      <c r="I44" s="17"/>
      <c r="J44" s="17"/>
      <c r="K44" s="17"/>
      <c r="L44" s="17"/>
      <c r="M44" s="17"/>
      <c r="N44" s="17"/>
      <c r="O44" s="17"/>
      <c r="P44" s="17"/>
      <c r="Q44" s="17"/>
      <c r="R44" s="17"/>
      <c r="S44" s="17"/>
      <c r="T44" s="17"/>
      <c r="U44" s="17"/>
      <c r="V44" s="17"/>
    </row>
    <row r="45" spans="3:22" ht="15.75">
      <c r="C45" s="14">
        <v>42</v>
      </c>
      <c r="D45" s="14">
        <v>9</v>
      </c>
      <c r="E45" s="224"/>
      <c r="F45" s="224"/>
      <c r="G45" s="17"/>
      <c r="H45" s="16"/>
      <c r="I45" s="17"/>
      <c r="J45" s="17"/>
      <c r="K45" s="17"/>
      <c r="L45" s="17"/>
      <c r="M45" s="17"/>
      <c r="N45" s="17"/>
      <c r="O45" s="17"/>
      <c r="P45" s="17"/>
      <c r="Q45" s="17"/>
      <c r="R45" s="17"/>
      <c r="S45" s="17"/>
      <c r="T45" s="17"/>
      <c r="U45" s="17"/>
      <c r="V45" s="17"/>
    </row>
    <row r="46" spans="3:22" ht="15.75">
      <c r="C46" s="14">
        <v>43</v>
      </c>
      <c r="D46" s="14">
        <v>7</v>
      </c>
      <c r="E46" s="224"/>
      <c r="F46" s="224"/>
      <c r="G46" s="17"/>
      <c r="H46" s="16"/>
      <c r="I46" s="17"/>
      <c r="J46" s="17"/>
      <c r="K46" s="17"/>
      <c r="L46" s="17"/>
      <c r="M46" s="17"/>
      <c r="N46" s="17"/>
      <c r="O46" s="17"/>
      <c r="P46" s="17"/>
      <c r="Q46" s="17"/>
      <c r="R46" s="17"/>
      <c r="S46" s="17"/>
      <c r="T46" s="17"/>
      <c r="U46" s="17"/>
      <c r="V46" s="17"/>
    </row>
    <row r="47" spans="3:22" ht="15.75">
      <c r="C47" s="14">
        <v>44</v>
      </c>
      <c r="D47" s="14">
        <v>6</v>
      </c>
      <c r="E47" s="224"/>
      <c r="F47" s="224"/>
      <c r="G47" s="17"/>
      <c r="H47" s="16"/>
      <c r="I47" s="17"/>
      <c r="J47" s="17"/>
      <c r="K47" s="17"/>
      <c r="L47" s="17"/>
      <c r="M47" s="17"/>
      <c r="N47" s="17"/>
      <c r="O47" s="17"/>
      <c r="P47" s="17"/>
      <c r="Q47" s="17"/>
      <c r="R47" s="17"/>
      <c r="S47" s="17"/>
      <c r="T47" s="17"/>
      <c r="U47" s="17"/>
      <c r="V47" s="17"/>
    </row>
    <row r="48" spans="3:22" ht="15.75">
      <c r="C48" s="14">
        <v>45</v>
      </c>
      <c r="D48" s="14">
        <v>7</v>
      </c>
      <c r="E48" s="224"/>
      <c r="F48" s="224"/>
      <c r="G48" s="17"/>
      <c r="H48" s="16"/>
      <c r="I48" s="17"/>
      <c r="J48" s="17"/>
      <c r="K48" s="17"/>
      <c r="L48" s="17"/>
      <c r="M48" s="17"/>
      <c r="N48" s="17"/>
      <c r="O48" s="17"/>
      <c r="P48" s="17"/>
      <c r="Q48" s="17"/>
      <c r="R48" s="17"/>
      <c r="S48" s="17"/>
      <c r="T48" s="17"/>
      <c r="U48" s="17"/>
      <c r="V48" s="17"/>
    </row>
    <row r="49" spans="2:22" ht="15.75">
      <c r="C49" s="14">
        <v>46</v>
      </c>
      <c r="D49" s="14">
        <v>5</v>
      </c>
      <c r="E49" s="224"/>
      <c r="F49" s="224"/>
      <c r="G49" s="17"/>
      <c r="H49" s="16"/>
      <c r="I49" s="17"/>
      <c r="J49" s="17"/>
      <c r="K49" s="17"/>
      <c r="L49" s="17"/>
      <c r="M49" s="17"/>
      <c r="N49" s="17"/>
      <c r="O49" s="17"/>
      <c r="P49" s="17"/>
      <c r="Q49" s="17"/>
      <c r="R49" s="17"/>
      <c r="S49" s="17"/>
      <c r="T49" s="17"/>
      <c r="U49" s="17"/>
      <c r="V49" s="17"/>
    </row>
    <row r="50" spans="2:22" ht="15.75">
      <c r="C50" s="14">
        <v>47</v>
      </c>
      <c r="D50" s="14">
        <v>7</v>
      </c>
      <c r="E50" s="224"/>
      <c r="F50" s="224"/>
      <c r="G50" s="17"/>
      <c r="H50" s="16"/>
      <c r="I50" s="17"/>
      <c r="J50" s="17"/>
      <c r="K50" s="17"/>
      <c r="L50" s="17"/>
      <c r="M50" s="17"/>
      <c r="N50" s="17"/>
      <c r="O50" s="17"/>
      <c r="P50" s="17"/>
      <c r="Q50" s="17"/>
      <c r="R50" s="17"/>
      <c r="S50" s="17"/>
      <c r="T50" s="17"/>
      <c r="U50" s="17"/>
      <c r="V50" s="17"/>
    </row>
    <row r="51" spans="2:22" ht="15.75">
      <c r="C51" s="14">
        <v>48</v>
      </c>
      <c r="D51" s="14">
        <v>6</v>
      </c>
      <c r="E51" s="224"/>
      <c r="F51" s="224"/>
      <c r="G51" s="17"/>
      <c r="H51" s="16"/>
      <c r="I51" s="17"/>
      <c r="J51" s="17"/>
      <c r="K51" s="17"/>
      <c r="L51" s="17"/>
      <c r="M51" s="17"/>
      <c r="N51" s="17"/>
      <c r="O51" s="17"/>
      <c r="P51" s="17"/>
      <c r="Q51" s="17"/>
      <c r="R51" s="17"/>
      <c r="S51" s="17"/>
      <c r="T51" s="17"/>
      <c r="U51" s="17"/>
      <c r="V51" s="17"/>
    </row>
    <row r="52" spans="2:22" ht="15.75">
      <c r="C52" s="14">
        <v>49</v>
      </c>
      <c r="D52" s="14">
        <v>8</v>
      </c>
      <c r="E52" s="224"/>
      <c r="F52" s="224"/>
      <c r="G52" s="17"/>
      <c r="H52" s="16"/>
      <c r="I52" s="17"/>
      <c r="J52" s="17"/>
      <c r="K52" s="17"/>
      <c r="L52" s="17"/>
      <c r="M52" s="17"/>
      <c r="N52" s="17"/>
      <c r="O52" s="17"/>
      <c r="P52" s="17"/>
      <c r="Q52" s="17"/>
      <c r="R52" s="17"/>
      <c r="S52" s="17"/>
      <c r="T52" s="17"/>
      <c r="U52" s="17"/>
      <c r="V52" s="17"/>
    </row>
    <row r="53" spans="2:22" ht="15.75">
      <c r="C53" s="15">
        <v>50</v>
      </c>
      <c r="D53" s="15">
        <v>5</v>
      </c>
      <c r="E53" s="224"/>
      <c r="F53" s="224"/>
      <c r="G53" s="17"/>
      <c r="H53" s="16"/>
      <c r="I53" s="17"/>
      <c r="J53" s="17"/>
      <c r="K53" s="17"/>
      <c r="L53" s="17"/>
      <c r="M53" s="17"/>
      <c r="N53" s="17"/>
      <c r="O53" s="17"/>
      <c r="P53" s="17"/>
      <c r="Q53" s="17"/>
      <c r="R53" s="17"/>
      <c r="S53" s="17"/>
      <c r="T53" s="17"/>
      <c r="U53" s="17"/>
      <c r="V53" s="17"/>
    </row>
    <row r="54" spans="2:22" ht="18.75">
      <c r="C54" s="76" t="s">
        <v>70</v>
      </c>
      <c r="D54" s="75">
        <f>_xlfn.MODE.SNGL(D4:D53)</f>
        <v>7</v>
      </c>
      <c r="E54" s="75"/>
      <c r="F54" s="75"/>
      <c r="G54" s="25"/>
      <c r="H54" s="25"/>
      <c r="I54" s="25"/>
      <c r="J54" s="25"/>
      <c r="K54" s="25"/>
      <c r="L54" s="17"/>
      <c r="M54" s="17"/>
      <c r="N54" s="17"/>
      <c r="O54" s="17"/>
      <c r="P54" s="17"/>
      <c r="Q54" s="17"/>
      <c r="R54" s="17"/>
      <c r="S54" s="17"/>
      <c r="T54" s="17"/>
      <c r="U54" s="17"/>
      <c r="V54" s="17"/>
    </row>
    <row r="55" spans="2:22" ht="18.75">
      <c r="B55" s="4"/>
      <c r="C55" s="74" t="s">
        <v>82</v>
      </c>
      <c r="D55" s="25"/>
      <c r="E55" s="25"/>
      <c r="F55" s="25"/>
      <c r="G55" s="25"/>
      <c r="H55" s="25"/>
      <c r="I55" s="25"/>
      <c r="J55" s="25"/>
      <c r="K55" s="25"/>
      <c r="L55" s="17"/>
      <c r="M55" s="17"/>
      <c r="N55" s="17"/>
      <c r="O55" s="17"/>
      <c r="P55" s="17"/>
      <c r="Q55" s="17"/>
      <c r="R55" s="17"/>
      <c r="S55" s="17"/>
      <c r="T55" s="17"/>
      <c r="U55" s="17"/>
      <c r="V55" s="17"/>
    </row>
    <row r="56" spans="2:22" ht="18.75">
      <c r="B56" s="10"/>
      <c r="D56" s="74"/>
      <c r="E56" s="74"/>
      <c r="F56" s="74"/>
      <c r="G56" s="73"/>
      <c r="H56" s="25"/>
      <c r="I56" s="25"/>
      <c r="J56" s="25"/>
      <c r="K56" s="25"/>
      <c r="L56" s="17"/>
      <c r="M56" s="17"/>
      <c r="N56" s="17"/>
      <c r="O56" s="17"/>
      <c r="P56" s="17"/>
      <c r="Q56" s="17"/>
      <c r="R56" s="17"/>
      <c r="S56" s="17"/>
      <c r="T56" s="17"/>
      <c r="U56" s="17"/>
      <c r="V56" s="17"/>
    </row>
    <row r="57" spans="2:22" ht="18.75">
      <c r="B57" s="4"/>
      <c r="C57" s="75"/>
      <c r="D57" s="25"/>
      <c r="E57" s="25"/>
      <c r="F57" s="25"/>
      <c r="G57" s="25"/>
      <c r="H57" s="25"/>
      <c r="I57" s="25"/>
      <c r="J57" s="25"/>
      <c r="K57" s="25"/>
      <c r="L57" s="17"/>
      <c r="M57" s="17"/>
      <c r="N57" s="17"/>
      <c r="O57" s="17"/>
      <c r="P57" s="17"/>
      <c r="Q57" s="17"/>
      <c r="R57" s="17"/>
      <c r="S57" s="17"/>
      <c r="T57" s="17"/>
      <c r="U57" s="17"/>
      <c r="V57" s="17"/>
    </row>
    <row r="58" spans="2:22" ht="15.75">
      <c r="C58" s="17"/>
      <c r="D58" s="17"/>
      <c r="E58" s="17"/>
      <c r="F58" s="17"/>
      <c r="G58" s="17"/>
      <c r="H58" s="17"/>
      <c r="I58" s="17"/>
      <c r="J58" s="17"/>
      <c r="K58" s="17"/>
      <c r="L58" s="17"/>
      <c r="M58" s="17"/>
      <c r="N58" s="17"/>
      <c r="O58" s="17"/>
      <c r="P58" s="17"/>
      <c r="Q58" s="17"/>
      <c r="R58" s="17"/>
      <c r="S58" s="17"/>
      <c r="T58" s="17"/>
      <c r="U58" s="17"/>
      <c r="V58" s="17"/>
    </row>
  </sheetData>
  <mergeCells count="1">
    <mergeCell ref="B1:H1"/>
  </mergeCells>
  <phoneticPr fontId="1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L63"/>
  <sheetViews>
    <sheetView zoomScale="68" zoomScaleNormal="68" workbookViewId="0">
      <selection activeCell="M10" sqref="M10"/>
    </sheetView>
  </sheetViews>
  <sheetFormatPr defaultRowHeight="15"/>
  <cols>
    <col min="2" max="2" width="14.7109375" customWidth="1"/>
    <col min="3" max="3" width="20.5703125" customWidth="1"/>
    <col min="4" max="4" width="8.85546875" customWidth="1"/>
    <col min="5" max="5" width="13.42578125" customWidth="1"/>
    <col min="8" max="9" width="15.42578125" customWidth="1"/>
  </cols>
  <sheetData>
    <row r="1" spans="2:12" ht="28.5">
      <c r="B1" s="217" t="s">
        <v>238</v>
      </c>
      <c r="C1" s="217"/>
      <c r="D1" s="217"/>
      <c r="E1" s="217"/>
      <c r="F1" s="217"/>
    </row>
    <row r="2" spans="2:12" ht="28.5">
      <c r="B2" s="5"/>
      <c r="C2" s="5"/>
      <c r="D2" s="5"/>
      <c r="E2" s="5"/>
      <c r="F2" s="5"/>
      <c r="G2" s="76" t="s">
        <v>116</v>
      </c>
      <c r="H2" s="26" t="s">
        <v>115</v>
      </c>
      <c r="I2" s="26"/>
      <c r="J2" s="26"/>
      <c r="K2" s="26"/>
      <c r="L2" s="25"/>
    </row>
    <row r="3" spans="2:12" ht="28.5">
      <c r="B3" s="33" t="s">
        <v>85</v>
      </c>
      <c r="C3" s="34" t="s">
        <v>0</v>
      </c>
      <c r="D3" s="33" t="s">
        <v>85</v>
      </c>
      <c r="E3" s="34" t="s">
        <v>0</v>
      </c>
      <c r="G3" s="76"/>
      <c r="H3" s="26"/>
      <c r="I3" s="26"/>
      <c r="J3" s="26"/>
      <c r="K3" s="26"/>
      <c r="L3" s="25"/>
    </row>
    <row r="4" spans="2:12" ht="33.75" customHeight="1">
      <c r="B4" s="35">
        <v>1</v>
      </c>
      <c r="C4" s="36">
        <v>7</v>
      </c>
      <c r="D4" s="37">
        <v>61</v>
      </c>
      <c r="E4" s="37">
        <v>4</v>
      </c>
      <c r="G4" s="17"/>
      <c r="H4" s="82" t="s">
        <v>114</v>
      </c>
      <c r="I4" s="44" t="s">
        <v>3</v>
      </c>
      <c r="J4" s="9" t="s">
        <v>4</v>
      </c>
      <c r="K4" s="17"/>
      <c r="L4" s="17"/>
    </row>
    <row r="5" spans="2:12" ht="20.25" customHeight="1">
      <c r="B5" s="37">
        <v>2</v>
      </c>
      <c r="C5" s="38">
        <v>5</v>
      </c>
      <c r="D5" s="37">
        <v>62</v>
      </c>
      <c r="E5" s="37">
        <v>3</v>
      </c>
      <c r="G5" s="17"/>
      <c r="H5" s="45">
        <v>1</v>
      </c>
      <c r="I5" s="45">
        <v>3</v>
      </c>
      <c r="J5" s="22">
        <f t="shared" ref="J5:J14" si="0">I5*H5</f>
        <v>3</v>
      </c>
      <c r="K5" s="17"/>
      <c r="L5" s="17"/>
    </row>
    <row r="6" spans="2:12" ht="15.75">
      <c r="B6" s="37">
        <v>3</v>
      </c>
      <c r="C6" s="38">
        <v>1</v>
      </c>
      <c r="D6" s="37">
        <v>63</v>
      </c>
      <c r="E6" s="37">
        <v>6</v>
      </c>
      <c r="G6" s="17"/>
      <c r="H6" s="22">
        <v>2</v>
      </c>
      <c r="I6" s="22">
        <v>9</v>
      </c>
      <c r="J6" s="22">
        <f t="shared" si="0"/>
        <v>18</v>
      </c>
      <c r="K6" s="17"/>
      <c r="L6" s="17"/>
    </row>
    <row r="7" spans="2:12" ht="15.75">
      <c r="B7" s="37">
        <v>4</v>
      </c>
      <c r="C7" s="38">
        <v>9</v>
      </c>
      <c r="D7" s="37">
        <v>64</v>
      </c>
      <c r="E7" s="37">
        <v>4</v>
      </c>
      <c r="G7" s="17"/>
      <c r="H7" s="22">
        <v>3</v>
      </c>
      <c r="I7" s="22">
        <v>13</v>
      </c>
      <c r="J7" s="22">
        <f t="shared" si="0"/>
        <v>39</v>
      </c>
      <c r="K7" s="17"/>
      <c r="L7" s="17"/>
    </row>
    <row r="8" spans="2:12" ht="15.75">
      <c r="B8" s="37">
        <v>5</v>
      </c>
      <c r="C8" s="38">
        <v>6</v>
      </c>
      <c r="D8" s="37">
        <v>65</v>
      </c>
      <c r="E8" s="37">
        <v>2</v>
      </c>
      <c r="G8" s="17"/>
      <c r="H8" s="22">
        <v>4</v>
      </c>
      <c r="I8" s="22">
        <v>17</v>
      </c>
      <c r="J8" s="22">
        <f t="shared" si="0"/>
        <v>68</v>
      </c>
      <c r="K8" s="17"/>
      <c r="L8" s="17"/>
    </row>
    <row r="9" spans="2:12" ht="15.75">
      <c r="B9" s="37">
        <v>6</v>
      </c>
      <c r="C9" s="38">
        <v>6</v>
      </c>
      <c r="D9" s="37">
        <v>66</v>
      </c>
      <c r="E9" s="37">
        <v>5</v>
      </c>
      <c r="G9" s="17"/>
      <c r="H9" s="22">
        <v>5</v>
      </c>
      <c r="I9" s="22">
        <v>21</v>
      </c>
      <c r="J9" s="22">
        <f t="shared" si="0"/>
        <v>105</v>
      </c>
      <c r="K9" s="17"/>
      <c r="L9" s="17"/>
    </row>
    <row r="10" spans="2:12" ht="15.75">
      <c r="B10" s="37">
        <v>7</v>
      </c>
      <c r="C10" s="38">
        <v>5</v>
      </c>
      <c r="D10" s="37">
        <v>67</v>
      </c>
      <c r="E10" s="37">
        <v>2</v>
      </c>
      <c r="G10" s="17"/>
      <c r="H10" s="22">
        <v>6</v>
      </c>
      <c r="I10" s="22">
        <v>20</v>
      </c>
      <c r="J10" s="22">
        <f t="shared" si="0"/>
        <v>120</v>
      </c>
      <c r="K10" s="17"/>
      <c r="L10" s="17"/>
    </row>
    <row r="11" spans="2:12" ht="15.75">
      <c r="B11" s="37">
        <v>8</v>
      </c>
      <c r="C11" s="38">
        <v>6</v>
      </c>
      <c r="D11" s="37">
        <v>68</v>
      </c>
      <c r="E11" s="37">
        <v>7</v>
      </c>
      <c r="G11" s="17"/>
      <c r="H11" s="22">
        <v>7</v>
      </c>
      <c r="I11" s="22">
        <v>15</v>
      </c>
      <c r="J11" s="22">
        <f t="shared" si="0"/>
        <v>105</v>
      </c>
      <c r="K11" s="17"/>
      <c r="L11" s="17"/>
    </row>
    <row r="12" spans="2:12" ht="15.75">
      <c r="B12" s="37">
        <v>9</v>
      </c>
      <c r="C12" s="38">
        <v>9</v>
      </c>
      <c r="D12" s="37">
        <v>69</v>
      </c>
      <c r="E12" s="37">
        <v>5</v>
      </c>
      <c r="G12" s="17"/>
      <c r="H12" s="22">
        <v>8</v>
      </c>
      <c r="I12" s="22">
        <v>11</v>
      </c>
      <c r="J12" s="22">
        <f t="shared" si="0"/>
        <v>88</v>
      </c>
      <c r="K12" s="17"/>
      <c r="L12" s="17"/>
    </row>
    <row r="13" spans="2:12" ht="15.75">
      <c r="B13" s="37">
        <v>10</v>
      </c>
      <c r="C13" s="38">
        <v>6</v>
      </c>
      <c r="D13" s="37">
        <v>70</v>
      </c>
      <c r="E13" s="37">
        <v>4</v>
      </c>
      <c r="G13" s="17"/>
      <c r="H13" s="22">
        <v>9</v>
      </c>
      <c r="I13" s="22">
        <v>7</v>
      </c>
      <c r="J13" s="22">
        <f t="shared" si="0"/>
        <v>63</v>
      </c>
      <c r="K13" s="17"/>
      <c r="L13" s="17"/>
    </row>
    <row r="14" spans="2:12" ht="15.75">
      <c r="B14" s="37">
        <v>11</v>
      </c>
      <c r="C14" s="38">
        <v>7</v>
      </c>
      <c r="D14" s="37">
        <v>71</v>
      </c>
      <c r="E14" s="37">
        <v>4</v>
      </c>
      <c r="G14" s="17"/>
      <c r="H14" s="22">
        <v>10</v>
      </c>
      <c r="I14" s="46">
        <v>4</v>
      </c>
      <c r="J14" s="46">
        <f t="shared" si="0"/>
        <v>40</v>
      </c>
      <c r="K14" s="17"/>
      <c r="L14" s="17"/>
    </row>
    <row r="15" spans="2:12" ht="15.75">
      <c r="B15" s="37">
        <v>12</v>
      </c>
      <c r="C15" s="38">
        <v>6</v>
      </c>
      <c r="D15" s="37">
        <v>72</v>
      </c>
      <c r="E15" s="37">
        <v>4</v>
      </c>
      <c r="G15" s="17"/>
      <c r="H15" s="21" t="s">
        <v>1</v>
      </c>
      <c r="I15" s="21">
        <v>120</v>
      </c>
      <c r="J15" s="21">
        <f>SUM(J5:J14)</f>
        <v>649</v>
      </c>
      <c r="K15" s="17"/>
      <c r="L15" s="17"/>
    </row>
    <row r="16" spans="2:12" ht="15.75">
      <c r="B16" s="37">
        <v>13</v>
      </c>
      <c r="C16" s="37">
        <v>1</v>
      </c>
      <c r="D16" s="37">
        <v>73</v>
      </c>
      <c r="E16" s="37">
        <v>5</v>
      </c>
      <c r="G16" s="17"/>
      <c r="H16" s="19" t="s">
        <v>74</v>
      </c>
      <c r="I16" s="19">
        <v>10</v>
      </c>
      <c r="J16" s="17"/>
      <c r="K16" s="17"/>
      <c r="L16" s="17"/>
    </row>
    <row r="17" spans="2:12" ht="15.75">
      <c r="B17" s="37">
        <v>14</v>
      </c>
      <c r="C17" s="37">
        <v>6</v>
      </c>
      <c r="D17" s="37">
        <v>74</v>
      </c>
      <c r="E17" s="37">
        <v>3</v>
      </c>
      <c r="G17" s="17"/>
      <c r="H17" s="19" t="s">
        <v>75</v>
      </c>
      <c r="I17" s="19">
        <v>1</v>
      </c>
      <c r="J17" s="17"/>
      <c r="K17" s="17"/>
      <c r="L17" s="17"/>
    </row>
    <row r="18" spans="2:12" ht="15.75">
      <c r="B18" s="37">
        <v>15</v>
      </c>
      <c r="C18" s="37">
        <v>6</v>
      </c>
      <c r="D18" s="37">
        <v>75</v>
      </c>
      <c r="E18" s="37">
        <v>7</v>
      </c>
      <c r="G18" s="17"/>
      <c r="H18" s="19" t="s">
        <v>113</v>
      </c>
      <c r="I18" s="19">
        <f>I16-I17</f>
        <v>9</v>
      </c>
      <c r="J18" s="17"/>
      <c r="K18" s="17"/>
      <c r="L18" s="17"/>
    </row>
    <row r="19" spans="2:12" ht="31.5" customHeight="1">
      <c r="B19" s="37">
        <v>16</v>
      </c>
      <c r="C19" s="37">
        <v>3</v>
      </c>
      <c r="D19" s="37">
        <v>76</v>
      </c>
      <c r="E19" s="37">
        <v>7</v>
      </c>
      <c r="G19" s="17"/>
      <c r="H19" s="83" t="s">
        <v>144</v>
      </c>
      <c r="I19" s="19">
        <f>(I16-I17)/(I16+I17)</f>
        <v>0.81818181818181823</v>
      </c>
      <c r="J19" s="17"/>
      <c r="K19" s="17"/>
      <c r="L19" s="17"/>
    </row>
    <row r="20" spans="2:12" ht="28.5" customHeight="1">
      <c r="B20" s="37">
        <v>17</v>
      </c>
      <c r="C20" s="37">
        <v>9</v>
      </c>
      <c r="D20" s="37">
        <v>77</v>
      </c>
      <c r="E20" s="37">
        <v>4</v>
      </c>
      <c r="G20" s="17"/>
      <c r="H20" s="207" t="s">
        <v>46</v>
      </c>
      <c r="I20" s="208"/>
      <c r="J20" s="17"/>
      <c r="K20" s="17"/>
      <c r="L20" s="17"/>
    </row>
    <row r="21" spans="2:12" ht="15.75">
      <c r="B21" s="37">
        <v>18</v>
      </c>
      <c r="C21" s="37">
        <v>8</v>
      </c>
      <c r="D21" s="37">
        <v>78</v>
      </c>
      <c r="E21" s="37">
        <v>4</v>
      </c>
      <c r="G21" s="17"/>
      <c r="H21" s="19" t="s">
        <v>8</v>
      </c>
      <c r="I21" s="19">
        <f>I15/4</f>
        <v>30</v>
      </c>
      <c r="J21" s="17"/>
      <c r="K21" s="17"/>
      <c r="L21" s="17"/>
    </row>
    <row r="22" spans="2:12" ht="18.75">
      <c r="B22" s="37">
        <v>19</v>
      </c>
      <c r="C22" s="37">
        <v>6</v>
      </c>
      <c r="D22" s="37">
        <v>79</v>
      </c>
      <c r="E22" s="37">
        <v>5</v>
      </c>
      <c r="G22" s="17"/>
      <c r="H22" s="19" t="s">
        <v>87</v>
      </c>
      <c r="I22" s="19">
        <v>3</v>
      </c>
      <c r="J22" s="17"/>
      <c r="K22" s="17"/>
      <c r="L22" s="17"/>
    </row>
    <row r="23" spans="2:12" ht="18">
      <c r="B23" s="37">
        <v>20</v>
      </c>
      <c r="C23" s="37">
        <v>4</v>
      </c>
      <c r="D23" s="37">
        <v>80</v>
      </c>
      <c r="E23" s="37">
        <v>5</v>
      </c>
      <c r="G23" s="17"/>
      <c r="H23" s="207" t="s">
        <v>48</v>
      </c>
      <c r="I23" s="208"/>
      <c r="J23" s="17"/>
      <c r="K23" s="17"/>
      <c r="L23" s="17"/>
    </row>
    <row r="24" spans="2:12" ht="15.75">
      <c r="B24" s="37">
        <v>21</v>
      </c>
      <c r="C24" s="37">
        <v>8</v>
      </c>
      <c r="D24" s="39">
        <v>81</v>
      </c>
      <c r="E24" s="40">
        <v>3</v>
      </c>
      <c r="G24" s="17"/>
      <c r="H24" s="19" t="s">
        <v>11</v>
      </c>
      <c r="I24" s="19">
        <f>2*I15/4</f>
        <v>60</v>
      </c>
      <c r="J24" s="17"/>
      <c r="K24" s="17"/>
      <c r="L24" s="17"/>
    </row>
    <row r="25" spans="2:12" ht="18.75">
      <c r="B25" s="37">
        <v>22</v>
      </c>
      <c r="C25" s="37">
        <v>7</v>
      </c>
      <c r="D25" s="37">
        <v>82</v>
      </c>
      <c r="E25" s="37">
        <v>7</v>
      </c>
      <c r="G25" s="17"/>
      <c r="H25" s="19" t="s">
        <v>88</v>
      </c>
      <c r="I25" s="19">
        <v>4</v>
      </c>
      <c r="J25" s="17"/>
      <c r="K25" s="17"/>
      <c r="L25" s="17"/>
    </row>
    <row r="26" spans="2:12" ht="15.75">
      <c r="B26" s="37">
        <v>23</v>
      </c>
      <c r="C26" s="37">
        <v>9</v>
      </c>
      <c r="D26" s="37">
        <v>83</v>
      </c>
      <c r="E26" s="37">
        <v>6</v>
      </c>
      <c r="G26" s="17"/>
      <c r="H26" s="207" t="s">
        <v>12</v>
      </c>
      <c r="I26" s="208"/>
      <c r="J26" s="17"/>
      <c r="K26" s="17"/>
      <c r="L26" s="17"/>
    </row>
    <row r="27" spans="2:12" ht="15.75">
      <c r="B27" s="37">
        <v>24</v>
      </c>
      <c r="C27" s="37">
        <v>5</v>
      </c>
      <c r="D27" s="37">
        <v>84</v>
      </c>
      <c r="E27" s="37">
        <v>8</v>
      </c>
      <c r="G27" s="17"/>
      <c r="H27" s="19" t="s">
        <v>13</v>
      </c>
      <c r="I27" s="19">
        <f>3*I15/4</f>
        <v>90</v>
      </c>
      <c r="J27" s="17"/>
      <c r="K27" s="17"/>
      <c r="L27" s="17"/>
    </row>
    <row r="28" spans="2:12" ht="18.75">
      <c r="B28" s="37">
        <v>25</v>
      </c>
      <c r="C28" s="37">
        <v>7</v>
      </c>
      <c r="D28" s="37">
        <v>85</v>
      </c>
      <c r="E28" s="37">
        <v>2</v>
      </c>
      <c r="G28" s="17"/>
      <c r="H28" s="19" t="s">
        <v>89</v>
      </c>
      <c r="I28" s="19">
        <v>5</v>
      </c>
      <c r="J28" s="17"/>
      <c r="K28" s="17"/>
      <c r="L28" s="17"/>
    </row>
    <row r="29" spans="2:12" ht="31.5" customHeight="1">
      <c r="B29" s="37">
        <v>26</v>
      </c>
      <c r="C29" s="37">
        <v>3</v>
      </c>
      <c r="D29" s="37">
        <v>86</v>
      </c>
      <c r="E29" s="37">
        <v>5</v>
      </c>
      <c r="G29" s="17"/>
      <c r="H29" s="83" t="s">
        <v>143</v>
      </c>
      <c r="I29" s="19">
        <f>(I28-I22)/2</f>
        <v>1</v>
      </c>
      <c r="J29" s="17"/>
      <c r="K29" s="17"/>
      <c r="L29" s="17"/>
    </row>
    <row r="30" spans="2:12" ht="30.75" customHeight="1">
      <c r="B30" s="37">
        <v>27</v>
      </c>
      <c r="C30" s="37">
        <v>7</v>
      </c>
      <c r="D30" s="37">
        <v>87</v>
      </c>
      <c r="E30" s="37">
        <v>2</v>
      </c>
      <c r="G30" s="17"/>
      <c r="H30" s="83" t="s">
        <v>145</v>
      </c>
      <c r="I30" s="19">
        <f>(I28-I22)/(I28+I22)</f>
        <v>0.25</v>
      </c>
      <c r="J30" s="17"/>
      <c r="K30" s="17"/>
      <c r="L30" s="17"/>
    </row>
    <row r="31" spans="2:12">
      <c r="B31" s="37">
        <v>28</v>
      </c>
      <c r="C31" s="37">
        <v>9</v>
      </c>
      <c r="D31" s="37">
        <v>88</v>
      </c>
      <c r="E31" s="37">
        <v>5</v>
      </c>
      <c r="H31" s="133"/>
      <c r="I31" s="133"/>
    </row>
    <row r="32" spans="2:12">
      <c r="B32" s="37">
        <v>29</v>
      </c>
      <c r="C32" s="37">
        <v>6</v>
      </c>
      <c r="D32" s="37">
        <v>89</v>
      </c>
      <c r="E32" s="37">
        <v>9</v>
      </c>
    </row>
    <row r="33" spans="2:5">
      <c r="B33" s="37">
        <v>30</v>
      </c>
      <c r="C33" s="37">
        <v>6</v>
      </c>
      <c r="D33" s="37">
        <v>90</v>
      </c>
      <c r="E33" s="37">
        <v>8</v>
      </c>
    </row>
    <row r="34" spans="2:5">
      <c r="B34" s="37">
        <v>31</v>
      </c>
      <c r="C34" s="37">
        <v>2</v>
      </c>
      <c r="D34" s="37">
        <v>91</v>
      </c>
      <c r="E34" s="37">
        <v>3</v>
      </c>
    </row>
    <row r="35" spans="2:5">
      <c r="B35" s="37">
        <v>32</v>
      </c>
      <c r="C35" s="37">
        <v>8</v>
      </c>
      <c r="D35" s="37">
        <v>92</v>
      </c>
      <c r="E35" s="37">
        <v>5</v>
      </c>
    </row>
    <row r="36" spans="2:5">
      <c r="B36" s="37">
        <v>33</v>
      </c>
      <c r="C36" s="37">
        <v>3</v>
      </c>
      <c r="D36" s="37">
        <v>93</v>
      </c>
      <c r="E36" s="37">
        <v>4</v>
      </c>
    </row>
    <row r="37" spans="2:5">
      <c r="B37" s="37">
        <v>34</v>
      </c>
      <c r="C37" s="37">
        <v>8</v>
      </c>
      <c r="D37" s="37">
        <v>94</v>
      </c>
      <c r="E37" s="37">
        <v>2</v>
      </c>
    </row>
    <row r="38" spans="2:5">
      <c r="B38" s="37">
        <v>35</v>
      </c>
      <c r="C38" s="37">
        <v>5</v>
      </c>
      <c r="D38" s="37">
        <v>95</v>
      </c>
      <c r="E38" s="37">
        <v>5</v>
      </c>
    </row>
    <row r="39" spans="2:5">
      <c r="B39" s="37">
        <v>36</v>
      </c>
      <c r="C39" s="37">
        <v>6</v>
      </c>
      <c r="D39" s="37">
        <v>96</v>
      </c>
      <c r="E39" s="37">
        <v>2</v>
      </c>
    </row>
    <row r="40" spans="2:5">
      <c r="B40" s="37">
        <v>37</v>
      </c>
      <c r="C40" s="37">
        <v>8</v>
      </c>
      <c r="D40" s="37">
        <v>97</v>
      </c>
      <c r="E40" s="37">
        <v>5</v>
      </c>
    </row>
    <row r="41" spans="2:5">
      <c r="B41" s="37">
        <v>38</v>
      </c>
      <c r="C41" s="37">
        <v>3</v>
      </c>
      <c r="D41" s="37">
        <v>98</v>
      </c>
      <c r="E41" s="37">
        <v>5</v>
      </c>
    </row>
    <row r="42" spans="2:5">
      <c r="B42" s="37">
        <v>39</v>
      </c>
      <c r="C42" s="37">
        <v>9</v>
      </c>
      <c r="D42" s="37">
        <v>99</v>
      </c>
      <c r="E42" s="37">
        <v>2</v>
      </c>
    </row>
    <row r="43" spans="2:5">
      <c r="B43" s="37">
        <v>40</v>
      </c>
      <c r="C43" s="37">
        <v>6</v>
      </c>
      <c r="D43" s="37">
        <v>100</v>
      </c>
      <c r="E43" s="37">
        <v>7</v>
      </c>
    </row>
    <row r="44" spans="2:5">
      <c r="B44" s="40">
        <v>41</v>
      </c>
      <c r="C44" s="40">
        <v>7</v>
      </c>
      <c r="D44" s="37">
        <v>101</v>
      </c>
      <c r="E44" s="41">
        <v>1</v>
      </c>
    </row>
    <row r="45" spans="2:5">
      <c r="B45" s="37">
        <v>42</v>
      </c>
      <c r="C45" s="37">
        <v>5</v>
      </c>
      <c r="D45" s="37">
        <v>102</v>
      </c>
      <c r="E45" s="37">
        <v>10</v>
      </c>
    </row>
    <row r="46" spans="2:5">
      <c r="B46" s="37">
        <v>43</v>
      </c>
      <c r="C46" s="37">
        <v>6</v>
      </c>
      <c r="D46" s="37">
        <v>103</v>
      </c>
      <c r="E46" s="37">
        <v>7</v>
      </c>
    </row>
    <row r="47" spans="2:5">
      <c r="B47" s="37">
        <v>44</v>
      </c>
      <c r="C47" s="37">
        <v>2</v>
      </c>
      <c r="D47" s="37">
        <v>104</v>
      </c>
      <c r="E47" s="37">
        <v>4</v>
      </c>
    </row>
    <row r="48" spans="2:5">
      <c r="B48" s="37">
        <v>45</v>
      </c>
      <c r="C48" s="37">
        <v>5</v>
      </c>
      <c r="D48" s="37">
        <v>105</v>
      </c>
      <c r="E48" s="37">
        <v>4</v>
      </c>
    </row>
    <row r="49" spans="2:5">
      <c r="B49" s="37">
        <v>46</v>
      </c>
      <c r="C49" s="37">
        <v>4</v>
      </c>
      <c r="D49" s="37">
        <v>106</v>
      </c>
      <c r="E49" s="37">
        <v>10</v>
      </c>
    </row>
    <row r="50" spans="2:5">
      <c r="B50" s="37">
        <v>47</v>
      </c>
      <c r="C50" s="37">
        <v>6</v>
      </c>
      <c r="D50" s="37">
        <v>107</v>
      </c>
      <c r="E50" s="37">
        <v>7</v>
      </c>
    </row>
    <row r="51" spans="2:5">
      <c r="B51" s="37">
        <v>48</v>
      </c>
      <c r="C51" s="37">
        <v>7</v>
      </c>
      <c r="D51" s="37">
        <v>108</v>
      </c>
      <c r="E51" s="37">
        <v>5</v>
      </c>
    </row>
    <row r="52" spans="2:5">
      <c r="B52" s="37">
        <v>49</v>
      </c>
      <c r="C52" s="37">
        <v>4</v>
      </c>
      <c r="D52" s="37">
        <v>109</v>
      </c>
      <c r="E52" s="37">
        <v>10</v>
      </c>
    </row>
    <row r="53" spans="2:5">
      <c r="B53" s="37">
        <v>50</v>
      </c>
      <c r="C53" s="37">
        <v>4</v>
      </c>
      <c r="D53" s="37">
        <v>110</v>
      </c>
      <c r="E53" s="37">
        <v>4</v>
      </c>
    </row>
    <row r="54" spans="2:5">
      <c r="B54" s="37">
        <v>51</v>
      </c>
      <c r="C54" s="37">
        <v>7</v>
      </c>
      <c r="D54" s="37">
        <v>111</v>
      </c>
      <c r="E54" s="37">
        <v>8</v>
      </c>
    </row>
    <row r="55" spans="2:5">
      <c r="B55" s="37">
        <v>52</v>
      </c>
      <c r="C55" s="37">
        <v>5</v>
      </c>
      <c r="D55" s="37">
        <v>112</v>
      </c>
      <c r="E55" s="37">
        <v>8</v>
      </c>
    </row>
    <row r="56" spans="2:5">
      <c r="B56" s="37">
        <v>53</v>
      </c>
      <c r="C56" s="37">
        <v>4</v>
      </c>
      <c r="D56" s="37">
        <v>113</v>
      </c>
      <c r="E56" s="37">
        <v>6</v>
      </c>
    </row>
    <row r="57" spans="2:5">
      <c r="B57" s="37">
        <v>54</v>
      </c>
      <c r="C57" s="37">
        <v>8</v>
      </c>
      <c r="D57" s="37">
        <v>114</v>
      </c>
      <c r="E57" s="37">
        <v>3</v>
      </c>
    </row>
    <row r="58" spans="2:5">
      <c r="B58" s="37">
        <v>55</v>
      </c>
      <c r="C58" s="37">
        <v>8</v>
      </c>
      <c r="D58" s="37">
        <v>115</v>
      </c>
      <c r="E58" s="37">
        <v>6</v>
      </c>
    </row>
    <row r="59" spans="2:5">
      <c r="B59" s="37">
        <v>56</v>
      </c>
      <c r="C59" s="37">
        <v>6</v>
      </c>
      <c r="D59" s="37">
        <v>116</v>
      </c>
      <c r="E59" s="37">
        <v>3</v>
      </c>
    </row>
    <row r="60" spans="2:5">
      <c r="B60" s="37">
        <v>57</v>
      </c>
      <c r="C60" s="37">
        <v>3</v>
      </c>
      <c r="D60" s="37">
        <v>117</v>
      </c>
      <c r="E60" s="37">
        <v>5</v>
      </c>
    </row>
    <row r="61" spans="2:5">
      <c r="B61" s="37">
        <v>58</v>
      </c>
      <c r="C61" s="37">
        <v>6</v>
      </c>
      <c r="D61" s="37">
        <v>118</v>
      </c>
      <c r="E61" s="37">
        <v>4</v>
      </c>
    </row>
    <row r="62" spans="2:5">
      <c r="B62" s="37">
        <v>59</v>
      </c>
      <c r="C62" s="37">
        <v>3</v>
      </c>
      <c r="D62" s="37">
        <v>119</v>
      </c>
      <c r="E62" s="37">
        <v>3</v>
      </c>
    </row>
    <row r="63" spans="2:5">
      <c r="B63" s="42">
        <v>60</v>
      </c>
      <c r="C63" s="42">
        <v>5</v>
      </c>
      <c r="D63" s="43">
        <v>120</v>
      </c>
      <c r="E63" s="43">
        <v>10</v>
      </c>
    </row>
  </sheetData>
  <mergeCells count="4">
    <mergeCell ref="H20:I20"/>
    <mergeCell ref="H23:I23"/>
    <mergeCell ref="H26:I26"/>
    <mergeCell ref="B1:F1"/>
  </mergeCells>
  <phoneticPr fontId="15"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B4540-8692-434A-840B-C1F9BB1744E6}">
  <dimension ref="A1:P33"/>
  <sheetViews>
    <sheetView zoomScale="75" zoomScaleNormal="75" workbookViewId="0">
      <selection activeCell="K4" sqref="K4"/>
    </sheetView>
  </sheetViews>
  <sheetFormatPr defaultRowHeight="15"/>
  <cols>
    <col min="2" max="2" width="30.7109375" customWidth="1"/>
    <col min="3" max="3" width="18.7109375" customWidth="1"/>
    <col min="5" max="5" width="13.5703125" customWidth="1"/>
    <col min="6" max="6" width="11.85546875" customWidth="1"/>
    <col min="7" max="7" width="15.28515625" customWidth="1"/>
    <col min="11" max="11" width="14.7109375" customWidth="1"/>
    <col min="14" max="14" width="13.42578125" customWidth="1"/>
  </cols>
  <sheetData>
    <row r="1" spans="1:16" ht="26.25">
      <c r="A1" s="206" t="s">
        <v>146</v>
      </c>
      <c r="B1" s="206"/>
      <c r="C1" s="206"/>
      <c r="D1" s="206"/>
      <c r="E1" s="206"/>
    </row>
    <row r="2" spans="1:16" ht="18.75">
      <c r="A2" s="19" t="s">
        <v>117</v>
      </c>
      <c r="B2" s="17" t="s">
        <v>142</v>
      </c>
      <c r="C2" s="17"/>
      <c r="D2" s="17"/>
      <c r="E2" s="17"/>
      <c r="F2" s="17"/>
      <c r="G2" s="17"/>
      <c r="H2" s="17"/>
      <c r="I2" s="17"/>
      <c r="J2" s="17"/>
      <c r="K2" s="17"/>
      <c r="L2" s="17"/>
      <c r="M2" s="17"/>
      <c r="N2" s="17"/>
      <c r="O2" s="17"/>
      <c r="P2" s="17"/>
    </row>
    <row r="3" spans="1:16" ht="24.75" customHeight="1">
      <c r="A3" s="17"/>
      <c r="B3" s="225" t="s">
        <v>114</v>
      </c>
      <c r="C3" s="9" t="s">
        <v>3</v>
      </c>
      <c r="D3" s="9" t="s">
        <v>4</v>
      </c>
      <c r="E3" s="45" t="s">
        <v>118</v>
      </c>
      <c r="F3" s="21" t="s">
        <v>119</v>
      </c>
      <c r="G3" s="45" t="s">
        <v>120</v>
      </c>
      <c r="H3" s="17"/>
      <c r="I3" s="17"/>
      <c r="J3" s="17"/>
    </row>
    <row r="4" spans="1:16" ht="15.75">
      <c r="A4" s="17"/>
      <c r="B4" s="45">
        <v>1</v>
      </c>
      <c r="C4" s="45">
        <v>3</v>
      </c>
      <c r="D4" s="84">
        <f t="shared" ref="D4:D13" si="0">C4*B4</f>
        <v>3</v>
      </c>
      <c r="E4" s="86">
        <f>B4-$C$15</f>
        <v>-4.4083333333333332</v>
      </c>
      <c r="F4" s="87">
        <v>4.4083300000000003</v>
      </c>
      <c r="G4" s="86">
        <f t="shared" ref="G4:G13" si="1">C4*F4</f>
        <v>13.224990000000002</v>
      </c>
      <c r="H4" s="17"/>
      <c r="I4" s="17"/>
      <c r="J4" s="17"/>
    </row>
    <row r="5" spans="1:16" ht="15.75">
      <c r="A5" s="17"/>
      <c r="B5" s="22">
        <v>2</v>
      </c>
      <c r="C5" s="22">
        <v>9</v>
      </c>
      <c r="D5" s="84">
        <f t="shared" si="0"/>
        <v>18</v>
      </c>
      <c r="E5" s="88">
        <f>B5-$C$15</f>
        <v>-3.4083333333333332</v>
      </c>
      <c r="F5" s="89">
        <v>3.4083299999999999</v>
      </c>
      <c r="G5" s="88">
        <f t="shared" si="1"/>
        <v>30.674969999999998</v>
      </c>
      <c r="H5" s="17"/>
      <c r="I5" s="17"/>
      <c r="J5" s="17"/>
    </row>
    <row r="6" spans="1:16" ht="15.75">
      <c r="A6" s="17"/>
      <c r="B6" s="22">
        <v>3</v>
      </c>
      <c r="C6" s="22">
        <v>13</v>
      </c>
      <c r="D6" s="84">
        <f t="shared" si="0"/>
        <v>39</v>
      </c>
      <c r="E6" s="88">
        <f>B6-$C$15</f>
        <v>-2.4083333333333332</v>
      </c>
      <c r="F6" s="89">
        <v>2.4083299999999999</v>
      </c>
      <c r="G6" s="88">
        <f t="shared" si="1"/>
        <v>31.30829</v>
      </c>
      <c r="H6" s="17"/>
      <c r="I6" s="17"/>
      <c r="J6" s="17"/>
    </row>
    <row r="7" spans="1:16" ht="15.75">
      <c r="A7" s="17"/>
      <c r="B7" s="22">
        <v>4</v>
      </c>
      <c r="C7" s="22">
        <v>17</v>
      </c>
      <c r="D7" s="84">
        <f t="shared" si="0"/>
        <v>68</v>
      </c>
      <c r="E7" s="88">
        <f>B7-$C$15</f>
        <v>-1.4083333333333332</v>
      </c>
      <c r="F7" s="89">
        <v>1.4083300000000001</v>
      </c>
      <c r="G7" s="88">
        <f t="shared" si="1"/>
        <v>23.941610000000001</v>
      </c>
      <c r="H7" s="17"/>
      <c r="I7" s="17"/>
      <c r="J7" s="17"/>
    </row>
    <row r="8" spans="1:16" ht="15.75">
      <c r="A8" s="17"/>
      <c r="B8" s="22">
        <v>5</v>
      </c>
      <c r="C8" s="22">
        <v>21</v>
      </c>
      <c r="D8" s="84">
        <f t="shared" si="0"/>
        <v>105</v>
      </c>
      <c r="E8" s="88">
        <v>0.40833000000000003</v>
      </c>
      <c r="F8" s="89">
        <v>0.40833000000000003</v>
      </c>
      <c r="G8" s="88">
        <f t="shared" si="1"/>
        <v>8.5749300000000002</v>
      </c>
      <c r="H8" s="17"/>
      <c r="I8" s="17"/>
      <c r="J8" s="17"/>
    </row>
    <row r="9" spans="1:16" ht="15.75">
      <c r="A9" s="17"/>
      <c r="B9" s="22">
        <v>6</v>
      </c>
      <c r="C9" s="22">
        <v>20</v>
      </c>
      <c r="D9" s="84">
        <f t="shared" si="0"/>
        <v>120</v>
      </c>
      <c r="E9" s="88">
        <f>B9-$C$15</f>
        <v>0.59166666666666679</v>
      </c>
      <c r="F9" s="89">
        <v>0.59166700000000005</v>
      </c>
      <c r="G9" s="88">
        <f t="shared" si="1"/>
        <v>11.833340000000002</v>
      </c>
      <c r="H9" s="17"/>
      <c r="I9" s="17"/>
      <c r="J9" s="17"/>
    </row>
    <row r="10" spans="1:16" ht="15.75">
      <c r="A10" s="17"/>
      <c r="B10" s="22">
        <v>7</v>
      </c>
      <c r="C10" s="22">
        <v>15</v>
      </c>
      <c r="D10" s="84">
        <f t="shared" si="0"/>
        <v>105</v>
      </c>
      <c r="E10" s="88">
        <f>B10-$C$15</f>
        <v>1.5916666666666668</v>
      </c>
      <c r="F10" s="89">
        <v>1.5916669999999999</v>
      </c>
      <c r="G10" s="88">
        <f t="shared" si="1"/>
        <v>23.875004999999998</v>
      </c>
      <c r="H10" s="17"/>
      <c r="I10" s="17"/>
      <c r="J10" s="17"/>
    </row>
    <row r="11" spans="1:16" ht="15.75">
      <c r="A11" s="17"/>
      <c r="B11" s="22">
        <v>8</v>
      </c>
      <c r="C11" s="22">
        <v>11</v>
      </c>
      <c r="D11" s="84">
        <f t="shared" si="0"/>
        <v>88</v>
      </c>
      <c r="E11" s="88">
        <f>B11-$C$15</f>
        <v>2.5916666666666668</v>
      </c>
      <c r="F11" s="89">
        <v>2.5916670000000002</v>
      </c>
      <c r="G11" s="88">
        <f t="shared" si="1"/>
        <v>28.508337000000001</v>
      </c>
      <c r="H11" s="17"/>
      <c r="I11" s="17"/>
      <c r="J11" s="17"/>
    </row>
    <row r="12" spans="1:16" ht="15.75">
      <c r="A12" s="17"/>
      <c r="B12" s="22">
        <v>9</v>
      </c>
      <c r="C12" s="22">
        <v>7</v>
      </c>
      <c r="D12" s="84">
        <f t="shared" si="0"/>
        <v>63</v>
      </c>
      <c r="E12" s="88">
        <f>B12-$C$15</f>
        <v>3.5916666666666668</v>
      </c>
      <c r="F12" s="89">
        <v>3.5916670000000002</v>
      </c>
      <c r="G12" s="88">
        <f t="shared" si="1"/>
        <v>25.141669</v>
      </c>
      <c r="H12" s="17"/>
      <c r="I12" s="17"/>
      <c r="J12" s="17"/>
    </row>
    <row r="13" spans="1:16" ht="15.75">
      <c r="A13" s="17"/>
      <c r="B13" s="22">
        <v>10</v>
      </c>
      <c r="C13" s="46">
        <v>4</v>
      </c>
      <c r="D13" s="85">
        <f t="shared" si="0"/>
        <v>40</v>
      </c>
      <c r="E13" s="90">
        <f>B13-$C$15</f>
        <v>4.5916666666666668</v>
      </c>
      <c r="F13" s="91">
        <v>4.5916670000000002</v>
      </c>
      <c r="G13" s="90">
        <f t="shared" si="1"/>
        <v>18.366668000000001</v>
      </c>
      <c r="H13" s="17"/>
      <c r="I13" s="17"/>
      <c r="J13" s="17"/>
    </row>
    <row r="14" spans="1:16" ht="15.75">
      <c r="A14" s="17"/>
      <c r="B14" s="21" t="s">
        <v>1</v>
      </c>
      <c r="C14" s="21">
        <v>120</v>
      </c>
      <c r="D14" s="21">
        <f>SUM(D4:D13)</f>
        <v>649</v>
      </c>
      <c r="E14" s="19"/>
      <c r="F14" s="92" t="s">
        <v>121</v>
      </c>
      <c r="G14" s="22">
        <f>SUM(G4:G13)</f>
        <v>215.44980900000002</v>
      </c>
      <c r="H14" s="17"/>
      <c r="I14" s="17"/>
      <c r="J14" s="17"/>
    </row>
    <row r="15" spans="1:16" ht="15.75">
      <c r="A15" s="17"/>
      <c r="B15" s="19" t="str">
        <f>"X"&amp;_xlfn.UNICHAR(773)</f>
        <v>X̅</v>
      </c>
      <c r="C15" s="93">
        <f>D14/C14</f>
        <v>5.4083333333333332</v>
      </c>
      <c r="D15" s="16"/>
      <c r="E15" s="17"/>
      <c r="F15" s="17"/>
      <c r="G15" s="17"/>
      <c r="H15" s="17"/>
      <c r="I15" s="17"/>
      <c r="J15" s="17"/>
      <c r="K15" s="17"/>
      <c r="L15" s="17"/>
      <c r="M15" s="17"/>
      <c r="N15" s="17"/>
      <c r="O15" s="17"/>
      <c r="P15" s="17"/>
    </row>
    <row r="16" spans="1:16" ht="15" customHeight="1">
      <c r="A16" s="17"/>
      <c r="B16" s="83" t="s">
        <v>126</v>
      </c>
      <c r="C16" s="93">
        <f>G14/C14</f>
        <v>1.7954150750000002</v>
      </c>
      <c r="D16" s="17"/>
      <c r="E16" s="17"/>
      <c r="F16" s="17"/>
      <c r="G16" s="17"/>
      <c r="H16" s="17"/>
      <c r="I16" s="17"/>
      <c r="J16" s="17"/>
      <c r="K16" s="17"/>
      <c r="L16" s="17"/>
      <c r="M16" s="17"/>
      <c r="N16" s="17"/>
      <c r="O16" s="17"/>
      <c r="P16" s="17"/>
    </row>
    <row r="17" spans="1:9" ht="24.75" customHeight="1">
      <c r="A17" s="17"/>
      <c r="B17" s="225" t="s">
        <v>114</v>
      </c>
      <c r="C17" s="9" t="s">
        <v>3</v>
      </c>
      <c r="D17" s="9" t="s">
        <v>4</v>
      </c>
      <c r="E17" s="45" t="s">
        <v>118</v>
      </c>
      <c r="F17" s="45" t="s">
        <v>122</v>
      </c>
      <c r="G17" s="45" t="s">
        <v>123</v>
      </c>
      <c r="H17" s="17"/>
      <c r="I17" s="17"/>
    </row>
    <row r="18" spans="1:9" ht="15.75">
      <c r="A18" s="17"/>
      <c r="B18" s="45">
        <v>1</v>
      </c>
      <c r="C18" s="45">
        <v>3</v>
      </c>
      <c r="D18" s="45">
        <f t="shared" ref="D18:D27" si="2">C18*B18</f>
        <v>3</v>
      </c>
      <c r="E18" s="87">
        <f>B18-$C$15</f>
        <v>-4.4083333333333332</v>
      </c>
      <c r="F18" s="94">
        <f>E18^2</f>
        <v>19.433402777777776</v>
      </c>
      <c r="G18" s="94">
        <f>C18*F18</f>
        <v>58.30020833333333</v>
      </c>
      <c r="H18" s="17"/>
      <c r="I18" s="17"/>
    </row>
    <row r="19" spans="1:9" ht="15.75">
      <c r="A19" s="17"/>
      <c r="B19" s="22">
        <v>2</v>
      </c>
      <c r="C19" s="22">
        <v>9</v>
      </c>
      <c r="D19" s="22">
        <f t="shared" si="2"/>
        <v>18</v>
      </c>
      <c r="E19" s="89">
        <f>B19-$C$15</f>
        <v>-3.4083333333333332</v>
      </c>
      <c r="F19" s="95">
        <f t="shared" ref="F19:F27" si="3">E19^2</f>
        <v>11.616736111111111</v>
      </c>
      <c r="G19" s="95">
        <f t="shared" ref="G19:G27" si="4">C19*F19</f>
        <v>104.550625</v>
      </c>
      <c r="H19" s="17"/>
      <c r="I19" s="17"/>
    </row>
    <row r="20" spans="1:9" ht="15.75">
      <c r="A20" s="17"/>
      <c r="B20" s="22">
        <v>3</v>
      </c>
      <c r="C20" s="22">
        <v>13</v>
      </c>
      <c r="D20" s="22">
        <f t="shared" si="2"/>
        <v>39</v>
      </c>
      <c r="E20" s="89">
        <f>B20-$C$15</f>
        <v>-2.4083333333333332</v>
      </c>
      <c r="F20" s="95">
        <f t="shared" si="3"/>
        <v>5.8000694444444436</v>
      </c>
      <c r="G20" s="95">
        <f t="shared" si="4"/>
        <v>75.400902777777773</v>
      </c>
      <c r="H20" s="17"/>
      <c r="I20" s="17"/>
    </row>
    <row r="21" spans="1:9" ht="15.75">
      <c r="A21" s="17"/>
      <c r="B21" s="22">
        <v>4</v>
      </c>
      <c r="C21" s="22">
        <v>17</v>
      </c>
      <c r="D21" s="22">
        <f t="shared" si="2"/>
        <v>68</v>
      </c>
      <c r="E21" s="89">
        <f>B21-$C$15</f>
        <v>-1.4083333333333332</v>
      </c>
      <c r="F21" s="95">
        <f t="shared" si="3"/>
        <v>1.9834027777777774</v>
      </c>
      <c r="G21" s="95">
        <f t="shared" si="4"/>
        <v>33.717847222222218</v>
      </c>
      <c r="H21" s="17"/>
      <c r="I21" s="17"/>
    </row>
    <row r="22" spans="1:9" ht="15.75">
      <c r="A22" s="17"/>
      <c r="B22" s="22">
        <v>5</v>
      </c>
      <c r="C22" s="22">
        <v>21</v>
      </c>
      <c r="D22" s="22">
        <f t="shared" si="2"/>
        <v>105</v>
      </c>
      <c r="E22" s="89">
        <v>0.40833000000000003</v>
      </c>
      <c r="F22" s="95">
        <f t="shared" si="3"/>
        <v>0.16673338890000003</v>
      </c>
      <c r="G22" s="95">
        <f t="shared" si="4"/>
        <v>3.5014011669000005</v>
      </c>
      <c r="H22" s="17"/>
      <c r="I22" s="17"/>
    </row>
    <row r="23" spans="1:9" ht="15.75">
      <c r="A23" s="17"/>
      <c r="B23" s="22">
        <v>6</v>
      </c>
      <c r="C23" s="22">
        <v>20</v>
      </c>
      <c r="D23" s="22">
        <f t="shared" si="2"/>
        <v>120</v>
      </c>
      <c r="E23" s="89">
        <f>B23-$C$15</f>
        <v>0.59166666666666679</v>
      </c>
      <c r="F23" s="95">
        <f t="shared" si="3"/>
        <v>0.3500694444444446</v>
      </c>
      <c r="G23" s="95">
        <f t="shared" si="4"/>
        <v>7.0013888888888918</v>
      </c>
      <c r="H23" s="17"/>
      <c r="I23" s="17"/>
    </row>
    <row r="24" spans="1:9" ht="15.75">
      <c r="A24" s="17"/>
      <c r="B24" s="22">
        <v>7</v>
      </c>
      <c r="C24" s="22">
        <v>15</v>
      </c>
      <c r="D24" s="22">
        <f t="shared" si="2"/>
        <v>105</v>
      </c>
      <c r="E24" s="89">
        <f>B24-$C$15</f>
        <v>1.5916666666666668</v>
      </c>
      <c r="F24" s="95">
        <f t="shared" si="3"/>
        <v>2.5334027777777783</v>
      </c>
      <c r="G24" s="95">
        <f t="shared" si="4"/>
        <v>38.001041666666673</v>
      </c>
      <c r="H24" s="17"/>
      <c r="I24" s="17"/>
    </row>
    <row r="25" spans="1:9" ht="15.75">
      <c r="A25" s="17"/>
      <c r="B25" s="22">
        <v>8</v>
      </c>
      <c r="C25" s="22">
        <v>11</v>
      </c>
      <c r="D25" s="22">
        <f t="shared" si="2"/>
        <v>88</v>
      </c>
      <c r="E25" s="89">
        <f>B25-$C$15</f>
        <v>2.5916666666666668</v>
      </c>
      <c r="F25" s="95">
        <f t="shared" si="3"/>
        <v>6.7167361111111115</v>
      </c>
      <c r="G25" s="95">
        <f t="shared" si="4"/>
        <v>73.884097222222223</v>
      </c>
      <c r="H25" s="17"/>
      <c r="I25" s="17"/>
    </row>
    <row r="26" spans="1:9" ht="15.75">
      <c r="A26" s="17"/>
      <c r="B26" s="22">
        <v>9</v>
      </c>
      <c r="C26" s="22">
        <v>7</v>
      </c>
      <c r="D26" s="22">
        <f t="shared" si="2"/>
        <v>63</v>
      </c>
      <c r="E26" s="89">
        <f>B26-$C$15</f>
        <v>3.5916666666666668</v>
      </c>
      <c r="F26" s="95">
        <f t="shared" si="3"/>
        <v>12.900069444444446</v>
      </c>
      <c r="G26" s="95">
        <f t="shared" si="4"/>
        <v>90.300486111111127</v>
      </c>
      <c r="H26" s="17"/>
      <c r="I26" s="17"/>
    </row>
    <row r="27" spans="1:9" ht="15.75">
      <c r="A27" s="17"/>
      <c r="B27" s="22">
        <v>10</v>
      </c>
      <c r="C27" s="46">
        <v>4</v>
      </c>
      <c r="D27" s="46">
        <f t="shared" si="2"/>
        <v>40</v>
      </c>
      <c r="E27" s="91">
        <f>B27-$C$15</f>
        <v>4.5916666666666668</v>
      </c>
      <c r="F27" s="96">
        <f t="shared" si="3"/>
        <v>21.083402777777778</v>
      </c>
      <c r="G27" s="96">
        <f t="shared" si="4"/>
        <v>84.333611111111111</v>
      </c>
      <c r="H27" s="17"/>
      <c r="I27" s="17"/>
    </row>
    <row r="28" spans="1:9" ht="18">
      <c r="A28" s="17"/>
      <c r="B28" s="21" t="s">
        <v>1</v>
      </c>
      <c r="C28" s="21">
        <v>120</v>
      </c>
      <c r="D28" s="21">
        <f>SUM(D18:D27)</f>
        <v>649</v>
      </c>
      <c r="E28" s="17"/>
      <c r="F28" s="97" t="s">
        <v>124</v>
      </c>
      <c r="G28" s="98">
        <f>SUM(G18:G27)</f>
        <v>568.99160950023327</v>
      </c>
      <c r="H28" s="17"/>
      <c r="I28" s="17"/>
    </row>
    <row r="29" spans="1:9" ht="15.75">
      <c r="A29" s="17"/>
      <c r="B29" s="19" t="str">
        <f>"X"&amp;_xlfn.UNICHAR(773)</f>
        <v>X̅</v>
      </c>
      <c r="C29" s="93">
        <f>D28/C28</f>
        <v>5.4083333333333332</v>
      </c>
      <c r="D29" s="17"/>
      <c r="E29" s="17"/>
      <c r="F29" s="17"/>
      <c r="G29" s="17"/>
      <c r="H29" s="17"/>
      <c r="I29" s="17"/>
    </row>
    <row r="30" spans="1:9" ht="15.75">
      <c r="A30" s="17"/>
      <c r="B30" s="19" t="s">
        <v>125</v>
      </c>
      <c r="C30" s="93">
        <f>G28/C28</f>
        <v>4.7415967458352775</v>
      </c>
      <c r="D30" s="17"/>
      <c r="E30" s="17"/>
      <c r="F30" s="17"/>
      <c r="G30" s="17"/>
      <c r="H30" s="17"/>
      <c r="I30" s="17"/>
    </row>
    <row r="31" spans="1:9" ht="20.25" customHeight="1">
      <c r="A31" s="17"/>
      <c r="B31" s="83" t="s">
        <v>127</v>
      </c>
      <c r="C31" s="93">
        <f>SQRT(C30)</f>
        <v>2.1775207796563683</v>
      </c>
      <c r="D31" s="17"/>
      <c r="E31" s="17"/>
      <c r="F31" s="17"/>
      <c r="G31" s="17"/>
      <c r="H31" s="17"/>
      <c r="I31" s="17"/>
    </row>
    <row r="32" spans="1:9" ht="18.75" customHeight="1">
      <c r="A32" s="17"/>
      <c r="B32" s="83" t="s">
        <v>128</v>
      </c>
      <c r="C32" s="93">
        <f>(C31/C29)*100</f>
        <v>40.262325663908193</v>
      </c>
      <c r="D32" s="17"/>
      <c r="E32" s="17"/>
      <c r="F32" s="17"/>
      <c r="G32" s="17"/>
      <c r="H32" s="17"/>
      <c r="I32" s="17"/>
    </row>
    <row r="33" spans="1:9" ht="15.75">
      <c r="A33" s="17"/>
      <c r="B33" s="17"/>
      <c r="C33" s="17"/>
      <c r="D33" s="17"/>
      <c r="E33" s="17"/>
      <c r="F33" s="17"/>
      <c r="G33" s="17"/>
      <c r="H33" s="17"/>
      <c r="I33" s="17"/>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296B7-184D-42B5-9F7C-C72896EF37CE}">
  <dimension ref="B1:Q26"/>
  <sheetViews>
    <sheetView topLeftCell="A7" zoomScale="83" zoomScaleNormal="83" workbookViewId="0">
      <selection activeCell="S13" sqref="S13"/>
    </sheetView>
  </sheetViews>
  <sheetFormatPr defaultRowHeight="15"/>
  <cols>
    <col min="4" max="4" width="11.5703125" customWidth="1"/>
    <col min="5" max="5" width="14.85546875" customWidth="1"/>
    <col min="6" max="6" width="14.140625" customWidth="1"/>
    <col min="7" max="7" width="9.28515625" bestFit="1" customWidth="1"/>
    <col min="8" max="8" width="13.85546875" customWidth="1"/>
    <col min="9" max="9" width="13.140625" customWidth="1"/>
    <col min="10" max="10" width="11.5703125" customWidth="1"/>
  </cols>
  <sheetData>
    <row r="1" spans="2:17" ht="28.5">
      <c r="B1" s="217" t="s">
        <v>147</v>
      </c>
      <c r="C1" s="217"/>
      <c r="D1" s="217"/>
      <c r="E1" s="217"/>
      <c r="F1" s="217"/>
    </row>
    <row r="2" spans="2:17" ht="18.75">
      <c r="C2" s="3" t="s">
        <v>140</v>
      </c>
      <c r="D2" s="26" t="s">
        <v>141</v>
      </c>
      <c r="E2" s="26"/>
      <c r="F2" s="26"/>
      <c r="G2" s="26"/>
      <c r="M2" s="3"/>
      <c r="N2" s="26"/>
      <c r="O2" s="26"/>
      <c r="P2" s="26"/>
      <c r="Q2" s="26"/>
    </row>
    <row r="3" spans="2:17" ht="47.25">
      <c r="E3" s="82" t="s">
        <v>114</v>
      </c>
      <c r="F3" s="44" t="s">
        <v>3</v>
      </c>
      <c r="G3" s="9" t="s">
        <v>4</v>
      </c>
      <c r="H3" s="45" t="s">
        <v>129</v>
      </c>
      <c r="I3" s="21" t="s">
        <v>136</v>
      </c>
      <c r="J3" s="21" t="s">
        <v>137</v>
      </c>
    </row>
    <row r="4" spans="2:17" ht="15.75">
      <c r="E4" s="45">
        <v>1</v>
      </c>
      <c r="F4" s="45">
        <v>3</v>
      </c>
      <c r="G4" s="99">
        <f t="shared" ref="G4:G13" si="0">F4*E4</f>
        <v>3</v>
      </c>
      <c r="H4" s="99">
        <f>F4*(E4^2)</f>
        <v>3</v>
      </c>
      <c r="I4" s="45">
        <f t="shared" ref="I4:I13" si="1">F4*(E4^3)</f>
        <v>3</v>
      </c>
      <c r="J4" s="45">
        <f t="shared" ref="J4:J13" si="2">F4*(E4)^4</f>
        <v>3</v>
      </c>
    </row>
    <row r="5" spans="2:17" ht="15.75">
      <c r="E5" s="22">
        <v>2</v>
      </c>
      <c r="F5" s="22">
        <v>9</v>
      </c>
      <c r="G5" s="84">
        <f t="shared" si="0"/>
        <v>18</v>
      </c>
      <c r="H5" s="84">
        <f>F5*(E5^2)</f>
        <v>36</v>
      </c>
      <c r="I5" s="22">
        <f t="shared" si="1"/>
        <v>72</v>
      </c>
      <c r="J5" s="22">
        <f t="shared" si="2"/>
        <v>144</v>
      </c>
    </row>
    <row r="6" spans="2:17" ht="15.75">
      <c r="E6" s="22">
        <v>3</v>
      </c>
      <c r="F6" s="22">
        <v>13</v>
      </c>
      <c r="G6" s="84">
        <f t="shared" si="0"/>
        <v>39</v>
      </c>
      <c r="H6" s="84">
        <f>F6*(E6^2)</f>
        <v>117</v>
      </c>
      <c r="I6" s="22">
        <f t="shared" si="1"/>
        <v>351</v>
      </c>
      <c r="J6" s="22">
        <f t="shared" si="2"/>
        <v>1053</v>
      </c>
    </row>
    <row r="7" spans="2:17" ht="15.75">
      <c r="E7" s="22">
        <v>4</v>
      </c>
      <c r="F7" s="22">
        <v>17</v>
      </c>
      <c r="G7" s="84">
        <f t="shared" si="0"/>
        <v>68</v>
      </c>
      <c r="H7" s="84">
        <f t="shared" ref="H7:H13" si="3">F7*(E7^2)</f>
        <v>272</v>
      </c>
      <c r="I7" s="22">
        <f t="shared" si="1"/>
        <v>1088</v>
      </c>
      <c r="J7" s="22">
        <f t="shared" si="2"/>
        <v>4352</v>
      </c>
    </row>
    <row r="8" spans="2:17" ht="15.75">
      <c r="E8" s="22">
        <v>5</v>
      </c>
      <c r="F8" s="22">
        <v>21</v>
      </c>
      <c r="G8" s="84">
        <f t="shared" si="0"/>
        <v>105</v>
      </c>
      <c r="H8" s="84">
        <f t="shared" si="3"/>
        <v>525</v>
      </c>
      <c r="I8" s="22">
        <f t="shared" si="1"/>
        <v>2625</v>
      </c>
      <c r="J8" s="22">
        <f t="shared" si="2"/>
        <v>13125</v>
      </c>
    </row>
    <row r="9" spans="2:17" ht="15.75">
      <c r="E9" s="22">
        <v>6</v>
      </c>
      <c r="F9" s="22">
        <v>20</v>
      </c>
      <c r="G9" s="84">
        <f t="shared" si="0"/>
        <v>120</v>
      </c>
      <c r="H9" s="84">
        <f t="shared" si="3"/>
        <v>720</v>
      </c>
      <c r="I9" s="22">
        <f t="shared" si="1"/>
        <v>4320</v>
      </c>
      <c r="J9" s="22">
        <f t="shared" si="2"/>
        <v>25920</v>
      </c>
    </row>
    <row r="10" spans="2:17" ht="15.75">
      <c r="E10" s="22">
        <v>7</v>
      </c>
      <c r="F10" s="22">
        <v>15</v>
      </c>
      <c r="G10" s="84">
        <f t="shared" si="0"/>
        <v>105</v>
      </c>
      <c r="H10" s="84">
        <f t="shared" si="3"/>
        <v>735</v>
      </c>
      <c r="I10" s="22">
        <f t="shared" si="1"/>
        <v>5145</v>
      </c>
      <c r="J10" s="22">
        <f t="shared" si="2"/>
        <v>36015</v>
      </c>
    </row>
    <row r="11" spans="2:17" ht="15.75">
      <c r="E11" s="22">
        <v>8</v>
      </c>
      <c r="F11" s="22">
        <v>11</v>
      </c>
      <c r="G11" s="84">
        <f t="shared" si="0"/>
        <v>88</v>
      </c>
      <c r="H11" s="84">
        <f t="shared" si="3"/>
        <v>704</v>
      </c>
      <c r="I11" s="22">
        <f t="shared" si="1"/>
        <v>5632</v>
      </c>
      <c r="J11" s="22">
        <f t="shared" si="2"/>
        <v>45056</v>
      </c>
    </row>
    <row r="12" spans="2:17" ht="15.75">
      <c r="E12" s="22">
        <v>9</v>
      </c>
      <c r="F12" s="22">
        <v>7</v>
      </c>
      <c r="G12" s="84">
        <f t="shared" si="0"/>
        <v>63</v>
      </c>
      <c r="H12" s="84">
        <f t="shared" si="3"/>
        <v>567</v>
      </c>
      <c r="I12" s="22">
        <f t="shared" si="1"/>
        <v>5103</v>
      </c>
      <c r="J12" s="22">
        <f t="shared" si="2"/>
        <v>45927</v>
      </c>
    </row>
    <row r="13" spans="2:17" ht="15.75">
      <c r="E13" s="46">
        <v>10</v>
      </c>
      <c r="F13" s="46">
        <v>4</v>
      </c>
      <c r="G13" s="85">
        <f t="shared" si="0"/>
        <v>40</v>
      </c>
      <c r="H13" s="85">
        <f t="shared" si="3"/>
        <v>400</v>
      </c>
      <c r="I13" s="46">
        <f t="shared" si="1"/>
        <v>4000</v>
      </c>
      <c r="J13" s="46">
        <f t="shared" si="2"/>
        <v>40000</v>
      </c>
    </row>
    <row r="14" spans="2:17" ht="15.75">
      <c r="E14" s="19" t="s">
        <v>1</v>
      </c>
      <c r="F14" s="21">
        <f>SUM(F4:F13)</f>
        <v>120</v>
      </c>
      <c r="G14" s="21">
        <f>SUM(G4:G13)</f>
        <v>649</v>
      </c>
      <c r="H14" s="21">
        <f t="shared" ref="H14:J14" si="4">SUM(H4:H13)</f>
        <v>4079</v>
      </c>
      <c r="I14" s="21">
        <f t="shared" si="4"/>
        <v>28339</v>
      </c>
      <c r="J14" s="21">
        <f t="shared" si="4"/>
        <v>211595</v>
      </c>
    </row>
    <row r="15" spans="2:17" ht="20.25">
      <c r="B15" s="26" t="s">
        <v>186</v>
      </c>
      <c r="C15" s="26"/>
      <c r="D15" s="26"/>
      <c r="E15" s="76" t="s">
        <v>131</v>
      </c>
      <c r="F15" s="102">
        <f>G14/F14</f>
        <v>5.4083333333333332</v>
      </c>
      <c r="G15" s="17"/>
      <c r="H15" s="17"/>
      <c r="I15" s="17"/>
      <c r="J15" s="17"/>
    </row>
    <row r="16" spans="2:17" ht="20.25">
      <c r="E16" s="76" t="s">
        <v>132</v>
      </c>
      <c r="F16" s="102">
        <f>H14/F14</f>
        <v>33.991666666666667</v>
      </c>
      <c r="G16" s="17"/>
      <c r="H16" s="17"/>
      <c r="I16" s="17"/>
      <c r="J16" s="17"/>
    </row>
    <row r="17" spans="2:10" ht="20.25">
      <c r="E17" s="76" t="s">
        <v>133</v>
      </c>
      <c r="F17" s="100">
        <f>I14/F14</f>
        <v>236.15833333333333</v>
      </c>
      <c r="G17" s="17"/>
      <c r="H17" s="17"/>
      <c r="I17" s="17"/>
      <c r="J17" s="17"/>
    </row>
    <row r="18" spans="2:10" ht="20.25">
      <c r="E18" s="76" t="s">
        <v>134</v>
      </c>
      <c r="F18" s="100">
        <f>J14/F14</f>
        <v>1763.2916666666667</v>
      </c>
      <c r="G18" s="17"/>
      <c r="H18" s="17"/>
      <c r="I18" s="17"/>
      <c r="J18" s="17"/>
    </row>
    <row r="19" spans="2:10" ht="20.25">
      <c r="B19" s="26" t="s">
        <v>187</v>
      </c>
      <c r="C19" s="2"/>
      <c r="D19" s="2"/>
      <c r="E19" s="76" t="s">
        <v>177</v>
      </c>
      <c r="F19" s="100">
        <v>0</v>
      </c>
      <c r="G19" s="17"/>
      <c r="H19" s="17"/>
      <c r="I19" s="17"/>
      <c r="J19" s="17"/>
    </row>
    <row r="20" spans="2:10" ht="20.25">
      <c r="E20" s="76" t="s">
        <v>178</v>
      </c>
      <c r="F20" s="100">
        <f>F16-F15^2</f>
        <v>4.7415972222222251</v>
      </c>
      <c r="G20" s="17"/>
      <c r="H20" s="17"/>
      <c r="I20" s="17"/>
      <c r="J20" s="17"/>
    </row>
    <row r="21" spans="2:10" ht="20.25">
      <c r="E21" s="76" t="s">
        <v>179</v>
      </c>
      <c r="F21" s="100">
        <f>F17-3*F16*F15+2*F15^3</f>
        <v>1.0317928240740457</v>
      </c>
      <c r="G21" s="17"/>
      <c r="H21" s="17"/>
      <c r="I21" s="17"/>
      <c r="J21" s="17"/>
    </row>
    <row r="22" spans="2:10" ht="20.25">
      <c r="E22" s="76" t="s">
        <v>180</v>
      </c>
      <c r="F22" s="100">
        <f>F18-4*F17*F15+6*F16*F15^2-3*F15^4</f>
        <v>53.251697902198885</v>
      </c>
      <c r="G22" s="17"/>
      <c r="H22" s="17"/>
      <c r="I22" s="17"/>
      <c r="J22" s="17"/>
    </row>
    <row r="23" spans="2:10" ht="21">
      <c r="B23" s="26" t="s">
        <v>188</v>
      </c>
      <c r="C23" s="2"/>
      <c r="D23" s="2"/>
      <c r="E23" s="101" t="s">
        <v>135</v>
      </c>
      <c r="F23" s="102">
        <f>(F21^2)/(F20^3)</f>
        <v>9.9864475825829947E-3</v>
      </c>
      <c r="G23" s="17"/>
      <c r="H23" s="17"/>
      <c r="I23" s="17"/>
      <c r="J23" s="17"/>
    </row>
    <row r="24" spans="2:10" ht="20.25">
      <c r="E24" s="76" t="s">
        <v>130</v>
      </c>
      <c r="F24" s="102">
        <f>SQRT(F23)</f>
        <v>9.9932214938842398E-2</v>
      </c>
      <c r="G24" s="17"/>
      <c r="H24" s="17"/>
      <c r="I24" s="17"/>
      <c r="J24" s="17"/>
    </row>
    <row r="25" spans="2:10" ht="21">
      <c r="B25" s="26" t="s">
        <v>189</v>
      </c>
      <c r="E25" s="101" t="s">
        <v>138</v>
      </c>
      <c r="F25" s="102">
        <f>(F22)/(F20^2)</f>
        <v>2.3685586326278107</v>
      </c>
    </row>
    <row r="26" spans="2:10" ht="20.25">
      <c r="E26" s="76" t="s">
        <v>139</v>
      </c>
      <c r="F26" s="102">
        <f>F25-3</f>
        <v>-0.63144136737218926</v>
      </c>
    </row>
  </sheetData>
  <mergeCells count="1">
    <mergeCell ref="B1:F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B3FF5-70DC-45B3-A9D9-243933555D41}">
  <dimension ref="B1:R62"/>
  <sheetViews>
    <sheetView topLeftCell="A37" zoomScale="80" zoomScaleNormal="80" workbookViewId="0">
      <selection activeCell="T9" sqref="T9"/>
    </sheetView>
  </sheetViews>
  <sheetFormatPr defaultRowHeight="15"/>
  <cols>
    <col min="2" max="2" width="10" customWidth="1"/>
    <col min="3" max="3" width="20.140625" customWidth="1"/>
    <col min="4" max="4" width="13.85546875" customWidth="1"/>
    <col min="5" max="5" width="19.28515625" customWidth="1"/>
    <col min="6" max="6" width="17.7109375" customWidth="1"/>
    <col min="7" max="7" width="18.7109375" customWidth="1"/>
    <col min="8" max="8" width="13.7109375" customWidth="1"/>
    <col min="9" max="9" width="16" customWidth="1"/>
    <col min="10" max="10" width="13.85546875" customWidth="1"/>
    <col min="11" max="11" width="11.140625" customWidth="1"/>
    <col min="12" max="12" width="13" customWidth="1"/>
    <col min="13" max="13" width="17.5703125" customWidth="1"/>
  </cols>
  <sheetData>
    <row r="1" spans="2:16" ht="28.5">
      <c r="B1" s="218" t="s">
        <v>166</v>
      </c>
      <c r="C1" s="218"/>
      <c r="D1" s="218"/>
      <c r="E1" s="218"/>
      <c r="F1" s="19"/>
      <c r="G1" s="219" t="s">
        <v>248</v>
      </c>
      <c r="H1" s="26"/>
    </row>
    <row r="2" spans="2:16" ht="25.5" customHeight="1">
      <c r="B2" s="20" t="s">
        <v>18</v>
      </c>
      <c r="C2" s="122" t="s">
        <v>181</v>
      </c>
      <c r="D2" s="20" t="s">
        <v>18</v>
      </c>
      <c r="E2" s="122" t="s">
        <v>181</v>
      </c>
      <c r="G2" s="19" t="s">
        <v>74</v>
      </c>
      <c r="H2" s="3">
        <v>268.8</v>
      </c>
    </row>
    <row r="3" spans="2:16" ht="15.75">
      <c r="B3" s="6">
        <v>1</v>
      </c>
      <c r="C3" s="6">
        <v>187.2</v>
      </c>
      <c r="D3" s="6">
        <v>61</v>
      </c>
      <c r="E3" s="6">
        <v>182.6</v>
      </c>
      <c r="G3" s="19" t="s">
        <v>75</v>
      </c>
      <c r="H3" s="3">
        <v>151.19999999999999</v>
      </c>
    </row>
    <row r="4" spans="2:16" ht="15.75">
      <c r="B4" s="6">
        <v>2</v>
      </c>
      <c r="C4" s="6">
        <v>207.9</v>
      </c>
      <c r="D4" s="6">
        <v>62</v>
      </c>
      <c r="E4" s="6">
        <v>230.7</v>
      </c>
      <c r="G4" s="19" t="s">
        <v>113</v>
      </c>
      <c r="H4" s="3">
        <f>H2-H3</f>
        <v>117.60000000000002</v>
      </c>
    </row>
    <row r="5" spans="2:16" ht="31.5">
      <c r="B5" s="6">
        <v>3</v>
      </c>
      <c r="C5" s="6">
        <v>171.5</v>
      </c>
      <c r="D5" s="6">
        <v>63</v>
      </c>
      <c r="E5" s="6">
        <v>186.3</v>
      </c>
      <c r="G5" s="83" t="s">
        <v>144</v>
      </c>
      <c r="H5" s="3">
        <f>(H2-H3)/(H2+H3)</f>
        <v>0.28000000000000003</v>
      </c>
    </row>
    <row r="6" spans="2:16" ht="18.75">
      <c r="B6" s="6">
        <v>4</v>
      </c>
      <c r="C6" s="6">
        <v>217.7</v>
      </c>
      <c r="D6" s="6">
        <v>64</v>
      </c>
      <c r="E6" s="6">
        <v>229.2</v>
      </c>
      <c r="G6" s="19" t="s">
        <v>87</v>
      </c>
      <c r="H6" s="120">
        <v>186.3</v>
      </c>
    </row>
    <row r="7" spans="2:16" ht="18.75">
      <c r="B7" s="6">
        <v>5</v>
      </c>
      <c r="C7" s="6">
        <v>199.5</v>
      </c>
      <c r="D7" s="6">
        <v>65</v>
      </c>
      <c r="E7" s="6">
        <v>230.4</v>
      </c>
      <c r="G7" s="19" t="s">
        <v>88</v>
      </c>
      <c r="H7" s="120">
        <v>206.3</v>
      </c>
    </row>
    <row r="8" spans="2:16" ht="18.75">
      <c r="B8" s="6">
        <v>6</v>
      </c>
      <c r="C8" s="6">
        <v>185.7</v>
      </c>
      <c r="D8" s="6">
        <v>66</v>
      </c>
      <c r="E8" s="6">
        <v>220.1</v>
      </c>
      <c r="G8" s="19" t="s">
        <v>89</v>
      </c>
      <c r="H8" s="120">
        <v>227.92500000000001</v>
      </c>
    </row>
    <row r="9" spans="2:16" ht="31.5">
      <c r="B9" s="6">
        <v>7</v>
      </c>
      <c r="C9" s="6">
        <v>268.8</v>
      </c>
      <c r="D9" s="6">
        <v>67</v>
      </c>
      <c r="E9" s="6">
        <v>189.4</v>
      </c>
      <c r="G9" s="83" t="s">
        <v>143</v>
      </c>
      <c r="H9" s="3">
        <f>(H8-H6)/2</f>
        <v>20.8125</v>
      </c>
    </row>
    <row r="10" spans="2:16" ht="15.75">
      <c r="B10" s="6">
        <v>8</v>
      </c>
      <c r="C10" s="6">
        <v>201.5</v>
      </c>
      <c r="D10" s="6">
        <v>68</v>
      </c>
      <c r="E10" s="6">
        <v>188.4</v>
      </c>
      <c r="G10" s="83" t="s">
        <v>145</v>
      </c>
      <c r="H10" s="134">
        <f>(H8-H6)/(H8+H6)</f>
        <v>0.10048886474741987</v>
      </c>
    </row>
    <row r="11" spans="2:16">
      <c r="B11" s="6">
        <v>9</v>
      </c>
      <c r="C11" s="6">
        <v>173.1</v>
      </c>
      <c r="D11" s="6">
        <v>69</v>
      </c>
      <c r="E11" s="6">
        <v>179.1</v>
      </c>
    </row>
    <row r="12" spans="2:16">
      <c r="B12" s="6">
        <v>10</v>
      </c>
      <c r="C12" s="6">
        <v>192.7</v>
      </c>
      <c r="D12" s="6">
        <v>70</v>
      </c>
      <c r="E12" s="6">
        <v>199.2</v>
      </c>
    </row>
    <row r="13" spans="2:16">
      <c r="B13" s="6">
        <v>11</v>
      </c>
      <c r="C13" s="6">
        <v>157.30000000000001</v>
      </c>
      <c r="D13" s="6">
        <v>71</v>
      </c>
      <c r="E13" s="6">
        <v>228.8</v>
      </c>
    </row>
    <row r="14" spans="2:16">
      <c r="B14" s="6">
        <v>12</v>
      </c>
      <c r="C14" s="6">
        <v>244.4</v>
      </c>
      <c r="D14" s="6">
        <v>72</v>
      </c>
      <c r="E14" s="6">
        <v>190.4</v>
      </c>
      <c r="P14" t="s">
        <v>247</v>
      </c>
    </row>
    <row r="15" spans="2:16" ht="18.75">
      <c r="B15" s="6">
        <v>13</v>
      </c>
      <c r="C15" s="6">
        <v>182.2</v>
      </c>
      <c r="D15" s="6">
        <v>73</v>
      </c>
      <c r="E15" s="6">
        <v>251.1</v>
      </c>
      <c r="F15" s="3"/>
      <c r="L15" s="25"/>
    </row>
    <row r="16" spans="2:16" ht="21">
      <c r="B16" s="6">
        <v>14</v>
      </c>
      <c r="C16" s="6">
        <v>241.5</v>
      </c>
      <c r="D16" s="6">
        <v>74</v>
      </c>
      <c r="E16" s="6">
        <v>207.6</v>
      </c>
      <c r="G16" s="219" t="s">
        <v>249</v>
      </c>
      <c r="H16" s="26"/>
      <c r="I16" s="26"/>
      <c r="J16" s="26"/>
    </row>
    <row r="17" spans="2:18" ht="46.5" customHeight="1">
      <c r="B17" s="6">
        <v>15</v>
      </c>
      <c r="C17" s="6">
        <v>232.4</v>
      </c>
      <c r="D17" s="6">
        <v>75</v>
      </c>
      <c r="E17" s="6">
        <v>211.9</v>
      </c>
      <c r="G17" s="50" t="s">
        <v>148</v>
      </c>
      <c r="H17" s="51" t="s">
        <v>149</v>
      </c>
      <c r="I17" s="104" t="s">
        <v>108</v>
      </c>
      <c r="J17" s="51" t="s">
        <v>150</v>
      </c>
      <c r="K17" s="1" t="s">
        <v>30</v>
      </c>
      <c r="L17" s="1" t="s">
        <v>31</v>
      </c>
      <c r="M17" s="51" t="s">
        <v>40</v>
      </c>
      <c r="P17" s="26"/>
      <c r="Q17" s="26"/>
      <c r="R17" s="26"/>
    </row>
    <row r="18" spans="2:18" ht="17.25" customHeight="1">
      <c r="B18" s="6">
        <v>16</v>
      </c>
      <c r="C18" s="6">
        <v>182.4</v>
      </c>
      <c r="D18" s="6">
        <v>76</v>
      </c>
      <c r="E18" s="6">
        <v>187.2</v>
      </c>
      <c r="G18" s="53" t="s">
        <v>21</v>
      </c>
      <c r="H18" s="53" t="s">
        <v>151</v>
      </c>
      <c r="I18" s="54">
        <v>164</v>
      </c>
      <c r="J18" s="53">
        <v>4</v>
      </c>
      <c r="K18" s="53">
        <v>150</v>
      </c>
      <c r="L18" s="54">
        <v>165</v>
      </c>
      <c r="M18" s="53">
        <v>4</v>
      </c>
    </row>
    <row r="19" spans="2:18" ht="15" customHeight="1">
      <c r="B19" s="6">
        <v>17</v>
      </c>
      <c r="C19" s="6">
        <v>182.7</v>
      </c>
      <c r="D19" s="6">
        <v>77</v>
      </c>
      <c r="E19" s="6">
        <v>207.9</v>
      </c>
      <c r="F19" s="105" t="s">
        <v>152</v>
      </c>
      <c r="G19" s="6" t="s">
        <v>22</v>
      </c>
      <c r="H19" s="6" t="s">
        <v>153</v>
      </c>
      <c r="I19" s="56">
        <v>179</v>
      </c>
      <c r="J19" s="6">
        <v>9</v>
      </c>
      <c r="K19" s="6">
        <v>165</v>
      </c>
      <c r="L19" s="56">
        <v>180</v>
      </c>
      <c r="M19" s="6">
        <v>13</v>
      </c>
    </row>
    <row r="20" spans="2:18">
      <c r="B20" s="6">
        <v>18</v>
      </c>
      <c r="C20" s="6">
        <v>151.19999999999999</v>
      </c>
      <c r="D20" s="6">
        <v>78</v>
      </c>
      <c r="E20" s="6">
        <v>171.5</v>
      </c>
      <c r="F20" s="8">
        <v>151.19999999999999</v>
      </c>
      <c r="G20" s="6" t="s">
        <v>23</v>
      </c>
      <c r="H20" s="6" t="s">
        <v>154</v>
      </c>
      <c r="I20" s="56">
        <v>194</v>
      </c>
      <c r="J20" s="6">
        <v>34</v>
      </c>
      <c r="K20" s="6">
        <v>180</v>
      </c>
      <c r="L20" s="56">
        <v>195</v>
      </c>
      <c r="M20" s="6">
        <v>47</v>
      </c>
    </row>
    <row r="21" spans="2:18">
      <c r="B21" s="6">
        <v>19</v>
      </c>
      <c r="C21" s="6">
        <v>191.6</v>
      </c>
      <c r="D21" s="6">
        <v>79</v>
      </c>
      <c r="E21" s="6">
        <v>217.7</v>
      </c>
      <c r="F21" s="105" t="s">
        <v>155</v>
      </c>
      <c r="G21" s="6" t="s">
        <v>24</v>
      </c>
      <c r="H21" s="6" t="s">
        <v>156</v>
      </c>
      <c r="I21" s="56">
        <v>209</v>
      </c>
      <c r="J21" s="6">
        <v>25</v>
      </c>
      <c r="K21" s="6">
        <v>195</v>
      </c>
      <c r="L21" s="56">
        <v>210</v>
      </c>
      <c r="M21" s="6">
        <v>72</v>
      </c>
    </row>
    <row r="22" spans="2:18">
      <c r="B22" s="6">
        <v>20</v>
      </c>
      <c r="C22" s="6">
        <v>188.4</v>
      </c>
      <c r="D22" s="6">
        <v>80</v>
      </c>
      <c r="E22" s="6">
        <v>199.5</v>
      </c>
      <c r="F22" s="8">
        <v>268.8</v>
      </c>
      <c r="G22" s="6" t="s">
        <v>25</v>
      </c>
      <c r="H22" s="6" t="s">
        <v>157</v>
      </c>
      <c r="I22" s="56">
        <v>224</v>
      </c>
      <c r="J22" s="6">
        <v>14</v>
      </c>
      <c r="K22" s="6">
        <v>210</v>
      </c>
      <c r="L22" s="56">
        <v>225</v>
      </c>
      <c r="M22" s="6">
        <v>86</v>
      </c>
    </row>
    <row r="23" spans="2:18">
      <c r="B23" s="6">
        <v>21</v>
      </c>
      <c r="C23" s="6">
        <v>226.3</v>
      </c>
      <c r="D23" s="6">
        <v>81</v>
      </c>
      <c r="E23" s="6">
        <v>185.7</v>
      </c>
      <c r="F23" s="105" t="s">
        <v>158</v>
      </c>
      <c r="G23" s="6" t="s">
        <v>26</v>
      </c>
      <c r="H23" s="6" t="s">
        <v>159</v>
      </c>
      <c r="I23" s="56">
        <v>239</v>
      </c>
      <c r="J23" s="6">
        <v>24</v>
      </c>
      <c r="K23" s="6">
        <v>225</v>
      </c>
      <c r="L23" s="56">
        <v>240</v>
      </c>
      <c r="M23" s="6">
        <v>110</v>
      </c>
    </row>
    <row r="24" spans="2:18">
      <c r="B24" s="6">
        <v>22</v>
      </c>
      <c r="C24" s="6">
        <v>178.7</v>
      </c>
      <c r="D24" s="6">
        <v>82</v>
      </c>
      <c r="E24" s="6">
        <v>268.8</v>
      </c>
      <c r="F24" s="8">
        <v>14.872822006981702</v>
      </c>
      <c r="G24" s="6" t="s">
        <v>27</v>
      </c>
      <c r="H24" s="6" t="s">
        <v>160</v>
      </c>
      <c r="I24" s="56">
        <v>254</v>
      </c>
      <c r="J24" s="6">
        <v>8</v>
      </c>
      <c r="K24" s="6">
        <v>240</v>
      </c>
      <c r="L24" s="56">
        <v>255</v>
      </c>
      <c r="M24" s="6">
        <v>118</v>
      </c>
    </row>
    <row r="25" spans="2:18">
      <c r="B25" s="6">
        <v>23</v>
      </c>
      <c r="C25" s="6">
        <v>228.8</v>
      </c>
      <c r="D25" s="6">
        <v>83</v>
      </c>
      <c r="E25" s="6">
        <v>201.5</v>
      </c>
      <c r="F25" s="8" t="s">
        <v>161</v>
      </c>
      <c r="G25" s="7" t="s">
        <v>28</v>
      </c>
      <c r="H25" s="7" t="s">
        <v>162</v>
      </c>
      <c r="I25" s="56">
        <v>269</v>
      </c>
      <c r="J25" s="6">
        <v>2</v>
      </c>
      <c r="K25" s="7">
        <v>255</v>
      </c>
      <c r="L25" s="67">
        <v>270</v>
      </c>
      <c r="M25" s="7">
        <v>120</v>
      </c>
    </row>
    <row r="26" spans="2:18">
      <c r="B26" s="6">
        <v>24</v>
      </c>
      <c r="C26" s="6">
        <v>182.6</v>
      </c>
      <c r="D26" s="6">
        <v>84</v>
      </c>
      <c r="E26" s="6">
        <v>173.1</v>
      </c>
      <c r="I26" s="136" t="s">
        <v>1</v>
      </c>
      <c r="J26" s="118">
        <v>120</v>
      </c>
      <c r="K26" s="103"/>
      <c r="L26" s="106"/>
    </row>
    <row r="27" spans="2:18">
      <c r="B27" s="6">
        <v>25</v>
      </c>
      <c r="C27" s="6">
        <v>230.7</v>
      </c>
      <c r="D27" s="6">
        <v>85</v>
      </c>
      <c r="E27" s="6">
        <v>192.7</v>
      </c>
      <c r="I27" s="135" t="s">
        <v>44</v>
      </c>
      <c r="J27" s="118">
        <v>15</v>
      </c>
    </row>
    <row r="28" spans="2:18" ht="15.75">
      <c r="B28" s="6">
        <v>26</v>
      </c>
      <c r="C28" s="6">
        <v>186.3</v>
      </c>
      <c r="D28" s="6">
        <v>86</v>
      </c>
      <c r="E28" s="6">
        <v>157.30000000000001</v>
      </c>
      <c r="H28" s="19" t="s">
        <v>74</v>
      </c>
      <c r="I28" s="120">
        <v>270</v>
      </c>
    </row>
    <row r="29" spans="2:18" ht="15.75">
      <c r="B29" s="6">
        <v>27</v>
      </c>
      <c r="C29" s="6">
        <v>229.2</v>
      </c>
      <c r="D29" s="6">
        <v>87</v>
      </c>
      <c r="E29" s="6">
        <v>244.4</v>
      </c>
      <c r="H29" s="19" t="s">
        <v>75</v>
      </c>
      <c r="I29" s="120">
        <v>150</v>
      </c>
    </row>
    <row r="30" spans="2:18" ht="15.75">
      <c r="B30" s="6">
        <v>28</v>
      </c>
      <c r="C30" s="6">
        <v>230.1</v>
      </c>
      <c r="D30" s="6">
        <v>88</v>
      </c>
      <c r="E30" s="6">
        <v>182.2</v>
      </c>
      <c r="H30" s="19" t="s">
        <v>113</v>
      </c>
      <c r="I30" s="3">
        <f>I28-I29</f>
        <v>120</v>
      </c>
    </row>
    <row r="31" spans="2:18" ht="31.5">
      <c r="B31" s="6">
        <v>29</v>
      </c>
      <c r="C31" s="6">
        <v>220.1</v>
      </c>
      <c r="D31" s="6">
        <v>89</v>
      </c>
      <c r="E31" s="6">
        <v>241.5</v>
      </c>
      <c r="H31" s="83" t="s">
        <v>144</v>
      </c>
      <c r="I31" s="125">
        <f>(I28-I29)/(I28+I29)</f>
        <v>0.2857142857142857</v>
      </c>
    </row>
    <row r="32" spans="2:18" ht="18">
      <c r="B32" s="6">
        <v>30</v>
      </c>
      <c r="C32" s="6">
        <v>189.4</v>
      </c>
      <c r="D32" s="6">
        <v>90</v>
      </c>
      <c r="E32" s="6">
        <v>232.4</v>
      </c>
      <c r="H32" s="207" t="s">
        <v>46</v>
      </c>
      <c r="I32" s="208"/>
    </row>
    <row r="33" spans="2:9" ht="15.75">
      <c r="B33" s="6">
        <v>31</v>
      </c>
      <c r="C33" s="6">
        <v>188.4</v>
      </c>
      <c r="D33" s="6">
        <v>91</v>
      </c>
      <c r="E33" s="6">
        <v>182.4</v>
      </c>
      <c r="H33" s="19" t="s">
        <v>8</v>
      </c>
      <c r="I33" s="3">
        <f>J26/4</f>
        <v>30</v>
      </c>
    </row>
    <row r="34" spans="2:9">
      <c r="B34" s="6">
        <v>32</v>
      </c>
      <c r="C34" s="6">
        <v>179.1</v>
      </c>
      <c r="D34" s="6">
        <v>92</v>
      </c>
      <c r="E34" s="6">
        <v>182.7</v>
      </c>
      <c r="H34" s="3" t="s">
        <v>41</v>
      </c>
      <c r="I34" s="3">
        <v>180</v>
      </c>
    </row>
    <row r="35" spans="2:9">
      <c r="B35" s="6">
        <v>33</v>
      </c>
      <c r="C35" s="6">
        <v>199.2</v>
      </c>
      <c r="D35" s="6">
        <v>93</v>
      </c>
      <c r="E35" s="6">
        <v>151.19999999999999</v>
      </c>
      <c r="H35" s="3" t="s">
        <v>42</v>
      </c>
      <c r="I35" s="3">
        <v>13</v>
      </c>
    </row>
    <row r="36" spans="2:9">
      <c r="B36" s="6">
        <v>34</v>
      </c>
      <c r="C36" s="6">
        <v>228.8</v>
      </c>
      <c r="D36" s="6">
        <v>94</v>
      </c>
      <c r="E36" s="6">
        <v>191.6</v>
      </c>
      <c r="H36" s="3" t="s">
        <v>43</v>
      </c>
      <c r="I36" s="3">
        <v>34</v>
      </c>
    </row>
    <row r="37" spans="2:9" ht="18">
      <c r="B37" s="6">
        <v>35</v>
      </c>
      <c r="C37" s="6">
        <v>190.7</v>
      </c>
      <c r="D37" s="6">
        <v>95</v>
      </c>
      <c r="E37" s="6">
        <v>228.3</v>
      </c>
      <c r="H37" s="3" t="s">
        <v>192</v>
      </c>
      <c r="I37" s="3">
        <f>I34+((I33-I35)/I36)*J27</f>
        <v>187.5</v>
      </c>
    </row>
    <row r="38" spans="2:9" ht="18">
      <c r="B38" s="6">
        <v>36</v>
      </c>
      <c r="C38" s="6">
        <v>251.1</v>
      </c>
      <c r="D38" s="6">
        <v>96</v>
      </c>
      <c r="E38" s="6">
        <v>204.4</v>
      </c>
      <c r="H38" s="207" t="s">
        <v>48</v>
      </c>
      <c r="I38" s="208"/>
    </row>
    <row r="39" spans="2:9">
      <c r="B39" s="6">
        <v>37</v>
      </c>
      <c r="C39" s="6">
        <v>207.6</v>
      </c>
      <c r="D39" s="6">
        <v>97</v>
      </c>
      <c r="E39" s="6">
        <v>195.6</v>
      </c>
      <c r="H39" s="3" t="s">
        <v>11</v>
      </c>
      <c r="I39" s="3">
        <v>60</v>
      </c>
    </row>
    <row r="40" spans="2:9">
      <c r="B40" s="6">
        <v>38</v>
      </c>
      <c r="C40" s="6">
        <v>211.9</v>
      </c>
      <c r="D40" s="6">
        <v>98</v>
      </c>
      <c r="E40" s="6">
        <v>221.8</v>
      </c>
      <c r="H40" s="3" t="s">
        <v>41</v>
      </c>
      <c r="I40" s="3">
        <v>195</v>
      </c>
    </row>
    <row r="41" spans="2:9">
      <c r="B41" s="6">
        <v>39</v>
      </c>
      <c r="C41" s="6">
        <v>228.3</v>
      </c>
      <c r="D41" s="6">
        <v>99</v>
      </c>
      <c r="E41" s="6">
        <v>206.2</v>
      </c>
      <c r="H41" s="3" t="s">
        <v>42</v>
      </c>
      <c r="I41" s="3">
        <v>47</v>
      </c>
    </row>
    <row r="42" spans="2:9">
      <c r="B42" s="6">
        <v>40</v>
      </c>
      <c r="C42" s="6">
        <v>204.4</v>
      </c>
      <c r="D42" s="6">
        <v>100</v>
      </c>
      <c r="E42" s="6">
        <v>235.9</v>
      </c>
      <c r="H42" s="3" t="s">
        <v>43</v>
      </c>
      <c r="I42" s="3">
        <v>25</v>
      </c>
    </row>
    <row r="43" spans="2:9" ht="18">
      <c r="B43" s="6">
        <v>41</v>
      </c>
      <c r="C43" s="6">
        <v>195.6</v>
      </c>
      <c r="D43" s="6">
        <v>101</v>
      </c>
      <c r="E43" s="6">
        <v>218.5</v>
      </c>
      <c r="H43" s="3" t="s">
        <v>193</v>
      </c>
      <c r="I43" s="3">
        <v>202.8</v>
      </c>
    </row>
    <row r="44" spans="2:9" ht="18">
      <c r="B44" s="6">
        <v>42</v>
      </c>
      <c r="C44" s="6">
        <v>221.8</v>
      </c>
      <c r="D44" s="6">
        <v>102</v>
      </c>
      <c r="E44" s="6">
        <v>168.5</v>
      </c>
      <c r="H44" s="207" t="s">
        <v>164</v>
      </c>
      <c r="I44" s="208"/>
    </row>
    <row r="45" spans="2:9">
      <c r="B45" s="6">
        <v>43</v>
      </c>
      <c r="C45" s="6">
        <v>206.6</v>
      </c>
      <c r="D45" s="6">
        <v>103</v>
      </c>
      <c r="E45" s="6">
        <v>183.6</v>
      </c>
      <c r="H45" s="3" t="s">
        <v>13</v>
      </c>
      <c r="I45" s="3">
        <f>3*J26/4</f>
        <v>90</v>
      </c>
    </row>
    <row r="46" spans="2:9">
      <c r="B46" s="6">
        <v>44</v>
      </c>
      <c r="C46" s="6">
        <v>235.9</v>
      </c>
      <c r="D46" s="6">
        <v>104</v>
      </c>
      <c r="E46" s="6">
        <v>213</v>
      </c>
      <c r="H46" s="3" t="s">
        <v>41</v>
      </c>
      <c r="I46" s="3">
        <v>225</v>
      </c>
    </row>
    <row r="47" spans="2:9">
      <c r="B47" s="6">
        <v>45</v>
      </c>
      <c r="C47" s="6">
        <v>218.5</v>
      </c>
      <c r="D47" s="6">
        <v>105</v>
      </c>
      <c r="E47" s="6">
        <v>180.8</v>
      </c>
      <c r="H47" s="3" t="s">
        <v>42</v>
      </c>
      <c r="I47" s="3">
        <v>86</v>
      </c>
    </row>
    <row r="48" spans="2:9">
      <c r="B48" s="6">
        <v>46</v>
      </c>
      <c r="C48" s="6">
        <v>168.4</v>
      </c>
      <c r="D48" s="6">
        <v>106</v>
      </c>
      <c r="E48" s="6">
        <v>208.4</v>
      </c>
      <c r="H48" s="3" t="s">
        <v>43</v>
      </c>
      <c r="I48" s="3">
        <v>24</v>
      </c>
    </row>
    <row r="49" spans="2:9" ht="18">
      <c r="B49" s="6">
        <v>47</v>
      </c>
      <c r="C49" s="6">
        <v>183.6</v>
      </c>
      <c r="D49" s="6">
        <v>107</v>
      </c>
      <c r="E49" s="6">
        <v>240.6</v>
      </c>
      <c r="H49" s="3" t="s">
        <v>194</v>
      </c>
      <c r="I49" s="3">
        <v>227.5</v>
      </c>
    </row>
    <row r="50" spans="2:9" ht="31.5">
      <c r="B50" s="6">
        <v>48</v>
      </c>
      <c r="C50" s="6">
        <v>213.2</v>
      </c>
      <c r="D50" s="6">
        <v>108</v>
      </c>
      <c r="E50" s="6">
        <v>208.2</v>
      </c>
      <c r="H50" s="83" t="s">
        <v>143</v>
      </c>
      <c r="I50" s="3">
        <f>(I49-I37)/2</f>
        <v>20</v>
      </c>
    </row>
    <row r="51" spans="2:9" ht="31.5">
      <c r="B51" s="6">
        <v>49</v>
      </c>
      <c r="C51" s="6">
        <v>180.8</v>
      </c>
      <c r="D51" s="6">
        <v>109</v>
      </c>
      <c r="E51" s="6">
        <v>187.2</v>
      </c>
      <c r="H51" s="83" t="s">
        <v>145</v>
      </c>
      <c r="I51" s="125">
        <f>(I49-I37)/(I49+I37)</f>
        <v>9.6385542168674704E-2</v>
      </c>
    </row>
    <row r="52" spans="2:9">
      <c r="B52" s="6">
        <v>50</v>
      </c>
      <c r="C52" s="6">
        <v>208.4</v>
      </c>
      <c r="D52" s="6">
        <v>110</v>
      </c>
      <c r="E52" s="6">
        <v>234.7</v>
      </c>
      <c r="H52" s="133"/>
      <c r="I52" s="133"/>
    </row>
    <row r="53" spans="2:9">
      <c r="B53" s="6">
        <v>51</v>
      </c>
      <c r="C53" s="6">
        <v>240.6</v>
      </c>
      <c r="D53" s="6">
        <v>111</v>
      </c>
      <c r="E53" s="6">
        <v>206.4</v>
      </c>
      <c r="H53" s="133"/>
      <c r="I53" s="133"/>
    </row>
    <row r="54" spans="2:9">
      <c r="B54" s="6">
        <v>52</v>
      </c>
      <c r="C54" s="6">
        <v>208.2</v>
      </c>
      <c r="D54" s="6">
        <v>112</v>
      </c>
      <c r="E54" s="6">
        <v>227.8</v>
      </c>
      <c r="H54" s="133"/>
      <c r="I54" s="133"/>
    </row>
    <row r="55" spans="2:9">
      <c r="B55" s="6">
        <v>53</v>
      </c>
      <c r="C55" s="6">
        <v>187.2</v>
      </c>
      <c r="D55" s="6">
        <v>113</v>
      </c>
      <c r="E55" s="6">
        <v>228.3</v>
      </c>
    </row>
    <row r="56" spans="2:9">
      <c r="B56" s="6">
        <v>54</v>
      </c>
      <c r="C56" s="6">
        <v>234.7</v>
      </c>
      <c r="D56" s="6">
        <v>114</v>
      </c>
      <c r="E56" s="6">
        <v>204.4</v>
      </c>
    </row>
    <row r="57" spans="2:9">
      <c r="B57" s="6">
        <v>55</v>
      </c>
      <c r="C57" s="6">
        <v>206.4</v>
      </c>
      <c r="D57" s="6">
        <v>115</v>
      </c>
      <c r="E57" s="6">
        <v>195.6</v>
      </c>
    </row>
    <row r="58" spans="2:9">
      <c r="B58" s="6">
        <v>56</v>
      </c>
      <c r="C58" s="6">
        <v>227.8</v>
      </c>
      <c r="D58" s="6">
        <v>116</v>
      </c>
      <c r="E58" s="6">
        <v>221.8</v>
      </c>
    </row>
    <row r="59" spans="2:9">
      <c r="B59" s="6">
        <v>57</v>
      </c>
      <c r="C59" s="6">
        <v>188.4</v>
      </c>
      <c r="D59" s="6">
        <v>117</v>
      </c>
      <c r="E59" s="6">
        <v>206.4</v>
      </c>
    </row>
    <row r="60" spans="2:9">
      <c r="B60" s="6">
        <v>58</v>
      </c>
      <c r="C60" s="6">
        <v>226.3</v>
      </c>
      <c r="D60" s="6">
        <v>118</v>
      </c>
      <c r="E60" s="6">
        <v>235.9</v>
      </c>
    </row>
    <row r="61" spans="2:9">
      <c r="B61" s="6">
        <v>59</v>
      </c>
      <c r="C61" s="6">
        <v>178.7</v>
      </c>
      <c r="D61" s="6">
        <v>119</v>
      </c>
      <c r="E61" s="6">
        <v>218.5</v>
      </c>
    </row>
    <row r="62" spans="2:9">
      <c r="B62" s="7">
        <v>60</v>
      </c>
      <c r="C62" s="7">
        <v>228.8</v>
      </c>
      <c r="D62" s="7">
        <v>120</v>
      </c>
      <c r="E62" s="7">
        <v>168.7</v>
      </c>
    </row>
  </sheetData>
  <mergeCells count="3">
    <mergeCell ref="H32:I32"/>
    <mergeCell ref="H38:I38"/>
    <mergeCell ref="H44:I4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3A7B1-6E0C-4AA9-8C47-AAB1D3FDB183}">
  <dimension ref="A1:S130"/>
  <sheetViews>
    <sheetView zoomScale="60" zoomScaleNormal="60" workbookViewId="0">
      <selection activeCell="Y14" sqref="Y14"/>
    </sheetView>
  </sheetViews>
  <sheetFormatPr defaultRowHeight="15"/>
  <cols>
    <col min="1" max="1" width="20" customWidth="1"/>
    <col min="2" max="2" width="14.7109375" customWidth="1"/>
    <col min="3" max="3" width="16" customWidth="1"/>
    <col min="4" max="4" width="10.28515625" customWidth="1"/>
    <col min="7" max="7" width="11" customWidth="1"/>
    <col min="8" max="8" width="10.140625" customWidth="1"/>
    <col min="9" max="9" width="7.85546875" customWidth="1"/>
    <col min="10" max="10" width="7.7109375" customWidth="1"/>
    <col min="11" max="11" width="8" customWidth="1"/>
    <col min="12" max="12" width="12.140625" customWidth="1"/>
    <col min="13" max="13" width="34.140625" customWidth="1"/>
    <col min="14" max="14" width="8.42578125" customWidth="1"/>
    <col min="15" max="15" width="10.5703125" customWidth="1"/>
    <col min="16" max="16" width="11" customWidth="1"/>
    <col min="17" max="17" width="12" customWidth="1"/>
    <col min="18" max="18" width="8.85546875" customWidth="1"/>
  </cols>
  <sheetData>
    <row r="1" spans="1:19" ht="26.25">
      <c r="A1" s="220" t="s">
        <v>191</v>
      </c>
      <c r="B1" s="220"/>
      <c r="C1" s="220"/>
      <c r="D1" s="220"/>
      <c r="E1" s="17"/>
      <c r="F1" s="17"/>
      <c r="G1" s="17"/>
      <c r="H1" s="17"/>
      <c r="I1" s="17"/>
      <c r="J1" s="17"/>
      <c r="K1" s="17"/>
      <c r="L1" s="17"/>
      <c r="M1" s="17"/>
      <c r="N1" s="17"/>
      <c r="O1" s="17"/>
      <c r="P1" s="17"/>
      <c r="Q1" s="17"/>
    </row>
    <row r="2" spans="1:19" ht="15.75">
      <c r="A2" s="19" t="s">
        <v>245</v>
      </c>
      <c r="B2" s="2" t="s">
        <v>163</v>
      </c>
      <c r="C2" s="17"/>
      <c r="D2" s="17"/>
      <c r="E2" s="19" t="s">
        <v>246</v>
      </c>
      <c r="F2" s="2" t="s">
        <v>165</v>
      </c>
      <c r="G2" s="2"/>
      <c r="H2" s="2"/>
      <c r="I2" s="2"/>
      <c r="J2" s="17"/>
      <c r="K2" s="17"/>
      <c r="L2" s="17"/>
      <c r="M2" s="17"/>
      <c r="N2" s="17"/>
      <c r="O2" s="17"/>
      <c r="P2" s="17"/>
      <c r="Q2" s="17"/>
    </row>
    <row r="3" spans="1:19" ht="63" customHeight="1">
      <c r="A3" s="170" t="s">
        <v>18</v>
      </c>
      <c r="B3" s="171" t="s">
        <v>182</v>
      </c>
      <c r="C3" s="172" t="s">
        <v>118</v>
      </c>
      <c r="D3" s="21" t="s">
        <v>119</v>
      </c>
      <c r="E3" s="17"/>
      <c r="F3" s="17"/>
      <c r="G3" s="173" t="s">
        <v>148</v>
      </c>
      <c r="H3" s="123" t="s">
        <v>149</v>
      </c>
      <c r="I3" s="174" t="s">
        <v>108</v>
      </c>
      <c r="J3" s="123" t="s">
        <v>169</v>
      </c>
      <c r="K3" s="9" t="s">
        <v>30</v>
      </c>
      <c r="L3" s="9" t="s">
        <v>31</v>
      </c>
      <c r="M3" s="152" t="s">
        <v>173</v>
      </c>
      <c r="N3" s="175" t="s">
        <v>4</v>
      </c>
      <c r="O3" s="45" t="s">
        <v>118</v>
      </c>
      <c r="P3" s="21" t="s">
        <v>119</v>
      </c>
      <c r="Q3" s="21" t="s">
        <v>120</v>
      </c>
      <c r="R3" s="19"/>
      <c r="S3" s="19"/>
    </row>
    <row r="4" spans="1:19" ht="17.25" customHeight="1">
      <c r="A4" s="176">
        <v>1</v>
      </c>
      <c r="B4" s="177">
        <v>187.2</v>
      </c>
      <c r="C4" s="13">
        <f>B4-$B$124</f>
        <v>-18.277500000000089</v>
      </c>
      <c r="D4" s="13" cm="1">
        <f t="array" ref="D4:D123">ABS(C4:C123)</f>
        <v>18.277500000000089</v>
      </c>
      <c r="E4" s="17"/>
      <c r="F4" s="17"/>
      <c r="G4" s="178" t="s">
        <v>21</v>
      </c>
      <c r="H4" s="178" t="s">
        <v>151</v>
      </c>
      <c r="I4" s="179">
        <v>164</v>
      </c>
      <c r="J4" s="178">
        <v>4</v>
      </c>
      <c r="K4" s="178">
        <v>150</v>
      </c>
      <c r="L4" s="179">
        <v>165</v>
      </c>
      <c r="M4" s="179">
        <f>(K4+L4)/2</f>
        <v>157.5</v>
      </c>
      <c r="N4" s="178">
        <f>J4*M4</f>
        <v>630</v>
      </c>
      <c r="O4" s="178">
        <f t="shared" ref="O4:O11" si="0">M4-$N$13</f>
        <v>-48.75</v>
      </c>
      <c r="P4" s="13" cm="1">
        <f t="array" ref="P4:P11">ABS(O4:O11)</f>
        <v>48.75</v>
      </c>
      <c r="Q4" s="13">
        <f t="shared" ref="Q4:Q11" si="1">P4*J4</f>
        <v>195</v>
      </c>
      <c r="R4" s="117"/>
    </row>
    <row r="5" spans="1:19" ht="15.75">
      <c r="A5" s="176">
        <v>2</v>
      </c>
      <c r="B5" s="177">
        <v>207.9</v>
      </c>
      <c r="C5" s="14">
        <f t="shared" ref="C5:C68" si="2">B5-$B$124</f>
        <v>2.4224999999999284</v>
      </c>
      <c r="D5" s="14">
        <v>2.4224999999999284</v>
      </c>
      <c r="E5" s="17"/>
      <c r="F5" s="180" t="s">
        <v>152</v>
      </c>
      <c r="G5" s="176" t="s">
        <v>22</v>
      </c>
      <c r="H5" s="176" t="s">
        <v>153</v>
      </c>
      <c r="I5" s="177">
        <v>179</v>
      </c>
      <c r="J5" s="176">
        <v>9</v>
      </c>
      <c r="K5" s="176">
        <v>165</v>
      </c>
      <c r="L5" s="177">
        <v>180</v>
      </c>
      <c r="M5" s="177">
        <f t="shared" ref="M5:M11" si="3">(K5+L5)/2</f>
        <v>172.5</v>
      </c>
      <c r="N5" s="176">
        <f>J5*M5</f>
        <v>1552.5</v>
      </c>
      <c r="O5" s="176">
        <f t="shared" si="0"/>
        <v>-33.75</v>
      </c>
      <c r="P5" s="14">
        <v>33.75</v>
      </c>
      <c r="Q5" s="14">
        <f t="shared" si="1"/>
        <v>303.75</v>
      </c>
    </row>
    <row r="6" spans="1:19" ht="15.75">
      <c r="A6" s="176">
        <v>3</v>
      </c>
      <c r="B6" s="177">
        <v>171.5</v>
      </c>
      <c r="C6" s="14">
        <f t="shared" si="2"/>
        <v>-33.977500000000077</v>
      </c>
      <c r="D6" s="14">
        <v>33.977500000000077</v>
      </c>
      <c r="E6" s="17"/>
      <c r="F6" s="18">
        <v>151.19999999999999</v>
      </c>
      <c r="G6" s="176" t="s">
        <v>23</v>
      </c>
      <c r="H6" s="176" t="s">
        <v>154</v>
      </c>
      <c r="I6" s="177">
        <v>194</v>
      </c>
      <c r="J6" s="176">
        <v>34</v>
      </c>
      <c r="K6" s="176">
        <v>180</v>
      </c>
      <c r="L6" s="177">
        <v>195</v>
      </c>
      <c r="M6" s="177">
        <f t="shared" si="3"/>
        <v>187.5</v>
      </c>
      <c r="N6" s="176">
        <f t="shared" ref="N6:N11" si="4">J6*M6</f>
        <v>6375</v>
      </c>
      <c r="O6" s="176">
        <f t="shared" si="0"/>
        <v>-18.75</v>
      </c>
      <c r="P6" s="14">
        <v>18.75</v>
      </c>
      <c r="Q6" s="14">
        <f t="shared" si="1"/>
        <v>637.5</v>
      </c>
    </row>
    <row r="7" spans="1:19" ht="15.75">
      <c r="A7" s="176">
        <v>4</v>
      </c>
      <c r="B7" s="177">
        <v>217.7</v>
      </c>
      <c r="C7" s="14">
        <f t="shared" si="2"/>
        <v>12.222499999999911</v>
      </c>
      <c r="D7" s="14">
        <v>12.222499999999911</v>
      </c>
      <c r="E7" s="17"/>
      <c r="F7" s="180" t="s">
        <v>155</v>
      </c>
      <c r="G7" s="176" t="s">
        <v>24</v>
      </c>
      <c r="H7" s="176" t="s">
        <v>156</v>
      </c>
      <c r="I7" s="177">
        <v>209</v>
      </c>
      <c r="J7" s="176">
        <v>25</v>
      </c>
      <c r="K7" s="176">
        <v>195</v>
      </c>
      <c r="L7" s="177">
        <v>210</v>
      </c>
      <c r="M7" s="177">
        <f t="shared" si="3"/>
        <v>202.5</v>
      </c>
      <c r="N7" s="176">
        <f t="shared" si="4"/>
        <v>5062.5</v>
      </c>
      <c r="O7" s="176">
        <f t="shared" si="0"/>
        <v>-3.75</v>
      </c>
      <c r="P7" s="14">
        <v>3.75</v>
      </c>
      <c r="Q7" s="14">
        <f t="shared" si="1"/>
        <v>93.75</v>
      </c>
    </row>
    <row r="8" spans="1:19" ht="15.75">
      <c r="A8" s="176">
        <v>5</v>
      </c>
      <c r="B8" s="177">
        <v>199.5</v>
      </c>
      <c r="C8" s="14">
        <f t="shared" si="2"/>
        <v>-5.9775000000000773</v>
      </c>
      <c r="D8" s="14">
        <v>5.9775000000000773</v>
      </c>
      <c r="E8" s="17"/>
      <c r="F8" s="18">
        <v>268.8</v>
      </c>
      <c r="G8" s="176" t="s">
        <v>25</v>
      </c>
      <c r="H8" s="176" t="s">
        <v>157</v>
      </c>
      <c r="I8" s="177">
        <v>224</v>
      </c>
      <c r="J8" s="176">
        <v>14</v>
      </c>
      <c r="K8" s="176">
        <v>210</v>
      </c>
      <c r="L8" s="177">
        <v>225</v>
      </c>
      <c r="M8" s="177">
        <f t="shared" si="3"/>
        <v>217.5</v>
      </c>
      <c r="N8" s="176">
        <f t="shared" si="4"/>
        <v>3045</v>
      </c>
      <c r="O8" s="176">
        <f t="shared" si="0"/>
        <v>11.25</v>
      </c>
      <c r="P8" s="14">
        <v>11.25</v>
      </c>
      <c r="Q8" s="14">
        <f t="shared" si="1"/>
        <v>157.5</v>
      </c>
    </row>
    <row r="9" spans="1:19" ht="15.75">
      <c r="A9" s="176">
        <v>6</v>
      </c>
      <c r="B9" s="177">
        <v>185.7</v>
      </c>
      <c r="C9" s="14">
        <f t="shared" si="2"/>
        <v>-19.777500000000089</v>
      </c>
      <c r="D9" s="14">
        <v>19.777500000000089</v>
      </c>
      <c r="E9" s="17"/>
      <c r="F9" s="180" t="s">
        <v>158</v>
      </c>
      <c r="G9" s="176" t="s">
        <v>26</v>
      </c>
      <c r="H9" s="176" t="s">
        <v>159</v>
      </c>
      <c r="I9" s="177">
        <v>239</v>
      </c>
      <c r="J9" s="176">
        <v>24</v>
      </c>
      <c r="K9" s="176">
        <v>225</v>
      </c>
      <c r="L9" s="177">
        <v>240</v>
      </c>
      <c r="M9" s="177">
        <f t="shared" si="3"/>
        <v>232.5</v>
      </c>
      <c r="N9" s="176">
        <f t="shared" si="4"/>
        <v>5580</v>
      </c>
      <c r="O9" s="176">
        <f t="shared" si="0"/>
        <v>26.25</v>
      </c>
      <c r="P9" s="14">
        <v>26.25</v>
      </c>
      <c r="Q9" s="14">
        <f t="shared" si="1"/>
        <v>630</v>
      </c>
    </row>
    <row r="10" spans="1:19" ht="15.75">
      <c r="A10" s="176">
        <v>7</v>
      </c>
      <c r="B10" s="177">
        <v>268.8</v>
      </c>
      <c r="C10" s="14">
        <f t="shared" si="2"/>
        <v>63.322499999999934</v>
      </c>
      <c r="D10" s="14">
        <v>63.322499999999934</v>
      </c>
      <c r="E10" s="17"/>
      <c r="F10" s="18">
        <v>14.872822006981702</v>
      </c>
      <c r="G10" s="176" t="s">
        <v>27</v>
      </c>
      <c r="H10" s="176" t="s">
        <v>160</v>
      </c>
      <c r="I10" s="177">
        <v>254</v>
      </c>
      <c r="J10" s="176">
        <v>8</v>
      </c>
      <c r="K10" s="176">
        <v>240</v>
      </c>
      <c r="L10" s="177">
        <v>255</v>
      </c>
      <c r="M10" s="177">
        <f t="shared" si="3"/>
        <v>247.5</v>
      </c>
      <c r="N10" s="176">
        <f t="shared" si="4"/>
        <v>1980</v>
      </c>
      <c r="O10" s="176">
        <f t="shared" si="0"/>
        <v>41.25</v>
      </c>
      <c r="P10" s="14">
        <v>41.25</v>
      </c>
      <c r="Q10" s="14">
        <f t="shared" si="1"/>
        <v>330</v>
      </c>
    </row>
    <row r="11" spans="1:19" ht="15.75">
      <c r="A11" s="176">
        <v>8</v>
      </c>
      <c r="B11" s="177">
        <v>201.5</v>
      </c>
      <c r="C11" s="14">
        <f t="shared" si="2"/>
        <v>-3.9775000000000773</v>
      </c>
      <c r="D11" s="14">
        <v>3.9775000000000773</v>
      </c>
      <c r="E11" s="17"/>
      <c r="F11" s="18" t="s">
        <v>161</v>
      </c>
      <c r="G11" s="181" t="s">
        <v>28</v>
      </c>
      <c r="H11" s="181" t="s">
        <v>162</v>
      </c>
      <c r="I11" s="177">
        <v>269</v>
      </c>
      <c r="J11" s="176">
        <v>2</v>
      </c>
      <c r="K11" s="176">
        <v>255</v>
      </c>
      <c r="L11" s="177">
        <v>270</v>
      </c>
      <c r="M11" s="182">
        <f t="shared" si="3"/>
        <v>262.5</v>
      </c>
      <c r="N11" s="181">
        <f t="shared" si="4"/>
        <v>525</v>
      </c>
      <c r="O11" s="181">
        <f t="shared" si="0"/>
        <v>56.25</v>
      </c>
      <c r="P11" s="14">
        <v>56.25</v>
      </c>
      <c r="Q11" s="15">
        <f t="shared" si="1"/>
        <v>112.5</v>
      </c>
    </row>
    <row r="12" spans="1:19" ht="15.75">
      <c r="A12" s="176">
        <v>9</v>
      </c>
      <c r="B12" s="177">
        <v>173.1</v>
      </c>
      <c r="C12" s="14">
        <f t="shared" si="2"/>
        <v>-32.377500000000083</v>
      </c>
      <c r="D12" s="14">
        <v>32.377500000000083</v>
      </c>
      <c r="E12" s="17"/>
      <c r="F12" s="17"/>
      <c r="G12" s="17"/>
      <c r="H12" s="17"/>
      <c r="I12" s="170" t="s">
        <v>34</v>
      </c>
      <c r="J12" s="156">
        <v>120</v>
      </c>
      <c r="K12" s="179"/>
      <c r="L12" s="183"/>
      <c r="M12" s="170" t="s">
        <v>35</v>
      </c>
      <c r="N12" s="156">
        <f>SUM(N4:N11)</f>
        <v>24750</v>
      </c>
      <c r="O12" s="17"/>
      <c r="P12" s="115" t="s">
        <v>121</v>
      </c>
      <c r="Q12" s="184">
        <f>SUM(Q4:Q11)</f>
        <v>2460</v>
      </c>
    </row>
    <row r="13" spans="1:19" ht="15.75">
      <c r="A13" s="176">
        <v>10</v>
      </c>
      <c r="B13" s="177">
        <v>192.7</v>
      </c>
      <c r="C13" s="14">
        <f t="shared" si="2"/>
        <v>-12.777500000000089</v>
      </c>
      <c r="D13" s="14">
        <v>12.777500000000089</v>
      </c>
      <c r="E13" s="17"/>
      <c r="F13" s="17"/>
      <c r="G13" s="17"/>
      <c r="H13" s="17"/>
      <c r="I13" s="185" t="s">
        <v>44</v>
      </c>
      <c r="J13" s="156">
        <v>15</v>
      </c>
      <c r="K13" s="17"/>
      <c r="L13" s="17"/>
      <c r="M13" s="19" t="s">
        <v>172</v>
      </c>
      <c r="N13" s="18">
        <f>N12/J12</f>
        <v>206.25</v>
      </c>
      <c r="O13" s="17"/>
      <c r="P13" s="17"/>
      <c r="Q13" s="17"/>
    </row>
    <row r="14" spans="1:19" ht="31.5">
      <c r="A14" s="176">
        <v>11</v>
      </c>
      <c r="B14" s="177">
        <v>157.30000000000001</v>
      </c>
      <c r="C14" s="14">
        <f t="shared" si="2"/>
        <v>-48.177500000000066</v>
      </c>
      <c r="D14" s="14">
        <v>48.177500000000066</v>
      </c>
      <c r="E14" s="17"/>
      <c r="F14" s="18"/>
      <c r="G14" s="18"/>
      <c r="H14" s="17"/>
      <c r="I14" s="17"/>
      <c r="J14" s="17"/>
      <c r="K14" s="17"/>
      <c r="L14" s="17"/>
      <c r="M14" s="83" t="s">
        <v>126</v>
      </c>
      <c r="N14" s="16">
        <f>Q12/J12</f>
        <v>20.5</v>
      </c>
      <c r="O14" s="17"/>
      <c r="P14" s="17"/>
      <c r="Q14" s="17"/>
    </row>
    <row r="15" spans="1:19" ht="15.75">
      <c r="A15" s="176">
        <v>12</v>
      </c>
      <c r="B15" s="177">
        <v>244.4</v>
      </c>
      <c r="C15" s="14">
        <f t="shared" si="2"/>
        <v>38.922499999999928</v>
      </c>
      <c r="D15" s="14">
        <v>38.922499999999928</v>
      </c>
      <c r="E15" s="17"/>
      <c r="F15" s="18"/>
      <c r="G15" s="18"/>
      <c r="H15" s="17"/>
      <c r="I15" s="17"/>
      <c r="J15" s="17"/>
      <c r="K15" s="17"/>
      <c r="L15" s="17"/>
      <c r="M15" s="83"/>
      <c r="N15" s="16"/>
      <c r="O15" s="17"/>
      <c r="P15" s="17"/>
      <c r="Q15" s="17"/>
    </row>
    <row r="16" spans="1:19" ht="15.75">
      <c r="A16" s="176">
        <v>13</v>
      </c>
      <c r="B16" s="177">
        <v>182.2</v>
      </c>
      <c r="C16" s="14">
        <f t="shared" si="2"/>
        <v>-23.277500000000089</v>
      </c>
      <c r="D16" s="14">
        <v>23.277500000000089</v>
      </c>
      <c r="E16" s="17"/>
      <c r="F16" s="18"/>
      <c r="G16" s="18"/>
      <c r="H16" s="17"/>
      <c r="I16" s="17"/>
      <c r="J16" s="17"/>
      <c r="K16" s="17"/>
      <c r="L16" s="17"/>
      <c r="M16" s="19"/>
      <c r="N16" s="16"/>
      <c r="O16" s="17"/>
      <c r="P16" s="17"/>
      <c r="Q16" s="17"/>
    </row>
    <row r="17" spans="1:18" ht="36.75" customHeight="1">
      <c r="A17" s="176">
        <v>14</v>
      </c>
      <c r="B17" s="177">
        <v>241.5</v>
      </c>
      <c r="C17" s="14">
        <f t="shared" si="2"/>
        <v>36.022499999999923</v>
      </c>
      <c r="D17" s="14">
        <v>36.022499999999923</v>
      </c>
      <c r="E17" s="17"/>
      <c r="F17" s="18"/>
      <c r="G17" s="18"/>
      <c r="H17" s="17"/>
      <c r="I17" s="17"/>
      <c r="J17" s="17"/>
      <c r="K17" s="17"/>
      <c r="L17" s="17"/>
      <c r="M17" s="83"/>
      <c r="N17" s="186"/>
      <c r="O17" s="17"/>
      <c r="P17" s="17"/>
      <c r="Q17" s="17"/>
    </row>
    <row r="18" spans="1:18" ht="46.5" customHeight="1">
      <c r="A18" s="176">
        <v>15</v>
      </c>
      <c r="B18" s="177">
        <v>232.4</v>
      </c>
      <c r="C18" s="14">
        <f t="shared" si="2"/>
        <v>26.922499999999928</v>
      </c>
      <c r="D18" s="14">
        <v>26.922499999999928</v>
      </c>
      <c r="E18" s="17"/>
      <c r="F18" s="18"/>
      <c r="G18" s="173" t="s">
        <v>148</v>
      </c>
      <c r="H18" s="123" t="s">
        <v>149</v>
      </c>
      <c r="I18" s="174" t="s">
        <v>108</v>
      </c>
      <c r="J18" s="187" t="s">
        <v>169</v>
      </c>
      <c r="K18" s="9" t="s">
        <v>30</v>
      </c>
      <c r="L18" s="9" t="s">
        <v>31</v>
      </c>
      <c r="M18" s="116" t="s">
        <v>173</v>
      </c>
      <c r="N18" s="21" t="s">
        <v>4</v>
      </c>
      <c r="O18" s="45" t="s">
        <v>118</v>
      </c>
      <c r="P18" s="45" t="s">
        <v>122</v>
      </c>
      <c r="Q18" s="45" t="s">
        <v>170</v>
      </c>
    </row>
    <row r="19" spans="1:18" ht="15.75">
      <c r="A19" s="176">
        <v>16</v>
      </c>
      <c r="B19" s="177">
        <v>182.4</v>
      </c>
      <c r="C19" s="14">
        <f t="shared" si="2"/>
        <v>-23.077500000000072</v>
      </c>
      <c r="D19" s="14">
        <v>23.077500000000072</v>
      </c>
      <c r="E19" s="17"/>
      <c r="F19" s="18"/>
      <c r="G19" s="178" t="s">
        <v>21</v>
      </c>
      <c r="H19" s="178" t="s">
        <v>151</v>
      </c>
      <c r="I19" s="179">
        <v>164</v>
      </c>
      <c r="J19" s="179">
        <v>4</v>
      </c>
      <c r="K19" s="176">
        <v>150</v>
      </c>
      <c r="L19" s="176">
        <v>165</v>
      </c>
      <c r="M19" s="16">
        <v>157.5</v>
      </c>
      <c r="N19" s="153">
        <v>630</v>
      </c>
      <c r="O19" s="188">
        <f>M19-$N$28</f>
        <v>-48.75</v>
      </c>
      <c r="P19" s="189">
        <f>O19^2</f>
        <v>2376.5625</v>
      </c>
      <c r="Q19" s="13">
        <f>P19*J19</f>
        <v>9506.25</v>
      </c>
    </row>
    <row r="20" spans="1:18" ht="15.75">
      <c r="A20" s="176">
        <v>17</v>
      </c>
      <c r="B20" s="177">
        <v>182.7</v>
      </c>
      <c r="C20" s="14">
        <f t="shared" si="2"/>
        <v>-22.777500000000089</v>
      </c>
      <c r="D20" s="14">
        <v>22.777500000000089</v>
      </c>
      <c r="E20" s="17"/>
      <c r="F20" s="18"/>
      <c r="G20" s="176" t="s">
        <v>22</v>
      </c>
      <c r="H20" s="176" t="s">
        <v>153</v>
      </c>
      <c r="I20" s="177">
        <v>179</v>
      </c>
      <c r="J20" s="177">
        <v>9</v>
      </c>
      <c r="K20" s="176">
        <v>165</v>
      </c>
      <c r="L20" s="176">
        <v>180</v>
      </c>
      <c r="M20" s="16">
        <v>172.5</v>
      </c>
      <c r="N20" s="154">
        <v>1552.5</v>
      </c>
      <c r="O20" s="190">
        <f t="shared" ref="O20:O26" si="5">M20-$N$28</f>
        <v>-33.75</v>
      </c>
      <c r="P20" s="191">
        <f t="shared" ref="P20:P26" si="6">O20^2</f>
        <v>1139.0625</v>
      </c>
      <c r="Q20" s="14">
        <f t="shared" ref="Q20:Q26" si="7">P20*J20</f>
        <v>10251.5625</v>
      </c>
    </row>
    <row r="21" spans="1:18" ht="15.75">
      <c r="A21" s="176">
        <v>18</v>
      </c>
      <c r="B21" s="177">
        <v>151.19999999999999</v>
      </c>
      <c r="C21" s="14">
        <f t="shared" si="2"/>
        <v>-54.277500000000089</v>
      </c>
      <c r="D21" s="14">
        <v>54.277500000000089</v>
      </c>
      <c r="E21" s="17"/>
      <c r="F21" s="18"/>
      <c r="G21" s="176" t="s">
        <v>23</v>
      </c>
      <c r="H21" s="176" t="s">
        <v>154</v>
      </c>
      <c r="I21" s="177">
        <v>194</v>
      </c>
      <c r="J21" s="177">
        <v>34</v>
      </c>
      <c r="K21" s="176">
        <v>180</v>
      </c>
      <c r="L21" s="176">
        <v>195</v>
      </c>
      <c r="M21" s="16">
        <v>187.5</v>
      </c>
      <c r="N21" s="154">
        <v>6375</v>
      </c>
      <c r="O21" s="190">
        <f t="shared" si="5"/>
        <v>-18.75</v>
      </c>
      <c r="P21" s="191">
        <f t="shared" si="6"/>
        <v>351.5625</v>
      </c>
      <c r="Q21" s="14">
        <f t="shared" si="7"/>
        <v>11953.125</v>
      </c>
    </row>
    <row r="22" spans="1:18" ht="15.75">
      <c r="A22" s="176">
        <v>19</v>
      </c>
      <c r="B22" s="177">
        <v>191.6</v>
      </c>
      <c r="C22" s="14">
        <f t="shared" si="2"/>
        <v>-13.877500000000083</v>
      </c>
      <c r="D22" s="14">
        <v>13.877500000000083</v>
      </c>
      <c r="E22" s="17"/>
      <c r="F22" s="18"/>
      <c r="G22" s="176" t="s">
        <v>24</v>
      </c>
      <c r="H22" s="176" t="s">
        <v>156</v>
      </c>
      <c r="I22" s="177">
        <v>209</v>
      </c>
      <c r="J22" s="177">
        <v>25</v>
      </c>
      <c r="K22" s="176">
        <v>195</v>
      </c>
      <c r="L22" s="176">
        <v>210</v>
      </c>
      <c r="M22" s="16">
        <v>202.5</v>
      </c>
      <c r="N22" s="154">
        <v>5062.5</v>
      </c>
      <c r="O22" s="190">
        <f t="shared" si="5"/>
        <v>-3.75</v>
      </c>
      <c r="P22" s="191">
        <f t="shared" si="6"/>
        <v>14.0625</v>
      </c>
      <c r="Q22" s="14">
        <f t="shared" si="7"/>
        <v>351.5625</v>
      </c>
    </row>
    <row r="23" spans="1:18" ht="15.75">
      <c r="A23" s="176">
        <v>20</v>
      </c>
      <c r="B23" s="177">
        <v>188.4</v>
      </c>
      <c r="C23" s="14">
        <f t="shared" si="2"/>
        <v>-17.077500000000072</v>
      </c>
      <c r="D23" s="14">
        <v>17.077500000000072</v>
      </c>
      <c r="E23" s="17"/>
      <c r="F23" s="18"/>
      <c r="G23" s="176" t="s">
        <v>25</v>
      </c>
      <c r="H23" s="176" t="s">
        <v>157</v>
      </c>
      <c r="I23" s="177">
        <v>224</v>
      </c>
      <c r="J23" s="177">
        <v>14</v>
      </c>
      <c r="K23" s="176">
        <v>210</v>
      </c>
      <c r="L23" s="176">
        <v>225</v>
      </c>
      <c r="M23" s="16">
        <v>217.5</v>
      </c>
      <c r="N23" s="154">
        <v>3045</v>
      </c>
      <c r="O23" s="190">
        <f t="shared" si="5"/>
        <v>11.25</v>
      </c>
      <c r="P23" s="191">
        <f t="shared" si="6"/>
        <v>126.5625</v>
      </c>
      <c r="Q23" s="14">
        <f t="shared" si="7"/>
        <v>1771.875</v>
      </c>
    </row>
    <row r="24" spans="1:18" ht="15.75">
      <c r="A24" s="176">
        <v>21</v>
      </c>
      <c r="B24" s="177">
        <v>226.3</v>
      </c>
      <c r="C24" s="14">
        <f t="shared" si="2"/>
        <v>20.822499999999934</v>
      </c>
      <c r="D24" s="14">
        <v>20.822499999999934</v>
      </c>
      <c r="E24" s="17"/>
      <c r="F24" s="18"/>
      <c r="G24" s="176" t="s">
        <v>26</v>
      </c>
      <c r="H24" s="176" t="s">
        <v>159</v>
      </c>
      <c r="I24" s="177">
        <v>239</v>
      </c>
      <c r="J24" s="177">
        <v>24</v>
      </c>
      <c r="K24" s="176">
        <v>225</v>
      </c>
      <c r="L24" s="176">
        <v>240</v>
      </c>
      <c r="M24" s="16">
        <v>232.5</v>
      </c>
      <c r="N24" s="154">
        <v>5580</v>
      </c>
      <c r="O24" s="190">
        <f t="shared" si="5"/>
        <v>26.25</v>
      </c>
      <c r="P24" s="191">
        <f t="shared" si="6"/>
        <v>689.0625</v>
      </c>
      <c r="Q24" s="14">
        <f t="shared" si="7"/>
        <v>16537.5</v>
      </c>
    </row>
    <row r="25" spans="1:18" ht="15.75">
      <c r="A25" s="176">
        <v>22</v>
      </c>
      <c r="B25" s="177">
        <v>178.7</v>
      </c>
      <c r="C25" s="14">
        <f t="shared" si="2"/>
        <v>-26.777500000000089</v>
      </c>
      <c r="D25" s="14">
        <v>26.777500000000089</v>
      </c>
      <c r="E25" s="17"/>
      <c r="F25" s="18"/>
      <c r="G25" s="176" t="s">
        <v>27</v>
      </c>
      <c r="H25" s="176" t="s">
        <v>160</v>
      </c>
      <c r="I25" s="177">
        <v>254</v>
      </c>
      <c r="J25" s="177">
        <v>8</v>
      </c>
      <c r="K25" s="176">
        <v>240</v>
      </c>
      <c r="L25" s="176">
        <v>255</v>
      </c>
      <c r="M25" s="16">
        <v>247.5</v>
      </c>
      <c r="N25" s="154">
        <v>1980</v>
      </c>
      <c r="O25" s="190">
        <f t="shared" si="5"/>
        <v>41.25</v>
      </c>
      <c r="P25" s="191">
        <f t="shared" si="6"/>
        <v>1701.5625</v>
      </c>
      <c r="Q25" s="14">
        <f t="shared" si="7"/>
        <v>13612.5</v>
      </c>
    </row>
    <row r="26" spans="1:18" ht="15.75">
      <c r="A26" s="176">
        <v>23</v>
      </c>
      <c r="B26" s="177">
        <v>228.8</v>
      </c>
      <c r="C26" s="14">
        <f t="shared" si="2"/>
        <v>23.322499999999934</v>
      </c>
      <c r="D26" s="14">
        <v>23.322499999999934</v>
      </c>
      <c r="E26" s="17"/>
      <c r="F26" s="18"/>
      <c r="G26" s="181" t="s">
        <v>28</v>
      </c>
      <c r="H26" s="181" t="s">
        <v>162</v>
      </c>
      <c r="I26" s="177">
        <v>269</v>
      </c>
      <c r="J26" s="177">
        <v>2</v>
      </c>
      <c r="K26" s="181">
        <v>255</v>
      </c>
      <c r="L26" s="181">
        <v>270</v>
      </c>
      <c r="M26" s="192">
        <v>262.5</v>
      </c>
      <c r="N26" s="155">
        <v>525</v>
      </c>
      <c r="O26" s="193">
        <f t="shared" si="5"/>
        <v>56.25</v>
      </c>
      <c r="P26" s="194">
        <f t="shared" si="6"/>
        <v>3164.0625</v>
      </c>
      <c r="Q26" s="15">
        <f t="shared" si="7"/>
        <v>6328.125</v>
      </c>
    </row>
    <row r="27" spans="1:18" ht="18">
      <c r="A27" s="176">
        <v>24</v>
      </c>
      <c r="B27" s="177">
        <v>182.6</v>
      </c>
      <c r="C27" s="14">
        <f t="shared" si="2"/>
        <v>-22.877500000000083</v>
      </c>
      <c r="D27" s="14">
        <v>22.877500000000083</v>
      </c>
      <c r="E27" s="17"/>
      <c r="F27" s="18"/>
      <c r="G27" s="17"/>
      <c r="H27" s="17"/>
      <c r="I27" s="170" t="s">
        <v>34</v>
      </c>
      <c r="J27" s="170">
        <v>120</v>
      </c>
      <c r="K27" s="17"/>
      <c r="L27" s="195"/>
      <c r="M27" s="21" t="s">
        <v>35</v>
      </c>
      <c r="N27" s="21">
        <v>24750</v>
      </c>
      <c r="O27" s="17"/>
      <c r="P27" s="92" t="s">
        <v>171</v>
      </c>
      <c r="Q27" s="14">
        <f>SUM(Q19:Q26)</f>
        <v>70312.5</v>
      </c>
    </row>
    <row r="28" spans="1:18" ht="15.75">
      <c r="A28" s="176">
        <v>25</v>
      </c>
      <c r="B28" s="177">
        <v>230.7</v>
      </c>
      <c r="C28" s="14">
        <f t="shared" si="2"/>
        <v>25.222499999999911</v>
      </c>
      <c r="D28" s="14">
        <v>25.222499999999911</v>
      </c>
      <c r="E28" s="17"/>
      <c r="F28" s="18"/>
      <c r="G28" s="17"/>
      <c r="H28" s="17"/>
      <c r="I28" s="167" t="s">
        <v>44</v>
      </c>
      <c r="J28" s="170">
        <v>15</v>
      </c>
      <c r="K28" s="17"/>
      <c r="L28" s="17"/>
      <c r="M28" s="19" t="s">
        <v>172</v>
      </c>
      <c r="N28" s="19">
        <v>206.25</v>
      </c>
      <c r="O28" s="17"/>
      <c r="P28" s="17"/>
      <c r="Q28" s="17"/>
    </row>
    <row r="29" spans="1:18" ht="15.75">
      <c r="A29" s="176">
        <v>26</v>
      </c>
      <c r="B29" s="177">
        <v>186.3</v>
      </c>
      <c r="C29" s="14">
        <f t="shared" si="2"/>
        <v>-19.177500000000066</v>
      </c>
      <c r="D29" s="14">
        <v>19.177500000000066</v>
      </c>
      <c r="E29" s="17"/>
      <c r="F29" s="18"/>
      <c r="G29" s="18"/>
      <c r="H29" s="17"/>
      <c r="I29" s="17"/>
      <c r="J29" s="17"/>
      <c r="K29" s="17"/>
      <c r="L29" s="17"/>
      <c r="M29" s="19" t="s">
        <v>125</v>
      </c>
      <c r="N29" s="2">
        <f>Q27/J27</f>
        <v>585.9375</v>
      </c>
      <c r="O29" s="17"/>
      <c r="P29" s="17"/>
      <c r="Q29" s="17"/>
    </row>
    <row r="30" spans="1:18" ht="18" customHeight="1">
      <c r="A30" s="176">
        <v>27</v>
      </c>
      <c r="B30" s="177">
        <v>229.2</v>
      </c>
      <c r="C30" s="14">
        <f t="shared" si="2"/>
        <v>23.722499999999911</v>
      </c>
      <c r="D30" s="14">
        <v>23.722499999999911</v>
      </c>
      <c r="E30" s="17"/>
      <c r="F30" s="18"/>
      <c r="G30" s="18"/>
      <c r="H30" s="17"/>
      <c r="I30" s="17"/>
      <c r="J30" s="17"/>
      <c r="K30" s="17"/>
      <c r="L30" s="17"/>
      <c r="M30" s="83" t="s">
        <v>127</v>
      </c>
      <c r="N30" s="2">
        <f>SQRT(N29)</f>
        <v>24.206145913796355</v>
      </c>
      <c r="O30" s="17"/>
      <c r="P30" s="17"/>
      <c r="Q30" s="17"/>
    </row>
    <row r="31" spans="1:18" ht="21" customHeight="1">
      <c r="A31" s="176">
        <v>28</v>
      </c>
      <c r="B31" s="177">
        <v>230.1</v>
      </c>
      <c r="C31" s="14">
        <f t="shared" si="2"/>
        <v>24.622499999999917</v>
      </c>
      <c r="D31" s="14">
        <v>24.622499999999917</v>
      </c>
      <c r="E31" s="17"/>
      <c r="F31" s="18"/>
      <c r="G31" s="18"/>
      <c r="H31" s="17"/>
      <c r="I31" s="17"/>
      <c r="J31" s="17"/>
      <c r="K31" s="17"/>
      <c r="L31" s="17"/>
      <c r="M31" s="83" t="s">
        <v>128</v>
      </c>
      <c r="N31" s="2">
        <f>(N30/N28)*100</f>
        <v>11.736313170325506</v>
      </c>
      <c r="O31" s="17"/>
      <c r="P31" s="17"/>
      <c r="Q31" s="17"/>
    </row>
    <row r="32" spans="1:18" ht="15.75">
      <c r="A32" s="176">
        <v>29</v>
      </c>
      <c r="B32" s="177">
        <v>220.1</v>
      </c>
      <c r="C32" s="14">
        <f t="shared" si="2"/>
        <v>14.622499999999917</v>
      </c>
      <c r="D32" s="14">
        <v>14.622499999999917</v>
      </c>
      <c r="E32" s="17"/>
      <c r="F32" s="18"/>
      <c r="G32" s="18"/>
      <c r="H32" s="17"/>
      <c r="I32" s="17"/>
      <c r="J32" s="17"/>
      <c r="K32" s="17"/>
      <c r="L32" s="17"/>
      <c r="M32" s="17"/>
      <c r="N32" s="17"/>
      <c r="O32" s="17"/>
      <c r="P32" s="17"/>
      <c r="Q32" s="17"/>
      <c r="R32" s="17"/>
    </row>
    <row r="33" spans="1:18" ht="15.75">
      <c r="A33" s="176">
        <v>30</v>
      </c>
      <c r="B33" s="177">
        <v>189.4</v>
      </c>
      <c r="C33" s="14">
        <f t="shared" si="2"/>
        <v>-16.077500000000072</v>
      </c>
      <c r="D33" s="14">
        <v>16.077500000000072</v>
      </c>
      <c r="E33" s="17"/>
      <c r="F33" s="18"/>
      <c r="G33" s="18"/>
      <c r="H33" s="17"/>
      <c r="I33" s="17"/>
      <c r="J33" s="17"/>
      <c r="K33" s="17"/>
      <c r="L33" s="17"/>
      <c r="M33" s="17"/>
      <c r="N33" s="17"/>
      <c r="O33" s="17"/>
      <c r="P33" s="17"/>
      <c r="Q33" s="17"/>
      <c r="R33" s="17"/>
    </row>
    <row r="34" spans="1:18" ht="15.75">
      <c r="A34" s="176">
        <v>31</v>
      </c>
      <c r="B34" s="177">
        <v>188.4</v>
      </c>
      <c r="C34" s="14">
        <f t="shared" si="2"/>
        <v>-17.077500000000072</v>
      </c>
      <c r="D34" s="14">
        <v>17.077500000000072</v>
      </c>
      <c r="E34" s="17"/>
      <c r="F34" s="18"/>
      <c r="G34" s="18"/>
      <c r="H34" s="17"/>
      <c r="I34" s="17"/>
      <c r="J34" s="17"/>
      <c r="K34" s="17"/>
      <c r="L34" s="17"/>
      <c r="M34" s="17"/>
      <c r="N34" s="17"/>
      <c r="O34" s="17"/>
      <c r="P34" s="17"/>
      <c r="Q34" s="17"/>
      <c r="R34" s="17"/>
    </row>
    <row r="35" spans="1:18" ht="15.75">
      <c r="A35" s="176">
        <v>32</v>
      </c>
      <c r="B35" s="177">
        <v>179.1</v>
      </c>
      <c r="C35" s="14">
        <f t="shared" si="2"/>
        <v>-26.377500000000083</v>
      </c>
      <c r="D35" s="14">
        <v>26.377500000000083</v>
      </c>
      <c r="E35" s="17"/>
      <c r="F35" s="18"/>
      <c r="G35" s="18"/>
      <c r="H35" s="17"/>
      <c r="I35" s="17"/>
      <c r="J35" s="17"/>
      <c r="K35" s="17"/>
      <c r="L35" s="17"/>
      <c r="M35" s="17"/>
      <c r="N35" s="17"/>
      <c r="O35" s="17"/>
      <c r="P35" s="17"/>
      <c r="Q35" s="17"/>
      <c r="R35" s="17"/>
    </row>
    <row r="36" spans="1:18" ht="15.75">
      <c r="A36" s="176">
        <v>33</v>
      </c>
      <c r="B36" s="177">
        <v>199.2</v>
      </c>
      <c r="C36" s="14">
        <f t="shared" si="2"/>
        <v>-6.2775000000000887</v>
      </c>
      <c r="D36" s="14">
        <v>6.2775000000000887</v>
      </c>
      <c r="E36" s="17"/>
      <c r="F36" s="18"/>
      <c r="G36" s="18"/>
      <c r="H36" s="17"/>
      <c r="I36" s="17"/>
      <c r="J36" s="17"/>
      <c r="K36" s="17"/>
      <c r="L36" s="17"/>
      <c r="M36" s="17"/>
      <c r="N36" s="17"/>
      <c r="O36" s="17"/>
      <c r="P36" s="17"/>
      <c r="Q36" s="17"/>
      <c r="R36" s="17"/>
    </row>
    <row r="37" spans="1:18" ht="15.75">
      <c r="A37" s="176">
        <v>34</v>
      </c>
      <c r="B37" s="177">
        <v>228.8</v>
      </c>
      <c r="C37" s="14">
        <f t="shared" si="2"/>
        <v>23.322499999999934</v>
      </c>
      <c r="D37" s="14">
        <v>23.322499999999934</v>
      </c>
      <c r="E37" s="17"/>
      <c r="F37" s="18"/>
      <c r="G37" s="18"/>
      <c r="H37" s="17"/>
      <c r="I37" s="17"/>
      <c r="J37" s="17"/>
      <c r="K37" s="17"/>
      <c r="L37" s="17"/>
      <c r="M37" s="17"/>
      <c r="N37" s="17"/>
      <c r="O37" s="17"/>
      <c r="P37" s="17"/>
      <c r="Q37" s="17"/>
      <c r="R37" s="17"/>
    </row>
    <row r="38" spans="1:18" ht="15.75">
      <c r="A38" s="176">
        <v>35</v>
      </c>
      <c r="B38" s="177">
        <v>190.7</v>
      </c>
      <c r="C38" s="14">
        <f t="shared" si="2"/>
        <v>-14.777500000000089</v>
      </c>
      <c r="D38" s="14">
        <v>14.777500000000089</v>
      </c>
      <c r="E38" s="17"/>
      <c r="F38" s="18"/>
      <c r="G38" s="18"/>
      <c r="H38" s="17"/>
      <c r="I38" s="17"/>
      <c r="J38" s="17"/>
      <c r="K38" s="17"/>
      <c r="L38" s="17"/>
      <c r="M38" s="17"/>
      <c r="N38" s="17"/>
      <c r="O38" s="17"/>
      <c r="P38" s="17"/>
      <c r="Q38" s="17"/>
      <c r="R38" s="17"/>
    </row>
    <row r="39" spans="1:18" ht="15.75">
      <c r="A39" s="176">
        <v>36</v>
      </c>
      <c r="B39" s="177">
        <v>251.1</v>
      </c>
      <c r="C39" s="14">
        <f t="shared" si="2"/>
        <v>45.622499999999917</v>
      </c>
      <c r="D39" s="14">
        <v>45.622499999999917</v>
      </c>
      <c r="E39" s="17"/>
      <c r="F39" s="18"/>
      <c r="G39" s="18"/>
      <c r="H39" s="17"/>
      <c r="I39" s="17"/>
      <c r="J39" s="17"/>
      <c r="K39" s="17"/>
      <c r="L39" s="17"/>
      <c r="M39" s="17"/>
      <c r="N39" s="17"/>
      <c r="O39" s="17"/>
      <c r="P39" s="17"/>
      <c r="Q39" s="17"/>
      <c r="R39" s="17"/>
    </row>
    <row r="40" spans="1:18" ht="15.75">
      <c r="A40" s="176">
        <v>37</v>
      </c>
      <c r="B40" s="177">
        <v>207.6</v>
      </c>
      <c r="C40" s="14">
        <f t="shared" si="2"/>
        <v>2.122499999999917</v>
      </c>
      <c r="D40" s="14">
        <v>2.122499999999917</v>
      </c>
      <c r="E40" s="17"/>
      <c r="F40" s="18"/>
      <c r="G40" s="18"/>
      <c r="H40" s="17"/>
      <c r="I40" s="17"/>
      <c r="J40" s="17"/>
      <c r="K40" s="17"/>
      <c r="L40" s="17"/>
      <c r="M40" s="17"/>
      <c r="N40" s="17"/>
      <c r="O40" s="17"/>
      <c r="P40" s="17"/>
      <c r="Q40" s="17"/>
      <c r="R40" s="17"/>
    </row>
    <row r="41" spans="1:18" ht="15.75">
      <c r="A41" s="176">
        <v>38</v>
      </c>
      <c r="B41" s="177">
        <v>211.9</v>
      </c>
      <c r="C41" s="14">
        <f t="shared" si="2"/>
        <v>6.4224999999999284</v>
      </c>
      <c r="D41" s="14">
        <v>6.4224999999999284</v>
      </c>
      <c r="E41" s="17"/>
      <c r="F41" s="18"/>
      <c r="G41" s="18"/>
      <c r="H41" s="17"/>
      <c r="I41" s="17"/>
      <c r="J41" s="17"/>
      <c r="K41" s="17"/>
      <c r="L41" s="17"/>
      <c r="M41" s="17"/>
      <c r="N41" s="17"/>
      <c r="O41" s="17"/>
      <c r="P41" s="17"/>
      <c r="Q41" s="17"/>
      <c r="R41" s="17"/>
    </row>
    <row r="42" spans="1:18" ht="15.75">
      <c r="A42" s="176">
        <v>39</v>
      </c>
      <c r="B42" s="177">
        <v>228.3</v>
      </c>
      <c r="C42" s="14">
        <f t="shared" si="2"/>
        <v>22.822499999999934</v>
      </c>
      <c r="D42" s="14">
        <v>22.822499999999934</v>
      </c>
      <c r="E42" s="17"/>
      <c r="F42" s="18"/>
      <c r="G42" s="18"/>
      <c r="H42" s="17"/>
      <c r="I42" s="17"/>
      <c r="J42" s="17"/>
      <c r="K42" s="17"/>
      <c r="L42" s="17"/>
      <c r="M42" s="17"/>
      <c r="N42" s="17"/>
      <c r="O42" s="17"/>
      <c r="P42" s="17"/>
      <c r="Q42" s="17"/>
      <c r="R42" s="17"/>
    </row>
    <row r="43" spans="1:18" ht="15.75">
      <c r="A43" s="176">
        <v>40</v>
      </c>
      <c r="B43" s="177">
        <v>204.4</v>
      </c>
      <c r="C43" s="14">
        <f t="shared" si="2"/>
        <v>-1.0775000000000716</v>
      </c>
      <c r="D43" s="14">
        <v>1.0775000000000716</v>
      </c>
      <c r="E43" s="17"/>
      <c r="F43" s="18"/>
      <c r="G43" s="18"/>
      <c r="H43" s="17"/>
      <c r="I43" s="17"/>
      <c r="J43" s="17"/>
      <c r="K43" s="17"/>
      <c r="L43" s="17"/>
      <c r="M43" s="17"/>
      <c r="N43" s="17"/>
      <c r="O43" s="17"/>
      <c r="P43" s="17"/>
      <c r="Q43" s="17"/>
      <c r="R43" s="17"/>
    </row>
    <row r="44" spans="1:18" ht="15.75">
      <c r="A44" s="176">
        <v>41</v>
      </c>
      <c r="B44" s="177">
        <v>195.6</v>
      </c>
      <c r="C44" s="14">
        <f t="shared" si="2"/>
        <v>-9.877500000000083</v>
      </c>
      <c r="D44" s="14">
        <v>9.877500000000083</v>
      </c>
      <c r="E44" s="17"/>
      <c r="F44" s="18"/>
      <c r="G44" s="18"/>
      <c r="H44" s="17"/>
      <c r="I44" s="17"/>
      <c r="J44" s="17"/>
      <c r="K44" s="17"/>
      <c r="L44" s="17"/>
      <c r="M44" s="17"/>
      <c r="N44" s="17"/>
      <c r="O44" s="17"/>
      <c r="P44" s="17"/>
      <c r="Q44" s="17"/>
      <c r="R44" s="17"/>
    </row>
    <row r="45" spans="1:18" ht="15.75">
      <c r="A45" s="176">
        <v>42</v>
      </c>
      <c r="B45" s="177">
        <v>221.8</v>
      </c>
      <c r="C45" s="14">
        <f t="shared" si="2"/>
        <v>16.322499999999934</v>
      </c>
      <c r="D45" s="14">
        <v>16.322499999999934</v>
      </c>
      <c r="E45" s="17"/>
      <c r="F45" s="18"/>
      <c r="G45" s="18"/>
      <c r="H45" s="17"/>
      <c r="I45" s="17"/>
      <c r="J45" s="17"/>
      <c r="K45" s="17"/>
      <c r="L45" s="17"/>
      <c r="M45" s="17"/>
      <c r="N45" s="17"/>
      <c r="O45" s="17"/>
      <c r="P45" s="17"/>
      <c r="Q45" s="17"/>
      <c r="R45" s="17"/>
    </row>
    <row r="46" spans="1:18" ht="15.75">
      <c r="A46" s="176">
        <v>43</v>
      </c>
      <c r="B46" s="177">
        <v>206.6</v>
      </c>
      <c r="C46" s="14">
        <f t="shared" si="2"/>
        <v>1.122499999999917</v>
      </c>
      <c r="D46" s="14">
        <v>1.122499999999917</v>
      </c>
      <c r="E46" s="17"/>
      <c r="F46" s="18"/>
      <c r="G46" s="18"/>
      <c r="H46" s="17"/>
      <c r="I46" s="17"/>
      <c r="J46" s="17"/>
      <c r="K46" s="17"/>
      <c r="L46" s="17"/>
      <c r="M46" s="17"/>
      <c r="N46" s="17"/>
      <c r="O46" s="17"/>
      <c r="P46" s="17"/>
      <c r="Q46" s="17"/>
      <c r="R46" s="17"/>
    </row>
    <row r="47" spans="1:18" ht="15.75">
      <c r="A47" s="176">
        <v>44</v>
      </c>
      <c r="B47" s="177">
        <v>235.9</v>
      </c>
      <c r="C47" s="14">
        <f t="shared" si="2"/>
        <v>30.422499999999928</v>
      </c>
      <c r="D47" s="14">
        <v>30.422499999999928</v>
      </c>
      <c r="E47" s="17"/>
      <c r="F47" s="18"/>
      <c r="G47" s="18"/>
      <c r="H47" s="17"/>
      <c r="I47" s="17"/>
      <c r="J47" s="17"/>
      <c r="K47" s="17"/>
      <c r="L47" s="17"/>
      <c r="M47" s="17"/>
      <c r="N47" s="17"/>
      <c r="O47" s="17"/>
      <c r="P47" s="17"/>
      <c r="Q47" s="17"/>
      <c r="R47" s="17"/>
    </row>
    <row r="48" spans="1:18" ht="15.75">
      <c r="A48" s="176">
        <v>45</v>
      </c>
      <c r="B48" s="177">
        <v>218.5</v>
      </c>
      <c r="C48" s="14">
        <f t="shared" si="2"/>
        <v>13.022499999999923</v>
      </c>
      <c r="D48" s="14">
        <v>13.022499999999923</v>
      </c>
      <c r="E48" s="17"/>
      <c r="F48" s="18"/>
      <c r="G48" s="18"/>
      <c r="H48" s="17"/>
      <c r="I48" s="17"/>
      <c r="J48" s="17"/>
      <c r="K48" s="17"/>
      <c r="L48" s="17"/>
      <c r="M48" s="17"/>
      <c r="N48" s="17"/>
      <c r="O48" s="17"/>
      <c r="P48" s="17"/>
      <c r="Q48" s="17"/>
      <c r="R48" s="17"/>
    </row>
    <row r="49" spans="1:18" ht="15.75">
      <c r="A49" s="176">
        <v>46</v>
      </c>
      <c r="B49" s="177">
        <v>168.4</v>
      </c>
      <c r="C49" s="14">
        <f t="shared" si="2"/>
        <v>-37.077500000000072</v>
      </c>
      <c r="D49" s="14">
        <v>37.077500000000072</v>
      </c>
      <c r="E49" s="17"/>
      <c r="F49" s="18"/>
      <c r="G49" s="18"/>
      <c r="H49" s="17"/>
      <c r="I49" s="17"/>
      <c r="J49" s="17"/>
      <c r="K49" s="17"/>
      <c r="L49" s="17"/>
      <c r="M49" s="17"/>
      <c r="N49" s="17"/>
      <c r="O49" s="17"/>
      <c r="P49" s="17"/>
      <c r="Q49" s="17"/>
      <c r="R49" s="17"/>
    </row>
    <row r="50" spans="1:18" ht="15.75">
      <c r="A50" s="176">
        <v>47</v>
      </c>
      <c r="B50" s="177">
        <v>183.6</v>
      </c>
      <c r="C50" s="14">
        <f t="shared" si="2"/>
        <v>-21.877500000000083</v>
      </c>
      <c r="D50" s="14">
        <v>21.877500000000083</v>
      </c>
      <c r="E50" s="17"/>
      <c r="F50" s="18"/>
      <c r="G50" s="18"/>
      <c r="H50" s="17"/>
      <c r="I50" s="17"/>
      <c r="J50" s="17"/>
      <c r="K50" s="17"/>
      <c r="L50" s="17"/>
      <c r="M50" s="17"/>
      <c r="N50" s="17"/>
      <c r="O50" s="17"/>
      <c r="P50" s="17"/>
      <c r="Q50" s="17"/>
      <c r="R50" s="17"/>
    </row>
    <row r="51" spans="1:18" ht="15.75">
      <c r="A51" s="176">
        <v>48</v>
      </c>
      <c r="B51" s="177">
        <v>213.2</v>
      </c>
      <c r="C51" s="14">
        <f t="shared" si="2"/>
        <v>7.7224999999999113</v>
      </c>
      <c r="D51" s="14">
        <v>7.7224999999999113</v>
      </c>
      <c r="E51" s="17"/>
      <c r="F51" s="18"/>
      <c r="G51" s="18"/>
      <c r="H51" s="17"/>
      <c r="I51" s="17"/>
      <c r="J51" s="17"/>
      <c r="K51" s="17"/>
      <c r="L51" s="17"/>
      <c r="M51" s="17"/>
      <c r="N51" s="17"/>
      <c r="O51" s="17"/>
      <c r="P51" s="17"/>
      <c r="Q51" s="17"/>
      <c r="R51" s="17"/>
    </row>
    <row r="52" spans="1:18" ht="15.75">
      <c r="A52" s="176">
        <v>49</v>
      </c>
      <c r="B52" s="177">
        <v>180.8</v>
      </c>
      <c r="C52" s="14">
        <f t="shared" si="2"/>
        <v>-24.677500000000066</v>
      </c>
      <c r="D52" s="14">
        <v>24.677500000000066</v>
      </c>
      <c r="E52" s="17"/>
      <c r="F52" s="18"/>
      <c r="G52" s="18"/>
      <c r="H52" s="17"/>
      <c r="I52" s="17"/>
      <c r="J52" s="17"/>
      <c r="K52" s="17"/>
      <c r="L52" s="17"/>
      <c r="M52" s="17"/>
      <c r="N52" s="17"/>
      <c r="O52" s="17"/>
      <c r="P52" s="17"/>
      <c r="Q52" s="17"/>
      <c r="R52" s="17"/>
    </row>
    <row r="53" spans="1:18" ht="15.75">
      <c r="A53" s="176">
        <v>50</v>
      </c>
      <c r="B53" s="177">
        <v>208.4</v>
      </c>
      <c r="C53" s="14">
        <f t="shared" si="2"/>
        <v>2.9224999999999284</v>
      </c>
      <c r="D53" s="14">
        <v>2.9224999999999284</v>
      </c>
      <c r="E53" s="17"/>
      <c r="F53" s="18"/>
      <c r="G53" s="18"/>
      <c r="H53" s="17"/>
      <c r="I53" s="17"/>
      <c r="J53" s="17"/>
      <c r="K53" s="17"/>
      <c r="L53" s="17"/>
      <c r="M53" s="17"/>
      <c r="N53" s="17"/>
      <c r="O53" s="17"/>
      <c r="P53" s="17"/>
      <c r="Q53" s="17"/>
      <c r="R53" s="17"/>
    </row>
    <row r="54" spans="1:18" ht="15.75">
      <c r="A54" s="176">
        <v>51</v>
      </c>
      <c r="B54" s="177">
        <v>240.6</v>
      </c>
      <c r="C54" s="14">
        <f t="shared" si="2"/>
        <v>35.122499999999917</v>
      </c>
      <c r="D54" s="14">
        <v>35.122499999999917</v>
      </c>
      <c r="E54" s="17"/>
      <c r="F54" s="18"/>
      <c r="G54" s="18"/>
      <c r="H54" s="17"/>
      <c r="I54" s="17"/>
      <c r="J54" s="17"/>
      <c r="K54" s="17"/>
      <c r="L54" s="17"/>
      <c r="M54" s="17"/>
      <c r="N54" s="17"/>
      <c r="O54" s="17"/>
      <c r="P54" s="17"/>
      <c r="Q54" s="17"/>
      <c r="R54" s="17"/>
    </row>
    <row r="55" spans="1:18" ht="15.75">
      <c r="A55" s="176">
        <v>52</v>
      </c>
      <c r="B55" s="177">
        <v>208.2</v>
      </c>
      <c r="C55" s="14">
        <f t="shared" si="2"/>
        <v>2.7224999999999113</v>
      </c>
      <c r="D55" s="14">
        <v>2.7224999999999113</v>
      </c>
      <c r="E55" s="17"/>
      <c r="F55" s="18"/>
      <c r="G55" s="18"/>
      <c r="H55" s="17"/>
      <c r="I55" s="17"/>
      <c r="J55" s="17"/>
      <c r="K55" s="17"/>
      <c r="L55" s="17"/>
      <c r="M55" s="17"/>
      <c r="N55" s="17"/>
      <c r="O55" s="17"/>
      <c r="P55" s="17"/>
      <c r="Q55" s="17"/>
      <c r="R55" s="17"/>
    </row>
    <row r="56" spans="1:18" ht="15.75">
      <c r="A56" s="176">
        <v>53</v>
      </c>
      <c r="B56" s="177">
        <v>187.2</v>
      </c>
      <c r="C56" s="14">
        <f t="shared" si="2"/>
        <v>-18.277500000000089</v>
      </c>
      <c r="D56" s="14">
        <v>18.277500000000089</v>
      </c>
      <c r="E56" s="17"/>
      <c r="F56" s="18"/>
      <c r="G56" s="18"/>
      <c r="H56" s="17"/>
      <c r="I56" s="17"/>
      <c r="J56" s="17"/>
      <c r="K56" s="17"/>
      <c r="L56" s="17"/>
      <c r="M56" s="17"/>
      <c r="N56" s="17"/>
      <c r="O56" s="17"/>
      <c r="P56" s="17"/>
      <c r="Q56" s="17"/>
      <c r="R56" s="17"/>
    </row>
    <row r="57" spans="1:18" ht="15.75">
      <c r="A57" s="176">
        <v>54</v>
      </c>
      <c r="B57" s="177">
        <v>234.7</v>
      </c>
      <c r="C57" s="14">
        <f t="shared" si="2"/>
        <v>29.222499999999911</v>
      </c>
      <c r="D57" s="14">
        <v>29.222499999999911</v>
      </c>
      <c r="E57" s="17"/>
      <c r="F57" s="18"/>
      <c r="G57" s="18"/>
      <c r="H57" s="17"/>
      <c r="I57" s="17"/>
      <c r="J57" s="17"/>
      <c r="K57" s="17"/>
      <c r="L57" s="17"/>
      <c r="M57" s="17"/>
      <c r="N57" s="17"/>
      <c r="O57" s="17"/>
      <c r="P57" s="17"/>
      <c r="Q57" s="17"/>
      <c r="R57" s="17"/>
    </row>
    <row r="58" spans="1:18" ht="15.75">
      <c r="A58" s="176">
        <v>55</v>
      </c>
      <c r="B58" s="177">
        <v>206.4</v>
      </c>
      <c r="C58" s="14">
        <f t="shared" si="2"/>
        <v>0.92249999999992838</v>
      </c>
      <c r="D58" s="14">
        <v>0.92249999999992838</v>
      </c>
      <c r="E58" s="17"/>
      <c r="F58" s="18"/>
      <c r="G58" s="18"/>
      <c r="H58" s="17"/>
      <c r="I58" s="17"/>
      <c r="J58" s="17"/>
      <c r="K58" s="17"/>
      <c r="L58" s="17"/>
      <c r="M58" s="17"/>
      <c r="N58" s="17"/>
      <c r="O58" s="17"/>
      <c r="P58" s="17"/>
      <c r="Q58" s="17"/>
      <c r="R58" s="17"/>
    </row>
    <row r="59" spans="1:18" ht="15.75">
      <c r="A59" s="176">
        <v>56</v>
      </c>
      <c r="B59" s="177">
        <v>227.8</v>
      </c>
      <c r="C59" s="14">
        <f t="shared" si="2"/>
        <v>22.322499999999934</v>
      </c>
      <c r="D59" s="14">
        <v>22.322499999999934</v>
      </c>
      <c r="E59" s="17"/>
      <c r="F59" s="18"/>
      <c r="G59" s="18"/>
      <c r="H59" s="17"/>
      <c r="I59" s="17"/>
      <c r="J59" s="17"/>
      <c r="K59" s="17"/>
      <c r="L59" s="17"/>
      <c r="M59" s="17"/>
      <c r="N59" s="17"/>
      <c r="O59" s="17"/>
      <c r="P59" s="17"/>
      <c r="Q59" s="17"/>
      <c r="R59" s="17"/>
    </row>
    <row r="60" spans="1:18" ht="15.75">
      <c r="A60" s="176">
        <v>57</v>
      </c>
      <c r="B60" s="177">
        <v>188.4</v>
      </c>
      <c r="C60" s="14">
        <f t="shared" si="2"/>
        <v>-17.077500000000072</v>
      </c>
      <c r="D60" s="14">
        <v>17.077500000000072</v>
      </c>
      <c r="E60" s="17"/>
      <c r="F60" s="18"/>
      <c r="G60" s="18"/>
      <c r="H60" s="17"/>
      <c r="I60" s="17"/>
      <c r="J60" s="17"/>
      <c r="K60" s="17"/>
      <c r="L60" s="17"/>
      <c r="M60" s="17"/>
      <c r="N60" s="17"/>
      <c r="O60" s="17"/>
      <c r="P60" s="17"/>
      <c r="Q60" s="17"/>
      <c r="R60" s="17"/>
    </row>
    <row r="61" spans="1:18" ht="15.75">
      <c r="A61" s="176">
        <v>58</v>
      </c>
      <c r="B61" s="177">
        <v>226.3</v>
      </c>
      <c r="C61" s="14">
        <f t="shared" si="2"/>
        <v>20.822499999999934</v>
      </c>
      <c r="D61" s="14">
        <v>20.822499999999934</v>
      </c>
      <c r="E61" s="17"/>
      <c r="F61" s="18"/>
      <c r="G61" s="18"/>
      <c r="H61" s="17"/>
      <c r="I61" s="17"/>
      <c r="J61" s="17"/>
      <c r="K61" s="17"/>
      <c r="L61" s="17"/>
      <c r="M61" s="17"/>
      <c r="N61" s="17"/>
      <c r="O61" s="17"/>
      <c r="P61" s="17"/>
      <c r="Q61" s="17"/>
      <c r="R61" s="17"/>
    </row>
    <row r="62" spans="1:18" ht="15.75">
      <c r="A62" s="176">
        <v>59</v>
      </c>
      <c r="B62" s="177">
        <v>178.7</v>
      </c>
      <c r="C62" s="14">
        <f t="shared" si="2"/>
        <v>-26.777500000000089</v>
      </c>
      <c r="D62" s="14">
        <v>26.777500000000089</v>
      </c>
      <c r="E62" s="17"/>
      <c r="F62" s="18"/>
      <c r="G62" s="18"/>
      <c r="H62" s="17"/>
      <c r="I62" s="17"/>
      <c r="J62" s="17"/>
      <c r="K62" s="17"/>
      <c r="L62" s="17"/>
      <c r="M62" s="17"/>
      <c r="N62" s="17"/>
      <c r="O62" s="17"/>
      <c r="P62" s="17"/>
      <c r="Q62" s="17"/>
      <c r="R62" s="17"/>
    </row>
    <row r="63" spans="1:18" ht="15.75">
      <c r="A63" s="176">
        <v>60</v>
      </c>
      <c r="B63" s="177">
        <v>228.8</v>
      </c>
      <c r="C63" s="14">
        <f t="shared" si="2"/>
        <v>23.322499999999934</v>
      </c>
      <c r="D63" s="14">
        <v>23.322499999999934</v>
      </c>
      <c r="E63" s="17"/>
      <c r="F63" s="18"/>
      <c r="G63" s="18"/>
      <c r="H63" s="17"/>
      <c r="I63" s="17"/>
      <c r="J63" s="17"/>
      <c r="K63" s="17"/>
      <c r="L63" s="17"/>
      <c r="M63" s="17"/>
      <c r="N63" s="17"/>
      <c r="O63" s="17"/>
      <c r="P63" s="17"/>
      <c r="Q63" s="17"/>
      <c r="R63" s="17"/>
    </row>
    <row r="64" spans="1:18" ht="15.75">
      <c r="A64" s="176">
        <v>61</v>
      </c>
      <c r="B64" s="177">
        <v>182.6</v>
      </c>
      <c r="C64" s="14">
        <f t="shared" si="2"/>
        <v>-22.877500000000083</v>
      </c>
      <c r="D64" s="14">
        <v>22.877500000000083</v>
      </c>
      <c r="E64" s="17"/>
      <c r="F64" s="18"/>
      <c r="G64" s="18"/>
      <c r="H64" s="17"/>
      <c r="I64" s="17"/>
      <c r="J64" s="17"/>
      <c r="K64" s="17"/>
      <c r="L64" s="17"/>
      <c r="M64" s="17"/>
      <c r="N64" s="17"/>
      <c r="O64" s="17"/>
      <c r="P64" s="17"/>
      <c r="Q64" s="17"/>
      <c r="R64" s="17"/>
    </row>
    <row r="65" spans="1:18" ht="15.75">
      <c r="A65" s="176">
        <v>62</v>
      </c>
      <c r="B65" s="177">
        <v>230.7</v>
      </c>
      <c r="C65" s="14">
        <f t="shared" si="2"/>
        <v>25.222499999999911</v>
      </c>
      <c r="D65" s="14">
        <v>25.222499999999911</v>
      </c>
      <c r="E65" s="17"/>
      <c r="F65" s="18"/>
      <c r="G65" s="18"/>
      <c r="H65" s="17"/>
      <c r="I65" s="17"/>
      <c r="J65" s="17"/>
      <c r="K65" s="17"/>
      <c r="L65" s="17"/>
      <c r="M65" s="17"/>
      <c r="N65" s="17"/>
      <c r="O65" s="17"/>
      <c r="P65" s="17"/>
      <c r="Q65" s="17"/>
      <c r="R65" s="17"/>
    </row>
    <row r="66" spans="1:18" ht="15.75">
      <c r="A66" s="176">
        <v>63</v>
      </c>
      <c r="B66" s="177">
        <v>186.3</v>
      </c>
      <c r="C66" s="14">
        <f t="shared" si="2"/>
        <v>-19.177500000000066</v>
      </c>
      <c r="D66" s="14">
        <v>19.177500000000066</v>
      </c>
      <c r="E66" s="17"/>
      <c r="F66" s="18"/>
      <c r="G66" s="18"/>
      <c r="H66" s="17"/>
      <c r="I66" s="17"/>
      <c r="J66" s="17"/>
      <c r="K66" s="17"/>
      <c r="L66" s="17"/>
      <c r="M66" s="17"/>
      <c r="N66" s="17"/>
      <c r="O66" s="17"/>
      <c r="P66" s="17"/>
      <c r="Q66" s="17"/>
      <c r="R66" s="17"/>
    </row>
    <row r="67" spans="1:18" ht="15.75">
      <c r="A67" s="176">
        <v>64</v>
      </c>
      <c r="B67" s="177">
        <v>229.2</v>
      </c>
      <c r="C67" s="14">
        <f t="shared" si="2"/>
        <v>23.722499999999911</v>
      </c>
      <c r="D67" s="14">
        <v>23.722499999999911</v>
      </c>
      <c r="E67" s="17"/>
      <c r="F67" s="18"/>
      <c r="G67" s="18"/>
      <c r="H67" s="17"/>
      <c r="I67" s="17"/>
      <c r="J67" s="17"/>
      <c r="K67" s="17"/>
      <c r="L67" s="17"/>
      <c r="M67" s="17"/>
      <c r="N67" s="17"/>
      <c r="O67" s="17"/>
      <c r="P67" s="17"/>
      <c r="Q67" s="17"/>
      <c r="R67" s="17"/>
    </row>
    <row r="68" spans="1:18" ht="15.75">
      <c r="A68" s="176">
        <v>65</v>
      </c>
      <c r="B68" s="177">
        <v>230.4</v>
      </c>
      <c r="C68" s="14">
        <f t="shared" si="2"/>
        <v>24.922499999999928</v>
      </c>
      <c r="D68" s="14">
        <v>24.922499999999928</v>
      </c>
      <c r="E68" s="17"/>
      <c r="F68" s="18"/>
      <c r="G68" s="18"/>
      <c r="H68" s="17"/>
      <c r="I68" s="17"/>
      <c r="J68" s="17"/>
      <c r="K68" s="17"/>
      <c r="L68" s="17"/>
      <c r="M68" s="17"/>
      <c r="N68" s="17"/>
      <c r="O68" s="17"/>
      <c r="P68" s="17"/>
      <c r="Q68" s="17"/>
      <c r="R68" s="17"/>
    </row>
    <row r="69" spans="1:18" ht="15.75">
      <c r="A69" s="176">
        <v>66</v>
      </c>
      <c r="B69" s="177">
        <v>220.1</v>
      </c>
      <c r="C69" s="14">
        <f t="shared" ref="C69:C123" si="8">B69-$B$124</f>
        <v>14.622499999999917</v>
      </c>
      <c r="D69" s="14">
        <v>14.622499999999917</v>
      </c>
      <c r="E69" s="17"/>
      <c r="F69" s="18"/>
      <c r="G69" s="18"/>
      <c r="H69" s="17"/>
      <c r="I69" s="17"/>
      <c r="J69" s="17"/>
      <c r="K69" s="17"/>
      <c r="L69" s="17"/>
      <c r="M69" s="17"/>
      <c r="N69" s="17"/>
      <c r="O69" s="17"/>
      <c r="P69" s="17"/>
      <c r="Q69" s="17"/>
      <c r="R69" s="17"/>
    </row>
    <row r="70" spans="1:18" ht="15.75">
      <c r="A70" s="176">
        <v>67</v>
      </c>
      <c r="B70" s="177">
        <v>189.4</v>
      </c>
      <c r="C70" s="14">
        <f t="shared" si="8"/>
        <v>-16.077500000000072</v>
      </c>
      <c r="D70" s="14">
        <v>16.077500000000072</v>
      </c>
      <c r="E70" s="17"/>
      <c r="F70" s="18"/>
      <c r="G70" s="18"/>
      <c r="H70" s="17"/>
      <c r="I70" s="17"/>
      <c r="J70" s="17"/>
      <c r="K70" s="17"/>
      <c r="L70" s="17"/>
      <c r="M70" s="17"/>
      <c r="N70" s="17"/>
      <c r="O70" s="17"/>
      <c r="P70" s="17"/>
      <c r="Q70" s="17"/>
      <c r="R70" s="17"/>
    </row>
    <row r="71" spans="1:18" ht="15.75">
      <c r="A71" s="176">
        <v>68</v>
      </c>
      <c r="B71" s="177">
        <v>188.4</v>
      </c>
      <c r="C71" s="14">
        <f t="shared" si="8"/>
        <v>-17.077500000000072</v>
      </c>
      <c r="D71" s="14">
        <v>17.077500000000072</v>
      </c>
      <c r="E71" s="17"/>
      <c r="F71" s="18"/>
      <c r="G71" s="18"/>
      <c r="H71" s="17"/>
      <c r="I71" s="17"/>
      <c r="J71" s="17"/>
      <c r="K71" s="17"/>
      <c r="L71" s="17"/>
      <c r="M71" s="17"/>
      <c r="N71" s="17"/>
      <c r="O71" s="17"/>
      <c r="P71" s="17"/>
      <c r="Q71" s="17"/>
      <c r="R71" s="17"/>
    </row>
    <row r="72" spans="1:18" ht="15.75">
      <c r="A72" s="176">
        <v>69</v>
      </c>
      <c r="B72" s="177">
        <v>179.1</v>
      </c>
      <c r="C72" s="14">
        <f t="shared" si="8"/>
        <v>-26.377500000000083</v>
      </c>
      <c r="D72" s="14">
        <v>26.377500000000083</v>
      </c>
      <c r="E72" s="17"/>
      <c r="F72" s="18"/>
      <c r="G72" s="18"/>
      <c r="H72" s="17"/>
      <c r="I72" s="17"/>
      <c r="J72" s="17"/>
      <c r="K72" s="17"/>
      <c r="L72" s="17"/>
      <c r="M72" s="17"/>
      <c r="N72" s="17"/>
      <c r="O72" s="17"/>
      <c r="P72" s="17"/>
      <c r="Q72" s="17"/>
      <c r="R72" s="17"/>
    </row>
    <row r="73" spans="1:18" ht="15.75">
      <c r="A73" s="176">
        <v>70</v>
      </c>
      <c r="B73" s="177">
        <v>199.2</v>
      </c>
      <c r="C73" s="14">
        <f t="shared" si="8"/>
        <v>-6.2775000000000887</v>
      </c>
      <c r="D73" s="14">
        <v>6.2775000000000887</v>
      </c>
      <c r="E73" s="17"/>
      <c r="F73" s="18"/>
      <c r="G73" s="18"/>
      <c r="H73" s="17"/>
      <c r="I73" s="17"/>
      <c r="J73" s="17"/>
      <c r="K73" s="17"/>
      <c r="L73" s="17"/>
      <c r="M73" s="17"/>
      <c r="N73" s="17"/>
      <c r="O73" s="17"/>
      <c r="P73" s="17"/>
      <c r="Q73" s="17"/>
      <c r="R73" s="17"/>
    </row>
    <row r="74" spans="1:18" ht="15.75">
      <c r="A74" s="176">
        <v>71</v>
      </c>
      <c r="B74" s="177">
        <v>228.8</v>
      </c>
      <c r="C74" s="14">
        <f t="shared" si="8"/>
        <v>23.322499999999934</v>
      </c>
      <c r="D74" s="14">
        <v>23.322499999999934</v>
      </c>
      <c r="E74" s="17"/>
      <c r="F74" s="18"/>
      <c r="G74" s="18"/>
      <c r="H74" s="17"/>
      <c r="I74" s="17"/>
      <c r="J74" s="17"/>
      <c r="K74" s="17"/>
      <c r="L74" s="17"/>
      <c r="M74" s="17"/>
      <c r="N74" s="17"/>
      <c r="O74" s="17"/>
      <c r="P74" s="17"/>
      <c r="Q74" s="17"/>
      <c r="R74" s="17"/>
    </row>
    <row r="75" spans="1:18" ht="15.75">
      <c r="A75" s="176">
        <v>72</v>
      </c>
      <c r="B75" s="177">
        <v>190.4</v>
      </c>
      <c r="C75" s="14">
        <f t="shared" si="8"/>
        <v>-15.077500000000072</v>
      </c>
      <c r="D75" s="14">
        <v>15.077500000000072</v>
      </c>
      <c r="E75" s="17"/>
      <c r="F75" s="18"/>
      <c r="G75" s="18"/>
      <c r="H75" s="17"/>
      <c r="I75" s="17"/>
      <c r="J75" s="17"/>
      <c r="K75" s="17"/>
      <c r="L75" s="17"/>
      <c r="M75" s="17"/>
      <c r="N75" s="17"/>
      <c r="O75" s="17"/>
      <c r="P75" s="17"/>
      <c r="Q75" s="17"/>
      <c r="R75" s="17"/>
    </row>
    <row r="76" spans="1:18" ht="15.75">
      <c r="A76" s="176">
        <v>73</v>
      </c>
      <c r="B76" s="177">
        <v>251.1</v>
      </c>
      <c r="C76" s="14">
        <f t="shared" si="8"/>
        <v>45.622499999999917</v>
      </c>
      <c r="D76" s="14">
        <v>45.622499999999917</v>
      </c>
      <c r="E76" s="17"/>
      <c r="F76" s="18"/>
      <c r="G76" s="18"/>
      <c r="H76" s="17"/>
      <c r="I76" s="17"/>
      <c r="J76" s="17"/>
      <c r="K76" s="17"/>
      <c r="L76" s="17"/>
      <c r="M76" s="17"/>
      <c r="N76" s="17"/>
      <c r="O76" s="17"/>
      <c r="P76" s="17"/>
      <c r="Q76" s="17"/>
      <c r="R76" s="17"/>
    </row>
    <row r="77" spans="1:18" ht="15.75">
      <c r="A77" s="176">
        <v>74</v>
      </c>
      <c r="B77" s="177">
        <v>207.6</v>
      </c>
      <c r="C77" s="14">
        <f t="shared" si="8"/>
        <v>2.122499999999917</v>
      </c>
      <c r="D77" s="14">
        <v>2.122499999999917</v>
      </c>
      <c r="E77" s="17"/>
      <c r="F77" s="18"/>
      <c r="G77" s="18"/>
      <c r="H77" s="17"/>
      <c r="I77" s="17"/>
      <c r="J77" s="17"/>
      <c r="K77" s="17"/>
      <c r="L77" s="17"/>
      <c r="M77" s="17"/>
      <c r="N77" s="17"/>
      <c r="O77" s="17"/>
      <c r="P77" s="17"/>
      <c r="Q77" s="17"/>
      <c r="R77" s="17"/>
    </row>
    <row r="78" spans="1:18" ht="15.75">
      <c r="A78" s="176">
        <v>75</v>
      </c>
      <c r="B78" s="177">
        <v>211.9</v>
      </c>
      <c r="C78" s="14">
        <f t="shared" si="8"/>
        <v>6.4224999999999284</v>
      </c>
      <c r="D78" s="14">
        <v>6.4224999999999284</v>
      </c>
      <c r="E78" s="17"/>
      <c r="F78" s="18"/>
      <c r="G78" s="18"/>
      <c r="H78" s="17"/>
      <c r="I78" s="17"/>
      <c r="J78" s="17"/>
      <c r="K78" s="17"/>
      <c r="L78" s="17"/>
      <c r="M78" s="17"/>
      <c r="N78" s="17"/>
      <c r="O78" s="17"/>
      <c r="P78" s="17"/>
      <c r="Q78" s="17"/>
      <c r="R78" s="17"/>
    </row>
    <row r="79" spans="1:18" ht="15.75">
      <c r="A79" s="176">
        <v>76</v>
      </c>
      <c r="B79" s="177">
        <v>187.2</v>
      </c>
      <c r="C79" s="14">
        <f t="shared" si="8"/>
        <v>-18.277500000000089</v>
      </c>
      <c r="D79" s="14">
        <v>18.277500000000089</v>
      </c>
      <c r="E79" s="17"/>
      <c r="F79" s="18"/>
      <c r="G79" s="18"/>
      <c r="H79" s="17"/>
      <c r="I79" s="17"/>
      <c r="J79" s="17"/>
      <c r="K79" s="17"/>
      <c r="L79" s="17"/>
      <c r="M79" s="17"/>
      <c r="N79" s="17"/>
      <c r="O79" s="17"/>
      <c r="P79" s="17"/>
      <c r="Q79" s="17"/>
      <c r="R79" s="17"/>
    </row>
    <row r="80" spans="1:18" ht="15.75">
      <c r="A80" s="176">
        <v>77</v>
      </c>
      <c r="B80" s="177">
        <v>207.9</v>
      </c>
      <c r="C80" s="14">
        <f t="shared" si="8"/>
        <v>2.4224999999999284</v>
      </c>
      <c r="D80" s="14">
        <v>2.4224999999999284</v>
      </c>
      <c r="E80" s="17"/>
      <c r="F80" s="18"/>
      <c r="G80" s="18"/>
      <c r="H80" s="17"/>
      <c r="I80" s="17"/>
      <c r="J80" s="17"/>
      <c r="K80" s="17"/>
      <c r="L80" s="17"/>
      <c r="M80" s="17"/>
      <c r="N80" s="17"/>
      <c r="O80" s="17"/>
      <c r="P80" s="17"/>
      <c r="Q80" s="17"/>
      <c r="R80" s="17"/>
    </row>
    <row r="81" spans="1:18" ht="15.75">
      <c r="A81" s="176">
        <v>78</v>
      </c>
      <c r="B81" s="177">
        <v>171.5</v>
      </c>
      <c r="C81" s="14">
        <f t="shared" si="8"/>
        <v>-33.977500000000077</v>
      </c>
      <c r="D81" s="14">
        <v>33.977500000000077</v>
      </c>
      <c r="E81" s="17"/>
      <c r="F81" s="18"/>
      <c r="G81" s="18"/>
      <c r="H81" s="17"/>
      <c r="I81" s="17"/>
      <c r="J81" s="17"/>
      <c r="K81" s="17"/>
      <c r="L81" s="17"/>
      <c r="M81" s="17"/>
      <c r="N81" s="17"/>
      <c r="O81" s="17"/>
      <c r="P81" s="17"/>
      <c r="Q81" s="17"/>
      <c r="R81" s="17"/>
    </row>
    <row r="82" spans="1:18" ht="15.75">
      <c r="A82" s="176">
        <v>79</v>
      </c>
      <c r="B82" s="177">
        <v>217.7</v>
      </c>
      <c r="C82" s="14">
        <f t="shared" si="8"/>
        <v>12.222499999999911</v>
      </c>
      <c r="D82" s="14">
        <v>12.222499999999911</v>
      </c>
      <c r="E82" s="17"/>
      <c r="F82" s="18"/>
      <c r="G82" s="18"/>
      <c r="H82" s="17"/>
      <c r="I82" s="17"/>
      <c r="J82" s="17"/>
      <c r="K82" s="17"/>
      <c r="L82" s="17"/>
      <c r="M82" s="17"/>
      <c r="N82" s="17"/>
      <c r="O82" s="17"/>
      <c r="P82" s="17"/>
      <c r="Q82" s="17"/>
      <c r="R82" s="17"/>
    </row>
    <row r="83" spans="1:18" ht="15.75">
      <c r="A83" s="176">
        <v>80</v>
      </c>
      <c r="B83" s="177">
        <v>199.5</v>
      </c>
      <c r="C83" s="14">
        <f t="shared" si="8"/>
        <v>-5.9775000000000773</v>
      </c>
      <c r="D83" s="14">
        <v>5.9775000000000773</v>
      </c>
      <c r="E83" s="17"/>
      <c r="F83" s="18"/>
      <c r="G83" s="18"/>
      <c r="H83" s="17"/>
      <c r="I83" s="17"/>
      <c r="J83" s="17"/>
      <c r="K83" s="17"/>
      <c r="L83" s="17"/>
      <c r="M83" s="17"/>
      <c r="N83" s="17"/>
      <c r="O83" s="17"/>
      <c r="P83" s="17"/>
      <c r="Q83" s="17"/>
      <c r="R83" s="17"/>
    </row>
    <row r="84" spans="1:18" ht="15.75">
      <c r="A84" s="176">
        <v>81</v>
      </c>
      <c r="B84" s="177">
        <v>185.7</v>
      </c>
      <c r="C84" s="14">
        <f t="shared" si="8"/>
        <v>-19.777500000000089</v>
      </c>
      <c r="D84" s="14">
        <v>19.777500000000089</v>
      </c>
      <c r="E84" s="17"/>
      <c r="F84" s="18"/>
      <c r="G84" s="18"/>
      <c r="H84" s="17"/>
      <c r="I84" s="17"/>
      <c r="J84" s="17"/>
      <c r="K84" s="17"/>
      <c r="L84" s="17"/>
      <c r="M84" s="17"/>
      <c r="N84" s="17"/>
      <c r="O84" s="17"/>
      <c r="P84" s="17"/>
      <c r="Q84" s="17"/>
      <c r="R84" s="17"/>
    </row>
    <row r="85" spans="1:18" ht="15.75">
      <c r="A85" s="176">
        <v>82</v>
      </c>
      <c r="B85" s="177">
        <v>268.8</v>
      </c>
      <c r="C85" s="14">
        <f t="shared" si="8"/>
        <v>63.322499999999934</v>
      </c>
      <c r="D85" s="14">
        <v>63.322499999999934</v>
      </c>
      <c r="E85" s="17"/>
      <c r="F85" s="18"/>
      <c r="G85" s="18"/>
      <c r="H85" s="17"/>
      <c r="I85" s="17"/>
      <c r="J85" s="17"/>
      <c r="K85" s="17"/>
      <c r="L85" s="17"/>
      <c r="M85" s="17"/>
      <c r="N85" s="17"/>
      <c r="O85" s="17"/>
      <c r="P85" s="17"/>
      <c r="Q85" s="17"/>
      <c r="R85" s="17"/>
    </row>
    <row r="86" spans="1:18" ht="15.75">
      <c r="A86" s="176">
        <v>83</v>
      </c>
      <c r="B86" s="177">
        <v>201.5</v>
      </c>
      <c r="C86" s="14">
        <f t="shared" si="8"/>
        <v>-3.9775000000000773</v>
      </c>
      <c r="D86" s="14">
        <v>3.9775000000000773</v>
      </c>
      <c r="E86" s="17"/>
      <c r="F86" s="18"/>
      <c r="G86" s="18"/>
      <c r="H86" s="17"/>
      <c r="I86" s="17"/>
      <c r="J86" s="17"/>
      <c r="K86" s="17"/>
      <c r="L86" s="17"/>
      <c r="M86" s="17"/>
      <c r="N86" s="17"/>
      <c r="O86" s="17"/>
      <c r="P86" s="17"/>
      <c r="Q86" s="17"/>
      <c r="R86" s="17"/>
    </row>
    <row r="87" spans="1:18" ht="15.75">
      <c r="A87" s="176">
        <v>84</v>
      </c>
      <c r="B87" s="177">
        <v>173.1</v>
      </c>
      <c r="C87" s="14">
        <f t="shared" si="8"/>
        <v>-32.377500000000083</v>
      </c>
      <c r="D87" s="14">
        <v>32.377500000000083</v>
      </c>
      <c r="E87" s="17"/>
      <c r="F87" s="18"/>
      <c r="G87" s="18"/>
      <c r="H87" s="17"/>
      <c r="I87" s="17"/>
      <c r="J87" s="17"/>
      <c r="K87" s="17"/>
      <c r="L87" s="17"/>
      <c r="M87" s="17"/>
      <c r="N87" s="17"/>
      <c r="O87" s="17"/>
      <c r="P87" s="17"/>
      <c r="Q87" s="17"/>
      <c r="R87" s="17"/>
    </row>
    <row r="88" spans="1:18" ht="15.75">
      <c r="A88" s="176">
        <v>85</v>
      </c>
      <c r="B88" s="177">
        <v>192.7</v>
      </c>
      <c r="C88" s="14">
        <f t="shared" si="8"/>
        <v>-12.777500000000089</v>
      </c>
      <c r="D88" s="14">
        <v>12.777500000000089</v>
      </c>
      <c r="E88" s="17"/>
      <c r="F88" s="18"/>
      <c r="G88" s="18"/>
      <c r="H88" s="17"/>
      <c r="I88" s="17"/>
      <c r="J88" s="17"/>
      <c r="K88" s="17"/>
      <c r="L88" s="17"/>
      <c r="M88" s="17"/>
      <c r="N88" s="17"/>
      <c r="O88" s="17"/>
      <c r="P88" s="17"/>
      <c r="Q88" s="17"/>
      <c r="R88" s="17"/>
    </row>
    <row r="89" spans="1:18" ht="15.75">
      <c r="A89" s="176">
        <v>86</v>
      </c>
      <c r="B89" s="177">
        <v>157.30000000000001</v>
      </c>
      <c r="C89" s="14">
        <f t="shared" si="8"/>
        <v>-48.177500000000066</v>
      </c>
      <c r="D89" s="14">
        <v>48.177500000000066</v>
      </c>
      <c r="E89" s="17"/>
      <c r="F89" s="18"/>
      <c r="G89" s="18"/>
      <c r="H89" s="17"/>
      <c r="I89" s="17"/>
      <c r="J89" s="17"/>
      <c r="K89" s="17"/>
      <c r="L89" s="17"/>
      <c r="M89" s="17"/>
      <c r="N89" s="17"/>
      <c r="O89" s="17"/>
      <c r="P89" s="17"/>
      <c r="Q89" s="17"/>
      <c r="R89" s="17"/>
    </row>
    <row r="90" spans="1:18" ht="15.75">
      <c r="A90" s="176">
        <v>87</v>
      </c>
      <c r="B90" s="177">
        <v>244.4</v>
      </c>
      <c r="C90" s="14">
        <f t="shared" si="8"/>
        <v>38.922499999999928</v>
      </c>
      <c r="D90" s="14">
        <v>38.922499999999928</v>
      </c>
      <c r="E90" s="17"/>
      <c r="F90" s="18"/>
      <c r="G90" s="18"/>
      <c r="H90" s="17"/>
      <c r="I90" s="17"/>
      <c r="J90" s="17"/>
      <c r="K90" s="17"/>
      <c r="L90" s="17"/>
      <c r="M90" s="17"/>
      <c r="N90" s="17"/>
      <c r="O90" s="17"/>
      <c r="P90" s="17"/>
      <c r="Q90" s="17"/>
      <c r="R90" s="17"/>
    </row>
    <row r="91" spans="1:18" ht="15.75">
      <c r="A91" s="176">
        <v>88</v>
      </c>
      <c r="B91" s="177">
        <v>182.2</v>
      </c>
      <c r="C91" s="14">
        <f t="shared" si="8"/>
        <v>-23.277500000000089</v>
      </c>
      <c r="D91" s="14">
        <v>23.277500000000089</v>
      </c>
      <c r="E91" s="17"/>
      <c r="F91" s="18"/>
      <c r="G91" s="18"/>
      <c r="H91" s="17"/>
      <c r="I91" s="17"/>
      <c r="J91" s="17"/>
      <c r="K91" s="17"/>
      <c r="L91" s="17"/>
      <c r="M91" s="17"/>
      <c r="N91" s="17"/>
      <c r="O91" s="17"/>
      <c r="P91" s="17"/>
      <c r="Q91" s="17"/>
      <c r="R91" s="17"/>
    </row>
    <row r="92" spans="1:18" ht="15.75">
      <c r="A92" s="176">
        <v>89</v>
      </c>
      <c r="B92" s="177">
        <v>241.5</v>
      </c>
      <c r="C92" s="14">
        <f t="shared" si="8"/>
        <v>36.022499999999923</v>
      </c>
      <c r="D92" s="14">
        <v>36.022499999999923</v>
      </c>
      <c r="E92" s="17"/>
      <c r="F92" s="18"/>
      <c r="G92" s="18"/>
      <c r="H92" s="17"/>
      <c r="I92" s="17"/>
      <c r="J92" s="17"/>
      <c r="K92" s="17"/>
      <c r="L92" s="17"/>
      <c r="M92" s="17"/>
      <c r="N92" s="17"/>
      <c r="O92" s="17"/>
      <c r="P92" s="17"/>
      <c r="Q92" s="17"/>
      <c r="R92" s="17"/>
    </row>
    <row r="93" spans="1:18" ht="15.75">
      <c r="A93" s="176">
        <v>90</v>
      </c>
      <c r="B93" s="177">
        <v>232.4</v>
      </c>
      <c r="C93" s="14">
        <f t="shared" si="8"/>
        <v>26.922499999999928</v>
      </c>
      <c r="D93" s="14">
        <v>26.922499999999928</v>
      </c>
      <c r="E93" s="17"/>
      <c r="F93" s="18"/>
      <c r="G93" s="18"/>
      <c r="H93" s="17"/>
      <c r="I93" s="17"/>
      <c r="J93" s="17"/>
      <c r="K93" s="17"/>
      <c r="L93" s="17"/>
      <c r="M93" s="17"/>
      <c r="N93" s="17"/>
      <c r="O93" s="17"/>
      <c r="P93" s="17"/>
      <c r="Q93" s="17"/>
      <c r="R93" s="17"/>
    </row>
    <row r="94" spans="1:18" ht="15.75">
      <c r="A94" s="176">
        <v>91</v>
      </c>
      <c r="B94" s="177">
        <v>182.4</v>
      </c>
      <c r="C94" s="14">
        <f t="shared" si="8"/>
        <v>-23.077500000000072</v>
      </c>
      <c r="D94" s="14">
        <v>23.077500000000072</v>
      </c>
      <c r="E94" s="17"/>
      <c r="F94" s="18"/>
      <c r="G94" s="18"/>
      <c r="H94" s="17"/>
      <c r="I94" s="17"/>
      <c r="J94" s="17"/>
      <c r="K94" s="17"/>
      <c r="L94" s="17"/>
      <c r="M94" s="17"/>
      <c r="N94" s="17"/>
      <c r="O94" s="17"/>
      <c r="P94" s="17"/>
      <c r="Q94" s="17"/>
      <c r="R94" s="17"/>
    </row>
    <row r="95" spans="1:18" ht="15.75">
      <c r="A95" s="176">
        <v>92</v>
      </c>
      <c r="B95" s="177">
        <v>182.7</v>
      </c>
      <c r="C95" s="14">
        <f t="shared" si="8"/>
        <v>-22.777500000000089</v>
      </c>
      <c r="D95" s="14">
        <v>22.777500000000089</v>
      </c>
      <c r="E95" s="17"/>
      <c r="F95" s="18"/>
      <c r="G95" s="18"/>
      <c r="H95" s="17"/>
      <c r="I95" s="17"/>
      <c r="J95" s="17"/>
      <c r="K95" s="17"/>
      <c r="L95" s="17"/>
      <c r="M95" s="17"/>
      <c r="N95" s="17"/>
      <c r="O95" s="17"/>
      <c r="P95" s="17"/>
      <c r="Q95" s="17"/>
      <c r="R95" s="17"/>
    </row>
    <row r="96" spans="1:18" ht="15.75">
      <c r="A96" s="176">
        <v>93</v>
      </c>
      <c r="B96" s="177">
        <v>151.19999999999999</v>
      </c>
      <c r="C96" s="14">
        <f t="shared" si="8"/>
        <v>-54.277500000000089</v>
      </c>
      <c r="D96" s="14">
        <v>54.277500000000089</v>
      </c>
      <c r="E96" s="17"/>
      <c r="F96" s="18"/>
      <c r="G96" s="18"/>
      <c r="H96" s="17"/>
      <c r="I96" s="17"/>
      <c r="J96" s="17"/>
      <c r="K96" s="17"/>
      <c r="L96" s="17"/>
      <c r="M96" s="17"/>
      <c r="N96" s="17"/>
      <c r="O96" s="17"/>
      <c r="P96" s="17"/>
      <c r="Q96" s="17"/>
      <c r="R96" s="17"/>
    </row>
    <row r="97" spans="1:18" ht="15.75">
      <c r="A97" s="176">
        <v>94</v>
      </c>
      <c r="B97" s="177">
        <v>191.6</v>
      </c>
      <c r="C97" s="14">
        <f t="shared" si="8"/>
        <v>-13.877500000000083</v>
      </c>
      <c r="D97" s="14">
        <v>13.877500000000083</v>
      </c>
      <c r="E97" s="17"/>
      <c r="F97" s="18"/>
      <c r="G97" s="18"/>
      <c r="H97" s="17"/>
      <c r="I97" s="17"/>
      <c r="J97" s="17"/>
      <c r="K97" s="17"/>
      <c r="L97" s="17"/>
      <c r="M97" s="17"/>
      <c r="N97" s="17"/>
      <c r="O97" s="17"/>
      <c r="P97" s="17"/>
      <c r="Q97" s="17"/>
      <c r="R97" s="17"/>
    </row>
    <row r="98" spans="1:18" ht="15.75">
      <c r="A98" s="176">
        <v>95</v>
      </c>
      <c r="B98" s="177">
        <v>228.3</v>
      </c>
      <c r="C98" s="14">
        <f t="shared" si="8"/>
        <v>22.822499999999934</v>
      </c>
      <c r="D98" s="14">
        <v>22.822499999999934</v>
      </c>
      <c r="E98" s="17"/>
      <c r="F98" s="18"/>
      <c r="G98" s="18"/>
      <c r="H98" s="17"/>
      <c r="I98" s="17"/>
      <c r="J98" s="17"/>
      <c r="K98" s="17"/>
      <c r="L98" s="17"/>
      <c r="M98" s="17"/>
      <c r="N98" s="17"/>
      <c r="O98" s="17"/>
      <c r="P98" s="17"/>
      <c r="Q98" s="17"/>
      <c r="R98" s="17"/>
    </row>
    <row r="99" spans="1:18" ht="15.75">
      <c r="A99" s="176">
        <v>96</v>
      </c>
      <c r="B99" s="177">
        <v>204.4</v>
      </c>
      <c r="C99" s="14">
        <f t="shared" si="8"/>
        <v>-1.0775000000000716</v>
      </c>
      <c r="D99" s="14">
        <v>1.0775000000000716</v>
      </c>
      <c r="E99" s="17"/>
      <c r="F99" s="18"/>
      <c r="G99" s="18"/>
      <c r="H99" s="17"/>
      <c r="I99" s="17"/>
      <c r="J99" s="17"/>
      <c r="K99" s="17"/>
      <c r="L99" s="17"/>
      <c r="M99" s="17"/>
      <c r="N99" s="17"/>
      <c r="O99" s="17"/>
      <c r="P99" s="17"/>
      <c r="Q99" s="17"/>
      <c r="R99" s="17"/>
    </row>
    <row r="100" spans="1:18" ht="15.75">
      <c r="A100" s="176">
        <v>97</v>
      </c>
      <c r="B100" s="177">
        <v>195.6</v>
      </c>
      <c r="C100" s="14">
        <f t="shared" si="8"/>
        <v>-9.877500000000083</v>
      </c>
      <c r="D100" s="14">
        <v>9.877500000000083</v>
      </c>
      <c r="E100" s="17"/>
      <c r="F100" s="18"/>
      <c r="G100" s="18"/>
      <c r="H100" s="17"/>
      <c r="I100" s="17"/>
      <c r="J100" s="17"/>
      <c r="K100" s="17"/>
      <c r="L100" s="17"/>
      <c r="M100" s="17"/>
      <c r="N100" s="17"/>
      <c r="O100" s="17"/>
      <c r="P100" s="17"/>
      <c r="Q100" s="17"/>
      <c r="R100" s="17"/>
    </row>
    <row r="101" spans="1:18" ht="15.75">
      <c r="A101" s="176">
        <v>98</v>
      </c>
      <c r="B101" s="177">
        <v>221.8</v>
      </c>
      <c r="C101" s="14">
        <f t="shared" si="8"/>
        <v>16.322499999999934</v>
      </c>
      <c r="D101" s="14">
        <v>16.322499999999934</v>
      </c>
      <c r="E101" s="17"/>
      <c r="F101" s="18"/>
      <c r="G101" s="18"/>
      <c r="H101" s="17"/>
      <c r="I101" s="17"/>
      <c r="J101" s="17"/>
      <c r="K101" s="17"/>
      <c r="L101" s="17"/>
      <c r="M101" s="17"/>
      <c r="N101" s="17"/>
      <c r="O101" s="17"/>
      <c r="P101" s="17"/>
      <c r="Q101" s="17"/>
      <c r="R101" s="17"/>
    </row>
    <row r="102" spans="1:18" ht="15.75">
      <c r="A102" s="176">
        <v>99</v>
      </c>
      <c r="B102" s="177">
        <v>206.2</v>
      </c>
      <c r="C102" s="14">
        <f t="shared" si="8"/>
        <v>0.72249999999991132</v>
      </c>
      <c r="D102" s="14">
        <v>0.72249999999991132</v>
      </c>
      <c r="E102" s="17"/>
      <c r="F102" s="18"/>
      <c r="G102" s="18"/>
      <c r="H102" s="17"/>
      <c r="I102" s="17"/>
      <c r="J102" s="17"/>
      <c r="K102" s="17"/>
      <c r="L102" s="17"/>
      <c r="M102" s="17"/>
      <c r="N102" s="17"/>
      <c r="O102" s="17"/>
      <c r="P102" s="17"/>
      <c r="Q102" s="17"/>
      <c r="R102" s="17"/>
    </row>
    <row r="103" spans="1:18" ht="15.75">
      <c r="A103" s="176">
        <v>100</v>
      </c>
      <c r="B103" s="177">
        <v>235.9</v>
      </c>
      <c r="C103" s="14">
        <f t="shared" si="8"/>
        <v>30.422499999999928</v>
      </c>
      <c r="D103" s="14">
        <v>30.422499999999928</v>
      </c>
      <c r="E103" s="17"/>
      <c r="F103" s="18"/>
      <c r="G103" s="18"/>
      <c r="H103" s="17"/>
      <c r="I103" s="17"/>
      <c r="J103" s="17"/>
      <c r="K103" s="17"/>
      <c r="L103" s="17"/>
      <c r="M103" s="17"/>
      <c r="N103" s="17"/>
      <c r="O103" s="17"/>
      <c r="P103" s="17"/>
      <c r="Q103" s="17"/>
      <c r="R103" s="17"/>
    </row>
    <row r="104" spans="1:18" ht="15.75">
      <c r="A104" s="176">
        <v>101</v>
      </c>
      <c r="B104" s="177">
        <v>218.5</v>
      </c>
      <c r="C104" s="14">
        <f t="shared" si="8"/>
        <v>13.022499999999923</v>
      </c>
      <c r="D104" s="14">
        <v>13.022499999999923</v>
      </c>
      <c r="E104" s="17"/>
      <c r="F104" s="18"/>
      <c r="G104" s="18"/>
      <c r="H104" s="17"/>
      <c r="I104" s="17"/>
      <c r="J104" s="17"/>
      <c r="K104" s="17"/>
      <c r="L104" s="17"/>
      <c r="M104" s="17"/>
      <c r="N104" s="17"/>
      <c r="O104" s="17"/>
      <c r="P104" s="17"/>
      <c r="Q104" s="17"/>
      <c r="R104" s="17"/>
    </row>
    <row r="105" spans="1:18" ht="15.75">
      <c r="A105" s="176">
        <v>102</v>
      </c>
      <c r="B105" s="177">
        <v>168.5</v>
      </c>
      <c r="C105" s="14">
        <f t="shared" si="8"/>
        <v>-36.977500000000077</v>
      </c>
      <c r="D105" s="14">
        <v>36.977500000000077</v>
      </c>
      <c r="E105" s="17"/>
      <c r="F105" s="18"/>
      <c r="G105" s="18"/>
      <c r="H105" s="17"/>
      <c r="I105" s="17"/>
      <c r="J105" s="17"/>
      <c r="K105" s="17"/>
      <c r="L105" s="17"/>
      <c r="M105" s="17"/>
      <c r="N105" s="17"/>
      <c r="O105" s="17"/>
      <c r="P105" s="17"/>
      <c r="Q105" s="17"/>
      <c r="R105" s="17"/>
    </row>
    <row r="106" spans="1:18" ht="15.75">
      <c r="A106" s="176">
        <v>103</v>
      </c>
      <c r="B106" s="177">
        <v>183.6</v>
      </c>
      <c r="C106" s="14">
        <f t="shared" si="8"/>
        <v>-21.877500000000083</v>
      </c>
      <c r="D106" s="14">
        <v>21.877500000000083</v>
      </c>
      <c r="E106" s="17"/>
      <c r="F106" s="18"/>
      <c r="G106" s="18"/>
      <c r="H106" s="17"/>
      <c r="I106" s="17"/>
      <c r="J106" s="17"/>
      <c r="K106" s="17"/>
      <c r="L106" s="17"/>
      <c r="M106" s="17"/>
      <c r="N106" s="17"/>
      <c r="O106" s="17"/>
      <c r="P106" s="17"/>
      <c r="Q106" s="17"/>
      <c r="R106" s="17"/>
    </row>
    <row r="107" spans="1:18" ht="15.75">
      <c r="A107" s="176">
        <v>104</v>
      </c>
      <c r="B107" s="177">
        <v>213</v>
      </c>
      <c r="C107" s="14">
        <f t="shared" si="8"/>
        <v>7.5224999999999227</v>
      </c>
      <c r="D107" s="14">
        <v>7.5224999999999227</v>
      </c>
      <c r="E107" s="17"/>
      <c r="F107" s="18"/>
      <c r="G107" s="18"/>
      <c r="H107" s="17"/>
      <c r="I107" s="17"/>
      <c r="J107" s="17"/>
      <c r="K107" s="17"/>
      <c r="L107" s="17"/>
      <c r="M107" s="17"/>
      <c r="N107" s="17"/>
      <c r="O107" s="17"/>
      <c r="P107" s="17"/>
      <c r="Q107" s="17"/>
      <c r="R107" s="17"/>
    </row>
    <row r="108" spans="1:18" ht="15.75">
      <c r="A108" s="176">
        <v>105</v>
      </c>
      <c r="B108" s="177">
        <v>180.8</v>
      </c>
      <c r="C108" s="14">
        <f t="shared" si="8"/>
        <v>-24.677500000000066</v>
      </c>
      <c r="D108" s="14">
        <v>24.677500000000066</v>
      </c>
      <c r="E108" s="17"/>
      <c r="F108" s="18"/>
      <c r="G108" s="18"/>
      <c r="H108" s="17"/>
      <c r="I108" s="17"/>
      <c r="J108" s="17"/>
      <c r="K108" s="17"/>
      <c r="L108" s="17"/>
      <c r="M108" s="17"/>
      <c r="N108" s="17"/>
      <c r="O108" s="17"/>
      <c r="P108" s="17"/>
      <c r="Q108" s="17"/>
      <c r="R108" s="17"/>
    </row>
    <row r="109" spans="1:18" ht="15.75">
      <c r="A109" s="176">
        <v>106</v>
      </c>
      <c r="B109" s="177">
        <v>208.4</v>
      </c>
      <c r="C109" s="14">
        <f t="shared" si="8"/>
        <v>2.9224999999999284</v>
      </c>
      <c r="D109" s="14">
        <v>2.9224999999999284</v>
      </c>
      <c r="E109" s="17"/>
      <c r="F109" s="18"/>
      <c r="G109" s="18"/>
      <c r="H109" s="17"/>
      <c r="I109" s="17"/>
      <c r="J109" s="17"/>
      <c r="K109" s="17"/>
      <c r="L109" s="17"/>
      <c r="M109" s="17"/>
      <c r="N109" s="17"/>
      <c r="O109" s="17"/>
      <c r="P109" s="17"/>
      <c r="Q109" s="17"/>
      <c r="R109" s="17"/>
    </row>
    <row r="110" spans="1:18" ht="15.75">
      <c r="A110" s="176">
        <v>107</v>
      </c>
      <c r="B110" s="177">
        <v>240.6</v>
      </c>
      <c r="C110" s="14">
        <f t="shared" si="8"/>
        <v>35.122499999999917</v>
      </c>
      <c r="D110" s="14">
        <v>35.122499999999917</v>
      </c>
      <c r="E110" s="17"/>
      <c r="F110" s="18"/>
      <c r="G110" s="18"/>
      <c r="H110" s="17"/>
      <c r="I110" s="17"/>
      <c r="J110" s="17"/>
      <c r="K110" s="17"/>
      <c r="L110" s="17"/>
      <c r="M110" s="17"/>
      <c r="N110" s="17"/>
      <c r="O110" s="17"/>
      <c r="P110" s="17"/>
      <c r="Q110" s="17"/>
      <c r="R110" s="17"/>
    </row>
    <row r="111" spans="1:18" ht="15.75">
      <c r="A111" s="176">
        <v>108</v>
      </c>
      <c r="B111" s="177">
        <v>208.2</v>
      </c>
      <c r="C111" s="14">
        <f t="shared" si="8"/>
        <v>2.7224999999999113</v>
      </c>
      <c r="D111" s="14">
        <v>2.7224999999999113</v>
      </c>
      <c r="E111" s="17"/>
      <c r="F111" s="18"/>
      <c r="G111" s="18"/>
      <c r="H111" s="17"/>
      <c r="I111" s="17"/>
      <c r="J111" s="17"/>
      <c r="K111" s="17"/>
      <c r="L111" s="17"/>
      <c r="M111" s="17"/>
      <c r="N111" s="17"/>
      <c r="O111" s="17"/>
      <c r="P111" s="17"/>
      <c r="Q111" s="17"/>
      <c r="R111" s="17"/>
    </row>
    <row r="112" spans="1:18" ht="15.75">
      <c r="A112" s="176">
        <v>109</v>
      </c>
      <c r="B112" s="177">
        <v>187.2</v>
      </c>
      <c r="C112" s="14">
        <f t="shared" si="8"/>
        <v>-18.277500000000089</v>
      </c>
      <c r="D112" s="14">
        <v>18.277500000000089</v>
      </c>
      <c r="E112" s="17"/>
      <c r="F112" s="18"/>
      <c r="G112" s="18"/>
      <c r="H112" s="17"/>
      <c r="I112" s="17"/>
      <c r="J112" s="17"/>
      <c r="K112" s="17"/>
      <c r="L112" s="17"/>
      <c r="M112" s="17"/>
      <c r="N112" s="17"/>
      <c r="O112" s="17"/>
      <c r="P112" s="17"/>
      <c r="Q112" s="17"/>
      <c r="R112" s="17"/>
    </row>
    <row r="113" spans="1:18" ht="15.75">
      <c r="A113" s="176">
        <v>110</v>
      </c>
      <c r="B113" s="177">
        <v>234.7</v>
      </c>
      <c r="C113" s="14">
        <f t="shared" si="8"/>
        <v>29.222499999999911</v>
      </c>
      <c r="D113" s="14">
        <v>29.222499999999911</v>
      </c>
      <c r="E113" s="17"/>
      <c r="F113" s="18"/>
      <c r="G113" s="18"/>
      <c r="H113" s="17"/>
      <c r="I113" s="17"/>
      <c r="J113" s="17"/>
      <c r="K113" s="17"/>
      <c r="L113" s="17"/>
      <c r="M113" s="17"/>
      <c r="N113" s="17"/>
      <c r="O113" s="17"/>
      <c r="P113" s="17"/>
      <c r="Q113" s="17"/>
      <c r="R113" s="17"/>
    </row>
    <row r="114" spans="1:18" ht="15.75">
      <c r="A114" s="176">
        <v>111</v>
      </c>
      <c r="B114" s="177">
        <v>206.4</v>
      </c>
      <c r="C114" s="14">
        <f t="shared" si="8"/>
        <v>0.92249999999992838</v>
      </c>
      <c r="D114" s="14">
        <v>0.92249999999992838</v>
      </c>
      <c r="E114" s="17"/>
      <c r="F114" s="18"/>
      <c r="G114" s="18"/>
      <c r="H114" s="17"/>
      <c r="I114" s="17"/>
      <c r="J114" s="17"/>
      <c r="K114" s="17"/>
      <c r="L114" s="17"/>
      <c r="M114" s="17"/>
      <c r="N114" s="17"/>
      <c r="O114" s="17"/>
      <c r="P114" s="17"/>
      <c r="Q114" s="17"/>
      <c r="R114" s="17"/>
    </row>
    <row r="115" spans="1:18" ht="15.75">
      <c r="A115" s="176">
        <v>112</v>
      </c>
      <c r="B115" s="177">
        <v>227.8</v>
      </c>
      <c r="C115" s="14">
        <f t="shared" si="8"/>
        <v>22.322499999999934</v>
      </c>
      <c r="D115" s="14">
        <v>22.322499999999934</v>
      </c>
      <c r="E115" s="17"/>
      <c r="F115" s="18"/>
      <c r="G115" s="18"/>
      <c r="H115" s="17"/>
      <c r="I115" s="17"/>
      <c r="J115" s="17"/>
      <c r="K115" s="17"/>
      <c r="L115" s="17"/>
      <c r="M115" s="17"/>
      <c r="N115" s="17"/>
      <c r="O115" s="17"/>
      <c r="P115" s="17"/>
      <c r="Q115" s="17"/>
      <c r="R115" s="17"/>
    </row>
    <row r="116" spans="1:18" ht="15.75">
      <c r="A116" s="176">
        <v>113</v>
      </c>
      <c r="B116" s="177">
        <v>228.3</v>
      </c>
      <c r="C116" s="14">
        <f t="shared" si="8"/>
        <v>22.822499999999934</v>
      </c>
      <c r="D116" s="14">
        <v>22.822499999999934</v>
      </c>
      <c r="E116" s="17"/>
      <c r="F116" s="18"/>
      <c r="G116" s="18"/>
      <c r="H116" s="17"/>
      <c r="I116" s="17"/>
      <c r="J116" s="17"/>
      <c r="K116" s="17"/>
      <c r="L116" s="17"/>
      <c r="M116" s="17"/>
      <c r="N116" s="17"/>
      <c r="O116" s="17"/>
      <c r="P116" s="17"/>
      <c r="Q116" s="17"/>
      <c r="R116" s="17"/>
    </row>
    <row r="117" spans="1:18" ht="15.75">
      <c r="A117" s="176">
        <v>114</v>
      </c>
      <c r="B117" s="177">
        <v>204.4</v>
      </c>
      <c r="C117" s="14">
        <f t="shared" si="8"/>
        <v>-1.0775000000000716</v>
      </c>
      <c r="D117" s="14">
        <v>1.0775000000000716</v>
      </c>
      <c r="E117" s="17"/>
      <c r="F117" s="18"/>
      <c r="G117" s="18"/>
      <c r="H117" s="17"/>
      <c r="I117" s="17"/>
      <c r="J117" s="17"/>
      <c r="K117" s="17"/>
      <c r="L117" s="17"/>
      <c r="M117" s="17"/>
      <c r="N117" s="17"/>
      <c r="O117" s="17"/>
      <c r="P117" s="17"/>
      <c r="Q117" s="17"/>
      <c r="R117" s="17"/>
    </row>
    <row r="118" spans="1:18" ht="15.75">
      <c r="A118" s="176">
        <v>115</v>
      </c>
      <c r="B118" s="177">
        <v>195.6</v>
      </c>
      <c r="C118" s="14">
        <f t="shared" si="8"/>
        <v>-9.877500000000083</v>
      </c>
      <c r="D118" s="14">
        <v>9.877500000000083</v>
      </c>
      <c r="E118" s="17"/>
      <c r="F118" s="18"/>
      <c r="G118" s="18"/>
      <c r="H118" s="17"/>
      <c r="I118" s="17"/>
      <c r="J118" s="17"/>
      <c r="K118" s="17"/>
      <c r="L118" s="17"/>
      <c r="M118" s="17"/>
      <c r="N118" s="17"/>
      <c r="O118" s="17"/>
      <c r="P118" s="17"/>
      <c r="Q118" s="17"/>
      <c r="R118" s="17"/>
    </row>
    <row r="119" spans="1:18" ht="15.75">
      <c r="A119" s="176">
        <v>116</v>
      </c>
      <c r="B119" s="177">
        <v>221.8</v>
      </c>
      <c r="C119" s="14">
        <f t="shared" si="8"/>
        <v>16.322499999999934</v>
      </c>
      <c r="D119" s="14">
        <v>16.322499999999934</v>
      </c>
      <c r="E119" s="17"/>
      <c r="F119" s="18"/>
      <c r="G119" s="18"/>
      <c r="H119" s="17"/>
      <c r="I119" s="17"/>
      <c r="J119" s="17"/>
      <c r="K119" s="17"/>
      <c r="L119" s="17"/>
      <c r="M119" s="17"/>
      <c r="N119" s="17"/>
      <c r="O119" s="17"/>
      <c r="P119" s="17"/>
      <c r="Q119" s="17"/>
      <c r="R119" s="17"/>
    </row>
    <row r="120" spans="1:18" ht="15.75">
      <c r="A120" s="176">
        <v>117</v>
      </c>
      <c r="B120" s="177">
        <v>206.4</v>
      </c>
      <c r="C120" s="14">
        <f t="shared" si="8"/>
        <v>0.92249999999992838</v>
      </c>
      <c r="D120" s="14">
        <v>0.92249999999992838</v>
      </c>
      <c r="E120" s="17"/>
      <c r="F120" s="18"/>
      <c r="G120" s="18"/>
      <c r="H120" s="17"/>
      <c r="I120" s="17"/>
      <c r="J120" s="17"/>
      <c r="K120" s="17"/>
      <c r="L120" s="17"/>
      <c r="M120" s="17"/>
      <c r="N120" s="17"/>
      <c r="O120" s="17"/>
      <c r="P120" s="17"/>
      <c r="Q120" s="17"/>
      <c r="R120" s="17"/>
    </row>
    <row r="121" spans="1:18" ht="15.75">
      <c r="A121" s="176">
        <v>118</v>
      </c>
      <c r="B121" s="177">
        <v>235.9</v>
      </c>
      <c r="C121" s="14">
        <f t="shared" si="8"/>
        <v>30.422499999999928</v>
      </c>
      <c r="D121" s="14">
        <v>30.422499999999928</v>
      </c>
      <c r="E121" s="17"/>
      <c r="F121" s="18"/>
      <c r="G121" s="18"/>
      <c r="H121" s="17"/>
      <c r="I121" s="17"/>
      <c r="J121" s="17"/>
      <c r="K121" s="17"/>
      <c r="L121" s="17"/>
      <c r="M121" s="17"/>
      <c r="N121" s="17"/>
      <c r="O121" s="17"/>
      <c r="P121" s="17"/>
      <c r="Q121" s="17"/>
      <c r="R121" s="17"/>
    </row>
    <row r="122" spans="1:18" ht="15.75">
      <c r="A122" s="176">
        <v>119</v>
      </c>
      <c r="B122" s="177">
        <v>218.5</v>
      </c>
      <c r="C122" s="14">
        <f t="shared" si="8"/>
        <v>13.022499999999923</v>
      </c>
      <c r="D122" s="14">
        <v>13.022499999999923</v>
      </c>
      <c r="E122" s="17"/>
      <c r="F122" s="18"/>
      <c r="G122" s="18"/>
      <c r="H122" s="17"/>
      <c r="I122" s="17"/>
      <c r="J122" s="17"/>
      <c r="K122" s="17"/>
      <c r="L122" s="17"/>
      <c r="M122" s="17"/>
      <c r="N122" s="17"/>
      <c r="O122" s="17"/>
      <c r="P122" s="17"/>
      <c r="Q122" s="17"/>
      <c r="R122" s="17"/>
    </row>
    <row r="123" spans="1:18" ht="15.75">
      <c r="A123" s="181">
        <v>120</v>
      </c>
      <c r="B123" s="182">
        <v>168.7</v>
      </c>
      <c r="C123" s="15">
        <f t="shared" si="8"/>
        <v>-36.777500000000089</v>
      </c>
      <c r="D123" s="15">
        <v>36.777500000000089</v>
      </c>
      <c r="E123" s="17"/>
      <c r="F123" s="18"/>
      <c r="G123" s="18"/>
      <c r="H123" s="17"/>
      <c r="I123" s="17"/>
      <c r="J123" s="17"/>
      <c r="K123" s="17"/>
      <c r="L123" s="17"/>
      <c r="M123" s="17"/>
      <c r="N123" s="17"/>
      <c r="O123" s="17"/>
      <c r="P123" s="17"/>
      <c r="Q123" s="17"/>
      <c r="R123" s="17"/>
    </row>
    <row r="124" spans="1:18" ht="15.75">
      <c r="A124" s="19" t="s">
        <v>172</v>
      </c>
      <c r="B124" s="186">
        <f>AVERAGE(B4:B123)</f>
        <v>205.47750000000008</v>
      </c>
      <c r="C124" s="17"/>
      <c r="D124" s="17"/>
      <c r="E124" s="17"/>
      <c r="F124" s="17"/>
      <c r="G124" s="17"/>
      <c r="H124" s="17"/>
      <c r="I124" s="17"/>
      <c r="J124" s="17"/>
      <c r="K124" s="17"/>
      <c r="L124" s="17"/>
      <c r="M124" s="17"/>
      <c r="N124" s="17"/>
      <c r="O124" s="17"/>
      <c r="P124" s="17"/>
      <c r="Q124" s="17"/>
      <c r="R124" s="17"/>
    </row>
    <row r="125" spans="1:18" ht="38.25" customHeight="1">
      <c r="A125" s="83" t="s">
        <v>126</v>
      </c>
      <c r="B125" s="196">
        <f>AVERAGE(D4:D123)</f>
        <v>20.531208333333339</v>
      </c>
      <c r="C125" s="17"/>
      <c r="D125" s="17"/>
      <c r="E125" s="17"/>
      <c r="F125" s="17"/>
      <c r="G125" s="17"/>
      <c r="H125" s="17"/>
      <c r="I125" s="17"/>
      <c r="J125" s="17"/>
      <c r="K125" s="17"/>
      <c r="L125" s="17"/>
      <c r="M125" s="17"/>
      <c r="N125" s="17"/>
      <c r="O125" s="17"/>
      <c r="P125" s="17"/>
      <c r="Q125" s="17"/>
      <c r="R125" s="17"/>
    </row>
    <row r="126" spans="1:18" ht="53.25" customHeight="1">
      <c r="A126" s="83" t="s">
        <v>126</v>
      </c>
      <c r="B126" s="196">
        <f>AVEDEV(B4:B123)</f>
        <v>20.531208333333339</v>
      </c>
      <c r="C126" s="197" t="s">
        <v>167</v>
      </c>
      <c r="D126" s="17"/>
      <c r="E126" s="17"/>
      <c r="F126" s="17"/>
      <c r="G126" s="17"/>
      <c r="H126" s="17"/>
      <c r="I126" s="17"/>
      <c r="J126" s="17"/>
      <c r="K126" s="17"/>
      <c r="L126" s="17"/>
      <c r="M126" s="17"/>
      <c r="N126" s="17"/>
      <c r="O126" s="17"/>
      <c r="P126" s="17"/>
      <c r="Q126" s="17"/>
      <c r="R126" s="17"/>
    </row>
    <row r="127" spans="1:18" ht="27.75" customHeight="1">
      <c r="A127" s="19" t="s">
        <v>125</v>
      </c>
      <c r="B127" s="196">
        <f>_xlfn.VAR.P(B4:B123)</f>
        <v>601.39941041661632</v>
      </c>
      <c r="C127" s="17"/>
      <c r="D127" s="17"/>
      <c r="E127" s="17"/>
      <c r="F127" s="17"/>
      <c r="G127" s="17"/>
      <c r="H127" s="17"/>
      <c r="I127" s="17"/>
      <c r="J127" s="17"/>
      <c r="K127" s="17"/>
      <c r="L127" s="17"/>
      <c r="M127" s="17"/>
      <c r="N127" s="17"/>
      <c r="O127" s="17"/>
      <c r="P127" s="17"/>
      <c r="Q127" s="17"/>
      <c r="R127" s="17"/>
    </row>
    <row r="128" spans="1:18" ht="36.75" customHeight="1">
      <c r="A128" s="83" t="s">
        <v>127</v>
      </c>
      <c r="B128" s="196">
        <f>SQRT(B127)</f>
        <v>24.523446136638633</v>
      </c>
      <c r="C128" s="17"/>
      <c r="D128" s="17"/>
      <c r="E128" s="17"/>
      <c r="F128" s="17"/>
      <c r="G128" s="17"/>
      <c r="H128" s="17"/>
      <c r="I128" s="17"/>
      <c r="J128" s="17"/>
      <c r="K128" s="17"/>
      <c r="L128" s="17"/>
      <c r="M128" s="17"/>
      <c r="N128" s="17"/>
      <c r="O128" s="17"/>
      <c r="P128" s="17"/>
      <c r="Q128" s="17"/>
      <c r="R128" s="17"/>
    </row>
    <row r="129" spans="1:18" ht="47.25" customHeight="1">
      <c r="A129" s="83" t="s">
        <v>127</v>
      </c>
      <c r="B129" s="196">
        <f>_xlfn.STDEV.P(B4:B123)</f>
        <v>24.523446136638633</v>
      </c>
      <c r="C129" s="197" t="s">
        <v>168</v>
      </c>
      <c r="D129" s="17"/>
      <c r="E129" s="17"/>
      <c r="F129" s="17"/>
      <c r="G129" s="17"/>
      <c r="H129" s="17"/>
      <c r="I129" s="17"/>
      <c r="J129" s="17"/>
      <c r="K129" s="17"/>
      <c r="L129" s="17"/>
      <c r="M129" s="17"/>
      <c r="N129" s="17"/>
      <c r="O129" s="17"/>
      <c r="P129" s="17"/>
      <c r="Q129" s="17"/>
      <c r="R129" s="17"/>
    </row>
    <row r="130" spans="1:18" ht="54" customHeight="1">
      <c r="A130" s="83" t="s">
        <v>128</v>
      </c>
      <c r="B130" s="196">
        <f>(B129/B124)*100</f>
        <v>11.934857167640555</v>
      </c>
      <c r="C130" s="17"/>
      <c r="D130" s="17"/>
      <c r="E130" s="17"/>
      <c r="F130" s="17"/>
      <c r="G130" s="17"/>
      <c r="H130" s="17"/>
      <c r="I130" s="17"/>
      <c r="J130" s="17"/>
      <c r="K130" s="17"/>
      <c r="L130" s="17"/>
      <c r="M130" s="17"/>
      <c r="N130" s="17"/>
      <c r="O130" s="17"/>
      <c r="P130" s="17"/>
      <c r="Q130" s="17"/>
      <c r="R130" s="1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02AA1-7DD6-4C3C-844F-5A636709DE1E}">
  <dimension ref="A1:R136"/>
  <sheetViews>
    <sheetView topLeftCell="E2" zoomScale="90" zoomScaleNormal="90" workbookViewId="0">
      <selection activeCell="U18" sqref="U18"/>
    </sheetView>
  </sheetViews>
  <sheetFormatPr defaultRowHeight="15"/>
  <cols>
    <col min="2" max="2" width="11.28515625" customWidth="1"/>
    <col min="3" max="3" width="13.85546875" customWidth="1"/>
    <col min="4" max="4" width="15" customWidth="1"/>
    <col min="5" max="5" width="17.85546875" customWidth="1"/>
    <col min="7" max="8" width="11.7109375" customWidth="1"/>
    <col min="9" max="9" width="11.42578125" customWidth="1"/>
    <col min="11" max="11" width="7.7109375" customWidth="1"/>
    <col min="14" max="14" width="9.85546875" customWidth="1"/>
    <col min="15" max="15" width="6.7109375" customWidth="1"/>
    <col min="16" max="16" width="17.7109375" customWidth="1"/>
    <col min="17" max="17" width="14.5703125" customWidth="1"/>
    <col min="18" max="18" width="17" customWidth="1"/>
  </cols>
  <sheetData>
    <row r="1" spans="1:18" ht="28.5">
      <c r="A1" s="132" t="s">
        <v>190</v>
      </c>
    </row>
    <row r="2" spans="1:18" ht="18.75">
      <c r="A2" s="19" t="s">
        <v>245</v>
      </c>
      <c r="B2" s="26" t="s">
        <v>163</v>
      </c>
      <c r="G2" s="19" t="s">
        <v>246</v>
      </c>
      <c r="H2" s="26" t="s">
        <v>165</v>
      </c>
    </row>
    <row r="3" spans="1:18" ht="59.25" customHeight="1">
      <c r="A3" s="20" t="s">
        <v>18</v>
      </c>
      <c r="B3" s="122" t="s">
        <v>182</v>
      </c>
      <c r="C3" s="123" t="s">
        <v>174</v>
      </c>
      <c r="D3" s="123" t="s">
        <v>175</v>
      </c>
      <c r="E3" s="124" t="s">
        <v>176</v>
      </c>
      <c r="F3" s="119"/>
      <c r="H3" s="50" t="s">
        <v>148</v>
      </c>
      <c r="I3" s="51" t="s">
        <v>149</v>
      </c>
      <c r="J3" s="104" t="s">
        <v>108</v>
      </c>
      <c r="K3" s="51" t="s">
        <v>169</v>
      </c>
      <c r="L3" s="1" t="s">
        <v>30</v>
      </c>
      <c r="M3" s="1" t="s">
        <v>31</v>
      </c>
      <c r="N3" s="52" t="s">
        <v>173</v>
      </c>
      <c r="O3" s="114" t="s">
        <v>4</v>
      </c>
      <c r="P3" s="123" t="s">
        <v>183</v>
      </c>
      <c r="Q3" s="123" t="s">
        <v>184</v>
      </c>
      <c r="R3" s="126" t="s">
        <v>185</v>
      </c>
    </row>
    <row r="4" spans="1:18">
      <c r="A4" s="6">
        <v>1</v>
      </c>
      <c r="B4" s="6">
        <v>187.2</v>
      </c>
      <c r="C4" s="6">
        <f>B4^2</f>
        <v>35043.839999999997</v>
      </c>
      <c r="D4" s="6">
        <f>B4^3</f>
        <v>6560206.8479999993</v>
      </c>
      <c r="E4" s="53">
        <f>B4^4</f>
        <v>1228070721.9455998</v>
      </c>
      <c r="F4" s="8"/>
      <c r="H4" s="53" t="s">
        <v>21</v>
      </c>
      <c r="I4" s="53" t="s">
        <v>151</v>
      </c>
      <c r="J4" s="54">
        <v>164</v>
      </c>
      <c r="K4" s="53">
        <v>4</v>
      </c>
      <c r="L4" s="53">
        <v>150</v>
      </c>
      <c r="M4" s="54">
        <v>165</v>
      </c>
      <c r="N4" s="53">
        <f>(L4+M4)/2</f>
        <v>157.5</v>
      </c>
      <c r="O4" s="53">
        <f>K4*N4</f>
        <v>630</v>
      </c>
      <c r="P4" s="55">
        <f>K4*(N4^2)</f>
        <v>99225</v>
      </c>
      <c r="Q4" s="55">
        <f>K4*(N4^3)</f>
        <v>15627937.5</v>
      </c>
      <c r="R4" s="128">
        <f>K4*(N4^4)</f>
        <v>2461400156.25</v>
      </c>
    </row>
    <row r="5" spans="1:18">
      <c r="A5" s="6">
        <v>2</v>
      </c>
      <c r="B5" s="6">
        <v>207.9</v>
      </c>
      <c r="C5" s="6">
        <f t="shared" ref="C5:C68" si="0">B5^2</f>
        <v>43222.41</v>
      </c>
      <c r="D5" s="6">
        <f t="shared" ref="D5:D68" si="1">B5^3</f>
        <v>8985939.0390000008</v>
      </c>
      <c r="E5" s="6">
        <f t="shared" ref="E5:E68" si="2">B5^4</f>
        <v>1868176726.2081003</v>
      </c>
      <c r="F5" s="8"/>
      <c r="G5" s="105" t="s">
        <v>152</v>
      </c>
      <c r="H5" s="6" t="s">
        <v>22</v>
      </c>
      <c r="I5" s="6" t="s">
        <v>153</v>
      </c>
      <c r="J5" s="56">
        <v>179</v>
      </c>
      <c r="K5" s="6">
        <v>9</v>
      </c>
      <c r="L5" s="6">
        <v>165</v>
      </c>
      <c r="M5" s="56">
        <v>180</v>
      </c>
      <c r="N5" s="6">
        <f t="shared" ref="N5:N11" si="3">(L5+M5)/2</f>
        <v>172.5</v>
      </c>
      <c r="O5" s="56">
        <f>K5*N5</f>
        <v>1552.5</v>
      </c>
      <c r="P5" s="57">
        <f t="shared" ref="P5:P11" si="4">K5*(N5^2)</f>
        <v>267806.25</v>
      </c>
      <c r="Q5" s="57">
        <f t="shared" ref="Q5:Q11" si="5">K5*(N5^3)</f>
        <v>46196578.125</v>
      </c>
      <c r="R5" s="129">
        <f t="shared" ref="R5:R11" si="6">K5*(N5^4)</f>
        <v>7968909726.5625</v>
      </c>
    </row>
    <row r="6" spans="1:18">
      <c r="A6" s="6">
        <v>3</v>
      </c>
      <c r="B6" s="6">
        <v>171.5</v>
      </c>
      <c r="C6" s="6">
        <f t="shared" si="0"/>
        <v>29412.25</v>
      </c>
      <c r="D6" s="6">
        <f t="shared" si="1"/>
        <v>5044200.875</v>
      </c>
      <c r="E6" s="6">
        <f t="shared" si="2"/>
        <v>865080450.0625</v>
      </c>
      <c r="F6" s="8"/>
      <c r="G6" s="8">
        <v>151.19999999999999</v>
      </c>
      <c r="H6" s="6" t="s">
        <v>23</v>
      </c>
      <c r="I6" s="6" t="s">
        <v>154</v>
      </c>
      <c r="J6" s="56">
        <v>194</v>
      </c>
      <c r="K6" s="6">
        <v>34</v>
      </c>
      <c r="L6" s="6">
        <v>180</v>
      </c>
      <c r="M6" s="56">
        <v>195</v>
      </c>
      <c r="N6" s="6">
        <f t="shared" si="3"/>
        <v>187.5</v>
      </c>
      <c r="O6" s="6">
        <f t="shared" ref="O6:O11" si="7">K6*N6</f>
        <v>6375</v>
      </c>
      <c r="P6" s="57">
        <f t="shared" si="4"/>
        <v>1195312.5</v>
      </c>
      <c r="Q6" s="57">
        <f t="shared" si="5"/>
        <v>224121093.75</v>
      </c>
      <c r="R6" s="129">
        <f t="shared" si="6"/>
        <v>42022705078.125</v>
      </c>
    </row>
    <row r="7" spans="1:18">
      <c r="A7" s="6">
        <v>4</v>
      </c>
      <c r="B7" s="6">
        <v>217.7</v>
      </c>
      <c r="C7" s="6">
        <f t="shared" si="0"/>
        <v>47393.289999999994</v>
      </c>
      <c r="D7" s="6">
        <f t="shared" si="1"/>
        <v>10317519.232999997</v>
      </c>
      <c r="E7" s="6">
        <f t="shared" si="2"/>
        <v>2246123937.0240993</v>
      </c>
      <c r="F7" s="8"/>
      <c r="G7" s="105" t="s">
        <v>155</v>
      </c>
      <c r="H7" s="6" t="s">
        <v>24</v>
      </c>
      <c r="I7" s="6" t="s">
        <v>156</v>
      </c>
      <c r="J7" s="56">
        <v>209</v>
      </c>
      <c r="K7" s="6">
        <v>25</v>
      </c>
      <c r="L7" s="6">
        <v>195</v>
      </c>
      <c r="M7" s="56">
        <v>210</v>
      </c>
      <c r="N7" s="6">
        <f t="shared" si="3"/>
        <v>202.5</v>
      </c>
      <c r="O7" s="6">
        <f t="shared" si="7"/>
        <v>5062.5</v>
      </c>
      <c r="P7" s="57">
        <f t="shared" si="4"/>
        <v>1025156.25</v>
      </c>
      <c r="Q7" s="57">
        <f t="shared" si="5"/>
        <v>207594140.625</v>
      </c>
      <c r="R7" s="129">
        <f t="shared" si="6"/>
        <v>42037813476.5625</v>
      </c>
    </row>
    <row r="8" spans="1:18">
      <c r="A8" s="6">
        <v>5</v>
      </c>
      <c r="B8" s="6">
        <v>199.5</v>
      </c>
      <c r="C8" s="6">
        <f t="shared" si="0"/>
        <v>39800.25</v>
      </c>
      <c r="D8" s="6">
        <f t="shared" si="1"/>
        <v>7940149.875</v>
      </c>
      <c r="E8" s="6">
        <f t="shared" si="2"/>
        <v>1584059900.0625</v>
      </c>
      <c r="F8" s="8"/>
      <c r="G8" s="8">
        <v>268.8</v>
      </c>
      <c r="H8" s="6" t="s">
        <v>25</v>
      </c>
      <c r="I8" s="6" t="s">
        <v>157</v>
      </c>
      <c r="J8" s="56">
        <v>224</v>
      </c>
      <c r="K8" s="6">
        <v>14</v>
      </c>
      <c r="L8" s="6">
        <v>210</v>
      </c>
      <c r="M8" s="56">
        <v>225</v>
      </c>
      <c r="N8" s="6">
        <f t="shared" si="3"/>
        <v>217.5</v>
      </c>
      <c r="O8" s="6">
        <f t="shared" si="7"/>
        <v>3045</v>
      </c>
      <c r="P8" s="57">
        <f t="shared" si="4"/>
        <v>662287.5</v>
      </c>
      <c r="Q8" s="57">
        <f t="shared" si="5"/>
        <v>144047531.25</v>
      </c>
      <c r="R8" s="129">
        <f t="shared" si="6"/>
        <v>31330338046.875</v>
      </c>
    </row>
    <row r="9" spans="1:18">
      <c r="A9" s="6">
        <v>6</v>
      </c>
      <c r="B9" s="6">
        <v>185.7</v>
      </c>
      <c r="C9" s="6">
        <f t="shared" si="0"/>
        <v>34484.49</v>
      </c>
      <c r="D9" s="6">
        <f t="shared" si="1"/>
        <v>6403769.7929999996</v>
      </c>
      <c r="E9" s="6">
        <f t="shared" si="2"/>
        <v>1189180050.5600998</v>
      </c>
      <c r="F9" s="8"/>
      <c r="G9" s="105" t="s">
        <v>158</v>
      </c>
      <c r="H9" s="6" t="s">
        <v>26</v>
      </c>
      <c r="I9" s="6" t="s">
        <v>159</v>
      </c>
      <c r="J9" s="56">
        <v>239</v>
      </c>
      <c r="K9" s="6">
        <v>24</v>
      </c>
      <c r="L9" s="6">
        <v>225</v>
      </c>
      <c r="M9" s="56">
        <v>240</v>
      </c>
      <c r="N9" s="6">
        <f t="shared" si="3"/>
        <v>232.5</v>
      </c>
      <c r="O9" s="6">
        <f t="shared" si="7"/>
        <v>5580</v>
      </c>
      <c r="P9" s="57">
        <f t="shared" si="4"/>
        <v>1297350</v>
      </c>
      <c r="Q9" s="57">
        <f t="shared" si="5"/>
        <v>301633875</v>
      </c>
      <c r="R9" s="129">
        <f t="shared" si="6"/>
        <v>70129875937.5</v>
      </c>
    </row>
    <row r="10" spans="1:18">
      <c r="A10" s="6">
        <v>7</v>
      </c>
      <c r="B10" s="6">
        <v>268.8</v>
      </c>
      <c r="C10" s="6">
        <f t="shared" si="0"/>
        <v>72253.440000000002</v>
      </c>
      <c r="D10" s="6">
        <f t="shared" si="1"/>
        <v>19421724.672000002</v>
      </c>
      <c r="E10" s="6">
        <f t="shared" si="2"/>
        <v>5220559591.8336</v>
      </c>
      <c r="F10" s="8"/>
      <c r="G10" s="8">
        <v>14.872822006981702</v>
      </c>
      <c r="H10" s="6" t="s">
        <v>27</v>
      </c>
      <c r="I10" s="6" t="s">
        <v>160</v>
      </c>
      <c r="J10" s="56">
        <v>254</v>
      </c>
      <c r="K10" s="6">
        <v>8</v>
      </c>
      <c r="L10" s="6">
        <v>240</v>
      </c>
      <c r="M10" s="6">
        <v>255</v>
      </c>
      <c r="N10" s="6">
        <f t="shared" si="3"/>
        <v>247.5</v>
      </c>
      <c r="O10" s="6">
        <f t="shared" si="7"/>
        <v>1980</v>
      </c>
      <c r="P10" s="57">
        <f t="shared" si="4"/>
        <v>490050</v>
      </c>
      <c r="Q10" s="57">
        <f t="shared" si="5"/>
        <v>121287375</v>
      </c>
      <c r="R10" s="129">
        <f t="shared" si="6"/>
        <v>30018625312.5</v>
      </c>
    </row>
    <row r="11" spans="1:18">
      <c r="A11" s="6">
        <v>8</v>
      </c>
      <c r="B11" s="6">
        <v>201.5</v>
      </c>
      <c r="C11" s="6">
        <f t="shared" si="0"/>
        <v>40602.25</v>
      </c>
      <c r="D11" s="6">
        <f t="shared" si="1"/>
        <v>8181353.375</v>
      </c>
      <c r="E11" s="6">
        <f t="shared" si="2"/>
        <v>1648542705.0625</v>
      </c>
      <c r="F11" s="8"/>
      <c r="G11" s="8" t="s">
        <v>161</v>
      </c>
      <c r="H11" s="7" t="s">
        <v>28</v>
      </c>
      <c r="I11" s="7" t="s">
        <v>162</v>
      </c>
      <c r="J11" s="67">
        <v>269</v>
      </c>
      <c r="K11" s="7">
        <v>2</v>
      </c>
      <c r="L11" s="7">
        <v>255</v>
      </c>
      <c r="M11" s="7">
        <v>270</v>
      </c>
      <c r="N11" s="7">
        <f t="shared" si="3"/>
        <v>262.5</v>
      </c>
      <c r="O11" s="7">
        <f t="shared" si="7"/>
        <v>525</v>
      </c>
      <c r="P11" s="68">
        <f t="shared" si="4"/>
        <v>137812.5</v>
      </c>
      <c r="Q11" s="68">
        <f t="shared" si="5"/>
        <v>36175781.25</v>
      </c>
      <c r="R11" s="130">
        <f t="shared" si="6"/>
        <v>9496142578.125</v>
      </c>
    </row>
    <row r="12" spans="1:18" ht="15.75">
      <c r="A12" s="6">
        <v>9</v>
      </c>
      <c r="B12" s="6">
        <v>173.1</v>
      </c>
      <c r="C12" s="6">
        <f t="shared" si="0"/>
        <v>29963.609999999997</v>
      </c>
      <c r="D12" s="6">
        <f t="shared" si="1"/>
        <v>5186700.8909999989</v>
      </c>
      <c r="E12" s="6">
        <f t="shared" si="2"/>
        <v>897817924.23209977</v>
      </c>
      <c r="F12" s="8"/>
      <c r="G12" s="121"/>
      <c r="H12" s="120"/>
      <c r="I12" s="8"/>
      <c r="J12" s="19" t="s">
        <v>1</v>
      </c>
      <c r="K12" s="137">
        <f>SUM(K4:K11)</f>
        <v>120</v>
      </c>
      <c r="O12" s="103">
        <f>SUM(O4:O11)</f>
        <v>24750</v>
      </c>
      <c r="P12" s="107">
        <f>SUM(P4:P11)</f>
        <v>5175000</v>
      </c>
      <c r="Q12" s="131">
        <f>SUM(Q4:Q11)</f>
        <v>1096684312.5</v>
      </c>
      <c r="R12" s="131">
        <f>SUM(R4:R11)</f>
        <v>235465810312.5</v>
      </c>
    </row>
    <row r="13" spans="1:18">
      <c r="A13" s="6">
        <v>10</v>
      </c>
      <c r="B13" s="6">
        <v>192.7</v>
      </c>
      <c r="C13" s="6">
        <f t="shared" si="0"/>
        <v>37133.289999999994</v>
      </c>
      <c r="D13" s="6">
        <f t="shared" si="1"/>
        <v>7155584.9829999981</v>
      </c>
      <c r="E13" s="6">
        <f t="shared" si="2"/>
        <v>1378881226.2240996</v>
      </c>
    </row>
    <row r="14" spans="1:18" ht="20.25">
      <c r="A14" s="6">
        <v>11</v>
      </c>
      <c r="B14" s="6">
        <v>157.30000000000001</v>
      </c>
      <c r="C14" s="6">
        <f t="shared" si="0"/>
        <v>24743.290000000005</v>
      </c>
      <c r="D14" s="6">
        <f t="shared" si="1"/>
        <v>3892119.5170000009</v>
      </c>
      <c r="E14" s="6">
        <f t="shared" si="2"/>
        <v>612230400.02410018</v>
      </c>
      <c r="L14" s="2" t="s">
        <v>186</v>
      </c>
      <c r="M14" s="2"/>
      <c r="N14" s="2"/>
      <c r="O14" s="76" t="s">
        <v>131</v>
      </c>
      <c r="P14" s="3">
        <f>O12/K12</f>
        <v>206.25</v>
      </c>
    </row>
    <row r="15" spans="1:18" ht="20.25">
      <c r="A15" s="6">
        <v>12</v>
      </c>
      <c r="B15" s="6">
        <v>244.4</v>
      </c>
      <c r="C15" s="6">
        <f t="shared" si="0"/>
        <v>59731.360000000001</v>
      </c>
      <c r="D15" s="6">
        <f t="shared" si="1"/>
        <v>14598344.384</v>
      </c>
      <c r="E15" s="6">
        <f t="shared" si="2"/>
        <v>3567835367.4496002</v>
      </c>
      <c r="O15" s="76" t="s">
        <v>132</v>
      </c>
      <c r="P15" s="3">
        <f>P12/K12</f>
        <v>43125</v>
      </c>
    </row>
    <row r="16" spans="1:18" ht="20.25">
      <c r="A16" s="6">
        <v>13</v>
      </c>
      <c r="B16" s="6">
        <v>182.2</v>
      </c>
      <c r="C16" s="6">
        <f t="shared" si="0"/>
        <v>33196.839999999997</v>
      </c>
      <c r="D16" s="6">
        <f t="shared" si="1"/>
        <v>6048464.2479999987</v>
      </c>
      <c r="E16" s="6">
        <f t="shared" si="2"/>
        <v>1102030185.9855998</v>
      </c>
      <c r="O16" s="76" t="s">
        <v>133</v>
      </c>
      <c r="P16" s="3">
        <f>Q12/K12</f>
        <v>9139035.9375</v>
      </c>
    </row>
    <row r="17" spans="1:16" ht="20.25">
      <c r="A17" s="6">
        <v>14</v>
      </c>
      <c r="B17" s="6">
        <v>241.5</v>
      </c>
      <c r="C17" s="6">
        <f t="shared" si="0"/>
        <v>58322.25</v>
      </c>
      <c r="D17" s="6">
        <f t="shared" si="1"/>
        <v>14084823.375</v>
      </c>
      <c r="E17" s="6">
        <f t="shared" si="2"/>
        <v>3401484845.0625</v>
      </c>
      <c r="O17" s="76" t="s">
        <v>134</v>
      </c>
      <c r="P17" s="127">
        <f>R12/K12</f>
        <v>1962215085.9375</v>
      </c>
    </row>
    <row r="18" spans="1:16" ht="20.25">
      <c r="A18" s="6">
        <v>15</v>
      </c>
      <c r="B18" s="6">
        <v>232.4</v>
      </c>
      <c r="C18" s="6">
        <f t="shared" si="0"/>
        <v>54009.760000000002</v>
      </c>
      <c r="D18" s="6">
        <f t="shared" si="1"/>
        <v>12551868.224000001</v>
      </c>
      <c r="E18" s="6">
        <f t="shared" si="2"/>
        <v>2917054175.2576003</v>
      </c>
      <c r="L18" s="2" t="s">
        <v>187</v>
      </c>
      <c r="M18" s="2"/>
      <c r="N18" s="2"/>
      <c r="O18" s="76" t="s">
        <v>177</v>
      </c>
      <c r="P18" s="3">
        <v>0</v>
      </c>
    </row>
    <row r="19" spans="1:16" ht="20.25">
      <c r="A19" s="6">
        <v>16</v>
      </c>
      <c r="B19" s="6">
        <v>182.4</v>
      </c>
      <c r="C19" s="6">
        <f t="shared" si="0"/>
        <v>33269.760000000002</v>
      </c>
      <c r="D19" s="6">
        <f t="shared" si="1"/>
        <v>6068404.2240000004</v>
      </c>
      <c r="E19" s="6">
        <f t="shared" si="2"/>
        <v>1106876930.4576001</v>
      </c>
      <c r="O19" s="76" t="s">
        <v>178</v>
      </c>
      <c r="P19" s="3">
        <f>P15-P14^2</f>
        <v>585.9375</v>
      </c>
    </row>
    <row r="20" spans="1:16" ht="20.25">
      <c r="A20" s="6">
        <v>17</v>
      </c>
      <c r="B20" s="6">
        <v>182.7</v>
      </c>
      <c r="C20" s="6">
        <f t="shared" si="0"/>
        <v>33379.289999999994</v>
      </c>
      <c r="D20" s="6">
        <f t="shared" si="1"/>
        <v>6098396.2829999989</v>
      </c>
      <c r="E20" s="6">
        <f t="shared" si="2"/>
        <v>1114177000.9040995</v>
      </c>
      <c r="O20" s="76" t="s">
        <v>179</v>
      </c>
      <c r="P20" s="3">
        <f>P16-3*P15*P14+2*P14^3</f>
        <v>2805.46875</v>
      </c>
    </row>
    <row r="21" spans="1:16" ht="20.25">
      <c r="A21" s="6">
        <v>18</v>
      </c>
      <c r="B21" s="6">
        <v>151.19999999999999</v>
      </c>
      <c r="C21" s="6">
        <f t="shared" si="0"/>
        <v>22861.439999999995</v>
      </c>
      <c r="D21" s="6">
        <f t="shared" si="1"/>
        <v>3456649.7279999992</v>
      </c>
      <c r="E21" s="6">
        <f t="shared" si="2"/>
        <v>522645438.87359977</v>
      </c>
      <c r="O21" s="76" t="s">
        <v>180</v>
      </c>
      <c r="P21" s="127">
        <f>P17-4*P16*P14+6*P15*P14^2-3*P14^4</f>
        <v>777344.23828125</v>
      </c>
    </row>
    <row r="22" spans="1:16" ht="21">
      <c r="A22" s="6">
        <v>19</v>
      </c>
      <c r="B22" s="6">
        <v>191.6</v>
      </c>
      <c r="C22" s="6">
        <f t="shared" si="0"/>
        <v>36710.559999999998</v>
      </c>
      <c r="D22" s="6">
        <f t="shared" si="1"/>
        <v>7033743.2959999992</v>
      </c>
      <c r="E22" s="6">
        <f t="shared" si="2"/>
        <v>1347665215.5135999</v>
      </c>
      <c r="L22" s="2" t="s">
        <v>188</v>
      </c>
      <c r="M22" s="2"/>
      <c r="N22" s="2"/>
      <c r="O22" s="101" t="s">
        <v>135</v>
      </c>
      <c r="P22" s="125">
        <f>(P20^2)/(P19^3)</f>
        <v>3.9125237760000001E-2</v>
      </c>
    </row>
    <row r="23" spans="1:16" ht="20.25">
      <c r="A23" s="6">
        <v>20</v>
      </c>
      <c r="B23" s="6">
        <v>188.4</v>
      </c>
      <c r="C23" s="6">
        <f t="shared" si="0"/>
        <v>35494.560000000005</v>
      </c>
      <c r="D23" s="6">
        <f t="shared" si="1"/>
        <v>6687175.1040000012</v>
      </c>
      <c r="E23" s="6">
        <f t="shared" si="2"/>
        <v>1259863789.5936003</v>
      </c>
      <c r="O23" s="76" t="s">
        <v>130</v>
      </c>
      <c r="P23" s="125">
        <f>SQRT(P22)</f>
        <v>0.1978010054575052</v>
      </c>
    </row>
    <row r="24" spans="1:16" ht="21">
      <c r="A24" s="6">
        <v>21</v>
      </c>
      <c r="B24" s="6">
        <v>226.3</v>
      </c>
      <c r="C24" s="6">
        <f t="shared" si="0"/>
        <v>51211.69</v>
      </c>
      <c r="D24" s="6">
        <f t="shared" si="1"/>
        <v>11589205.447000001</v>
      </c>
      <c r="E24" s="6">
        <f t="shared" si="2"/>
        <v>2622637192.6561003</v>
      </c>
      <c r="L24" s="2" t="s">
        <v>189</v>
      </c>
      <c r="O24" s="101" t="s">
        <v>138</v>
      </c>
      <c r="P24" s="125">
        <f>(P21)/(P19^2)</f>
        <v>2.2641792000000001</v>
      </c>
    </row>
    <row r="25" spans="1:16" ht="20.25">
      <c r="A25" s="6">
        <v>22</v>
      </c>
      <c r="B25" s="6">
        <v>178.7</v>
      </c>
      <c r="C25" s="6">
        <f t="shared" si="0"/>
        <v>31933.689999999995</v>
      </c>
      <c r="D25" s="6">
        <f t="shared" si="1"/>
        <v>5706550.402999999</v>
      </c>
      <c r="E25" s="6">
        <f t="shared" si="2"/>
        <v>1019760557.0160997</v>
      </c>
      <c r="O25" s="76" t="s">
        <v>139</v>
      </c>
      <c r="P25" s="125">
        <f>(P24)-3</f>
        <v>-0.73582079999999994</v>
      </c>
    </row>
    <row r="26" spans="1:16">
      <c r="A26" s="6">
        <v>23</v>
      </c>
      <c r="B26" s="6">
        <v>228.8</v>
      </c>
      <c r="C26" s="6">
        <f t="shared" si="0"/>
        <v>52349.440000000002</v>
      </c>
      <c r="D26" s="6">
        <f t="shared" si="1"/>
        <v>11977551.872000001</v>
      </c>
      <c r="E26" s="6">
        <f t="shared" si="2"/>
        <v>2740463868.3136001</v>
      </c>
    </row>
    <row r="27" spans="1:16">
      <c r="A27" s="6">
        <v>24</v>
      </c>
      <c r="B27" s="6">
        <v>182.6</v>
      </c>
      <c r="C27" s="6">
        <f t="shared" si="0"/>
        <v>33342.759999999995</v>
      </c>
      <c r="D27" s="6">
        <f t="shared" si="1"/>
        <v>6088387.9759999989</v>
      </c>
      <c r="E27" s="6">
        <f t="shared" si="2"/>
        <v>1111739644.4175997</v>
      </c>
    </row>
    <row r="28" spans="1:16">
      <c r="A28" s="6">
        <v>25</v>
      </c>
      <c r="B28" s="6">
        <v>230.7</v>
      </c>
      <c r="C28" s="6">
        <f t="shared" si="0"/>
        <v>53222.49</v>
      </c>
      <c r="D28" s="6">
        <f t="shared" si="1"/>
        <v>12278428.442999998</v>
      </c>
      <c r="E28" s="6">
        <f t="shared" si="2"/>
        <v>2832633441.8000998</v>
      </c>
    </row>
    <row r="29" spans="1:16">
      <c r="A29" s="6">
        <v>26</v>
      </c>
      <c r="B29" s="6">
        <v>186.3</v>
      </c>
      <c r="C29" s="6">
        <f t="shared" si="0"/>
        <v>34707.69</v>
      </c>
      <c r="D29" s="6">
        <f t="shared" si="1"/>
        <v>6466042.6470000008</v>
      </c>
      <c r="E29" s="6">
        <f t="shared" si="2"/>
        <v>1204623745.1361001</v>
      </c>
    </row>
    <row r="30" spans="1:16">
      <c r="A30" s="6">
        <v>27</v>
      </c>
      <c r="B30" s="6">
        <v>229.2</v>
      </c>
      <c r="C30" s="6">
        <f t="shared" si="0"/>
        <v>52532.639999999992</v>
      </c>
      <c r="D30" s="6">
        <f t="shared" si="1"/>
        <v>12040481.087999998</v>
      </c>
      <c r="E30" s="6">
        <f t="shared" si="2"/>
        <v>2759678265.3695993</v>
      </c>
    </row>
    <row r="31" spans="1:16">
      <c r="A31" s="6">
        <v>28</v>
      </c>
      <c r="B31" s="6">
        <v>230.1</v>
      </c>
      <c r="C31" s="6">
        <f t="shared" si="0"/>
        <v>52946.009999999995</v>
      </c>
      <c r="D31" s="6">
        <f t="shared" si="1"/>
        <v>12182876.900999999</v>
      </c>
      <c r="E31" s="6">
        <f t="shared" si="2"/>
        <v>2803279974.9200993</v>
      </c>
    </row>
    <row r="32" spans="1:16">
      <c r="A32" s="6">
        <v>29</v>
      </c>
      <c r="B32" s="6">
        <v>220.1</v>
      </c>
      <c r="C32" s="6">
        <f t="shared" si="0"/>
        <v>48444.009999999995</v>
      </c>
      <c r="D32" s="6">
        <f t="shared" si="1"/>
        <v>10662526.600999998</v>
      </c>
      <c r="E32" s="6">
        <f t="shared" si="2"/>
        <v>2346822104.8800993</v>
      </c>
    </row>
    <row r="33" spans="1:5">
      <c r="A33" s="6">
        <v>30</v>
      </c>
      <c r="B33" s="6">
        <v>189.4</v>
      </c>
      <c r="C33" s="6">
        <f t="shared" si="0"/>
        <v>35872.36</v>
      </c>
      <c r="D33" s="6">
        <f t="shared" si="1"/>
        <v>6794224.9840000002</v>
      </c>
      <c r="E33" s="6">
        <f t="shared" si="2"/>
        <v>1286826211.9696</v>
      </c>
    </row>
    <row r="34" spans="1:5">
      <c r="A34" s="6">
        <v>31</v>
      </c>
      <c r="B34" s="6">
        <v>188.4</v>
      </c>
      <c r="C34" s="6">
        <f t="shared" si="0"/>
        <v>35494.560000000005</v>
      </c>
      <c r="D34" s="6">
        <f t="shared" si="1"/>
        <v>6687175.1040000012</v>
      </c>
      <c r="E34" s="6">
        <f t="shared" si="2"/>
        <v>1259863789.5936003</v>
      </c>
    </row>
    <row r="35" spans="1:5">
      <c r="A35" s="6">
        <v>32</v>
      </c>
      <c r="B35" s="6">
        <v>179.1</v>
      </c>
      <c r="C35" s="6">
        <f t="shared" si="0"/>
        <v>32076.809999999998</v>
      </c>
      <c r="D35" s="6">
        <f t="shared" si="1"/>
        <v>5744956.6709999992</v>
      </c>
      <c r="E35" s="6">
        <f t="shared" si="2"/>
        <v>1028921739.7760998</v>
      </c>
    </row>
    <row r="36" spans="1:5">
      <c r="A36" s="6">
        <v>33</v>
      </c>
      <c r="B36" s="6">
        <v>199.2</v>
      </c>
      <c r="C36" s="6">
        <f t="shared" si="0"/>
        <v>39680.639999999992</v>
      </c>
      <c r="D36" s="6">
        <f t="shared" si="1"/>
        <v>7904383.487999998</v>
      </c>
      <c r="E36" s="6">
        <f t="shared" si="2"/>
        <v>1574553190.8095994</v>
      </c>
    </row>
    <row r="37" spans="1:5">
      <c r="A37" s="6">
        <v>34</v>
      </c>
      <c r="B37" s="6">
        <v>228.8</v>
      </c>
      <c r="C37" s="6">
        <f t="shared" si="0"/>
        <v>52349.440000000002</v>
      </c>
      <c r="D37" s="6">
        <f t="shared" si="1"/>
        <v>11977551.872000001</v>
      </c>
      <c r="E37" s="6">
        <f t="shared" si="2"/>
        <v>2740463868.3136001</v>
      </c>
    </row>
    <row r="38" spans="1:5">
      <c r="A38" s="6">
        <v>35</v>
      </c>
      <c r="B38" s="6">
        <v>190.7</v>
      </c>
      <c r="C38" s="6">
        <f t="shared" si="0"/>
        <v>36366.49</v>
      </c>
      <c r="D38" s="6">
        <f t="shared" si="1"/>
        <v>6935089.6429999992</v>
      </c>
      <c r="E38" s="6">
        <f t="shared" si="2"/>
        <v>1322521594.9200997</v>
      </c>
    </row>
    <row r="39" spans="1:5">
      <c r="A39" s="6">
        <v>36</v>
      </c>
      <c r="B39" s="6">
        <v>251.1</v>
      </c>
      <c r="C39" s="6">
        <f t="shared" si="0"/>
        <v>63051.21</v>
      </c>
      <c r="D39" s="6">
        <f t="shared" si="1"/>
        <v>15832158.831</v>
      </c>
      <c r="E39" s="6">
        <f t="shared" si="2"/>
        <v>3975455082.4640999</v>
      </c>
    </row>
    <row r="40" spans="1:5">
      <c r="A40" s="6">
        <v>37</v>
      </c>
      <c r="B40" s="6">
        <v>207.6</v>
      </c>
      <c r="C40" s="6">
        <f t="shared" si="0"/>
        <v>43097.759999999995</v>
      </c>
      <c r="D40" s="6">
        <f t="shared" si="1"/>
        <v>8947094.9759999979</v>
      </c>
      <c r="E40" s="6">
        <f t="shared" si="2"/>
        <v>1857416917.0175996</v>
      </c>
    </row>
    <row r="41" spans="1:5">
      <c r="A41" s="6">
        <v>38</v>
      </c>
      <c r="B41" s="6">
        <v>211.9</v>
      </c>
      <c r="C41" s="6">
        <f t="shared" si="0"/>
        <v>44901.61</v>
      </c>
      <c r="D41" s="6">
        <f t="shared" si="1"/>
        <v>9514651.159</v>
      </c>
      <c r="E41" s="6">
        <f t="shared" si="2"/>
        <v>2016154580.5921001</v>
      </c>
    </row>
    <row r="42" spans="1:5">
      <c r="A42" s="6">
        <v>39</v>
      </c>
      <c r="B42" s="6">
        <v>228.3</v>
      </c>
      <c r="C42" s="6">
        <f t="shared" si="0"/>
        <v>52120.890000000007</v>
      </c>
      <c r="D42" s="6">
        <f t="shared" si="1"/>
        <v>11899199.187000003</v>
      </c>
      <c r="E42" s="6">
        <f t="shared" si="2"/>
        <v>2716587174.3921008</v>
      </c>
    </row>
    <row r="43" spans="1:5">
      <c r="A43" s="6">
        <v>40</v>
      </c>
      <c r="B43" s="6">
        <v>204.4</v>
      </c>
      <c r="C43" s="6">
        <f t="shared" si="0"/>
        <v>41779.360000000001</v>
      </c>
      <c r="D43" s="6">
        <f t="shared" si="1"/>
        <v>8539701.1840000004</v>
      </c>
      <c r="E43" s="6">
        <f t="shared" si="2"/>
        <v>1745514922.0096002</v>
      </c>
    </row>
    <row r="44" spans="1:5">
      <c r="A44" s="6">
        <v>41</v>
      </c>
      <c r="B44" s="6">
        <v>195.6</v>
      </c>
      <c r="C44" s="6">
        <f t="shared" si="0"/>
        <v>38259.360000000001</v>
      </c>
      <c r="D44" s="6">
        <f t="shared" si="1"/>
        <v>7483530.8159999996</v>
      </c>
      <c r="E44" s="6">
        <f t="shared" si="2"/>
        <v>1463778627.6096001</v>
      </c>
    </row>
    <row r="45" spans="1:5">
      <c r="A45" s="6">
        <v>42</v>
      </c>
      <c r="B45" s="6">
        <v>221.8</v>
      </c>
      <c r="C45" s="6">
        <f t="shared" si="0"/>
        <v>49195.240000000005</v>
      </c>
      <c r="D45" s="6">
        <f t="shared" si="1"/>
        <v>10911504.232000003</v>
      </c>
      <c r="E45" s="6">
        <f t="shared" si="2"/>
        <v>2420171638.6576004</v>
      </c>
    </row>
    <row r="46" spans="1:5">
      <c r="A46" s="6">
        <v>43</v>
      </c>
      <c r="B46" s="6">
        <v>206.6</v>
      </c>
      <c r="C46" s="6">
        <f t="shared" si="0"/>
        <v>42683.56</v>
      </c>
      <c r="D46" s="6">
        <f t="shared" si="1"/>
        <v>8818423.4959999993</v>
      </c>
      <c r="E46" s="6">
        <f t="shared" si="2"/>
        <v>1821886294.2735999</v>
      </c>
    </row>
    <row r="47" spans="1:5">
      <c r="A47" s="6">
        <v>44</v>
      </c>
      <c r="B47" s="6">
        <v>235.9</v>
      </c>
      <c r="C47" s="6">
        <f t="shared" si="0"/>
        <v>55648.810000000005</v>
      </c>
      <c r="D47" s="6">
        <f t="shared" si="1"/>
        <v>13127554.279000001</v>
      </c>
      <c r="E47" s="6">
        <f t="shared" si="2"/>
        <v>3096790054.4161005</v>
      </c>
    </row>
    <row r="48" spans="1:5">
      <c r="A48" s="6">
        <v>45</v>
      </c>
      <c r="B48" s="6">
        <v>218.5</v>
      </c>
      <c r="C48" s="6">
        <f t="shared" si="0"/>
        <v>47742.25</v>
      </c>
      <c r="D48" s="6">
        <f t="shared" si="1"/>
        <v>10431681.625</v>
      </c>
      <c r="E48" s="6">
        <f t="shared" si="2"/>
        <v>2279322435.0625</v>
      </c>
    </row>
    <row r="49" spans="1:5">
      <c r="A49" s="6">
        <v>46</v>
      </c>
      <c r="B49" s="6">
        <v>168.4</v>
      </c>
      <c r="C49" s="6">
        <f t="shared" si="0"/>
        <v>28358.560000000001</v>
      </c>
      <c r="D49" s="6">
        <f t="shared" si="1"/>
        <v>4775581.5040000007</v>
      </c>
      <c r="E49" s="6">
        <f t="shared" si="2"/>
        <v>804207925.2736001</v>
      </c>
    </row>
    <row r="50" spans="1:5">
      <c r="A50" s="6">
        <v>47</v>
      </c>
      <c r="B50" s="6">
        <v>183.6</v>
      </c>
      <c r="C50" s="6">
        <f t="shared" si="0"/>
        <v>33708.959999999999</v>
      </c>
      <c r="D50" s="6">
        <f t="shared" si="1"/>
        <v>6188965.0559999999</v>
      </c>
      <c r="E50" s="6">
        <f t="shared" si="2"/>
        <v>1136293984.2816</v>
      </c>
    </row>
    <row r="51" spans="1:5">
      <c r="A51" s="6">
        <v>48</v>
      </c>
      <c r="B51" s="6">
        <v>213.2</v>
      </c>
      <c r="C51" s="6">
        <f t="shared" si="0"/>
        <v>45454.239999999998</v>
      </c>
      <c r="D51" s="6">
        <f t="shared" si="1"/>
        <v>9690843.9679999985</v>
      </c>
      <c r="E51" s="6">
        <f t="shared" si="2"/>
        <v>2066087933.9775999</v>
      </c>
    </row>
    <row r="52" spans="1:5">
      <c r="A52" s="6">
        <v>49</v>
      </c>
      <c r="B52" s="6">
        <v>180.8</v>
      </c>
      <c r="C52" s="6">
        <f t="shared" si="0"/>
        <v>32688.640000000003</v>
      </c>
      <c r="D52" s="6">
        <f t="shared" si="1"/>
        <v>5910106.1120000007</v>
      </c>
      <c r="E52" s="6">
        <f t="shared" si="2"/>
        <v>1068547185.0496002</v>
      </c>
    </row>
    <row r="53" spans="1:5">
      <c r="A53" s="6">
        <v>50</v>
      </c>
      <c r="B53" s="6">
        <v>208.4</v>
      </c>
      <c r="C53" s="6">
        <f t="shared" si="0"/>
        <v>43430.560000000005</v>
      </c>
      <c r="D53" s="6">
        <f t="shared" si="1"/>
        <v>9050928.7040000018</v>
      </c>
      <c r="E53" s="6">
        <f t="shared" si="2"/>
        <v>1886213541.9136004</v>
      </c>
    </row>
    <row r="54" spans="1:5">
      <c r="A54" s="6">
        <v>51</v>
      </c>
      <c r="B54" s="6">
        <v>240.6</v>
      </c>
      <c r="C54" s="6">
        <f t="shared" si="0"/>
        <v>57888.36</v>
      </c>
      <c r="D54" s="6">
        <f t="shared" si="1"/>
        <v>13927939.415999999</v>
      </c>
      <c r="E54" s="6">
        <f t="shared" si="2"/>
        <v>3351062223.4896002</v>
      </c>
    </row>
    <row r="55" spans="1:5">
      <c r="A55" s="6">
        <v>52</v>
      </c>
      <c r="B55" s="6">
        <v>208.2</v>
      </c>
      <c r="C55" s="6">
        <f t="shared" si="0"/>
        <v>43347.24</v>
      </c>
      <c r="D55" s="6">
        <f t="shared" si="1"/>
        <v>9024895.3679999989</v>
      </c>
      <c r="E55" s="6">
        <f t="shared" si="2"/>
        <v>1878983215.6175997</v>
      </c>
    </row>
    <row r="56" spans="1:5">
      <c r="A56" s="6">
        <v>53</v>
      </c>
      <c r="B56" s="6">
        <v>187.2</v>
      </c>
      <c r="C56" s="6">
        <f t="shared" si="0"/>
        <v>35043.839999999997</v>
      </c>
      <c r="D56" s="6">
        <f t="shared" si="1"/>
        <v>6560206.8479999993</v>
      </c>
      <c r="E56" s="6">
        <f t="shared" si="2"/>
        <v>1228070721.9455998</v>
      </c>
    </row>
    <row r="57" spans="1:5">
      <c r="A57" s="6">
        <v>54</v>
      </c>
      <c r="B57" s="6">
        <v>234.7</v>
      </c>
      <c r="C57" s="6">
        <f t="shared" si="0"/>
        <v>55084.09</v>
      </c>
      <c r="D57" s="6">
        <f t="shared" si="1"/>
        <v>12928235.922999999</v>
      </c>
      <c r="E57" s="6">
        <f t="shared" si="2"/>
        <v>3034256971.1280994</v>
      </c>
    </row>
    <row r="58" spans="1:5">
      <c r="A58" s="6">
        <v>55</v>
      </c>
      <c r="B58" s="6">
        <v>206.4</v>
      </c>
      <c r="C58" s="6">
        <f t="shared" si="0"/>
        <v>42600.959999999999</v>
      </c>
      <c r="D58" s="6">
        <f t="shared" si="1"/>
        <v>8792838.1439999994</v>
      </c>
      <c r="E58" s="6">
        <f t="shared" si="2"/>
        <v>1814841792.9215999</v>
      </c>
    </row>
    <row r="59" spans="1:5">
      <c r="A59" s="6">
        <v>56</v>
      </c>
      <c r="B59" s="6">
        <v>227.8</v>
      </c>
      <c r="C59" s="6">
        <f t="shared" si="0"/>
        <v>51892.840000000004</v>
      </c>
      <c r="D59" s="6">
        <f t="shared" si="1"/>
        <v>11821188.952000001</v>
      </c>
      <c r="E59" s="6">
        <f t="shared" si="2"/>
        <v>2692866843.2656002</v>
      </c>
    </row>
    <row r="60" spans="1:5">
      <c r="A60" s="6">
        <v>57</v>
      </c>
      <c r="B60" s="6">
        <v>188.4</v>
      </c>
      <c r="C60" s="6">
        <f t="shared" si="0"/>
        <v>35494.560000000005</v>
      </c>
      <c r="D60" s="6">
        <f t="shared" si="1"/>
        <v>6687175.1040000012</v>
      </c>
      <c r="E60" s="6">
        <f t="shared" si="2"/>
        <v>1259863789.5936003</v>
      </c>
    </row>
    <row r="61" spans="1:5">
      <c r="A61" s="6">
        <v>58</v>
      </c>
      <c r="B61" s="6">
        <v>226.3</v>
      </c>
      <c r="C61" s="6">
        <f t="shared" si="0"/>
        <v>51211.69</v>
      </c>
      <c r="D61" s="6">
        <f t="shared" si="1"/>
        <v>11589205.447000001</v>
      </c>
      <c r="E61" s="6">
        <f t="shared" si="2"/>
        <v>2622637192.6561003</v>
      </c>
    </row>
    <row r="62" spans="1:5">
      <c r="A62" s="6">
        <v>59</v>
      </c>
      <c r="B62" s="6">
        <v>178.7</v>
      </c>
      <c r="C62" s="6">
        <f t="shared" si="0"/>
        <v>31933.689999999995</v>
      </c>
      <c r="D62" s="6">
        <f t="shared" si="1"/>
        <v>5706550.402999999</v>
      </c>
      <c r="E62" s="6">
        <f t="shared" si="2"/>
        <v>1019760557.0160997</v>
      </c>
    </row>
    <row r="63" spans="1:5">
      <c r="A63" s="6">
        <v>60</v>
      </c>
      <c r="B63" s="6">
        <v>228.8</v>
      </c>
      <c r="C63" s="6">
        <f t="shared" si="0"/>
        <v>52349.440000000002</v>
      </c>
      <c r="D63" s="6">
        <f t="shared" si="1"/>
        <v>11977551.872000001</v>
      </c>
      <c r="E63" s="6">
        <f t="shared" si="2"/>
        <v>2740463868.3136001</v>
      </c>
    </row>
    <row r="64" spans="1:5">
      <c r="A64" s="6">
        <v>61</v>
      </c>
      <c r="B64" s="6">
        <v>182.6</v>
      </c>
      <c r="C64" s="6">
        <f t="shared" si="0"/>
        <v>33342.759999999995</v>
      </c>
      <c r="D64" s="6">
        <f t="shared" si="1"/>
        <v>6088387.9759999989</v>
      </c>
      <c r="E64" s="6">
        <f t="shared" si="2"/>
        <v>1111739644.4175997</v>
      </c>
    </row>
    <row r="65" spans="1:5">
      <c r="A65" s="6">
        <v>62</v>
      </c>
      <c r="B65" s="6">
        <v>230.7</v>
      </c>
      <c r="C65" s="6">
        <f t="shared" si="0"/>
        <v>53222.49</v>
      </c>
      <c r="D65" s="6">
        <f t="shared" si="1"/>
        <v>12278428.442999998</v>
      </c>
      <c r="E65" s="6">
        <f t="shared" si="2"/>
        <v>2832633441.8000998</v>
      </c>
    </row>
    <row r="66" spans="1:5">
      <c r="A66" s="6">
        <v>63</v>
      </c>
      <c r="B66" s="6">
        <v>186.3</v>
      </c>
      <c r="C66" s="6">
        <f t="shared" si="0"/>
        <v>34707.69</v>
      </c>
      <c r="D66" s="6">
        <f t="shared" si="1"/>
        <v>6466042.6470000008</v>
      </c>
      <c r="E66" s="6">
        <f t="shared" si="2"/>
        <v>1204623745.1361001</v>
      </c>
    </row>
    <row r="67" spans="1:5">
      <c r="A67" s="6">
        <v>64</v>
      </c>
      <c r="B67" s="6">
        <v>229.2</v>
      </c>
      <c r="C67" s="6">
        <f t="shared" si="0"/>
        <v>52532.639999999992</v>
      </c>
      <c r="D67" s="6">
        <f t="shared" si="1"/>
        <v>12040481.087999998</v>
      </c>
      <c r="E67" s="6">
        <f t="shared" si="2"/>
        <v>2759678265.3695993</v>
      </c>
    </row>
    <row r="68" spans="1:5">
      <c r="A68" s="6">
        <v>65</v>
      </c>
      <c r="B68" s="6">
        <v>230.4</v>
      </c>
      <c r="C68" s="6">
        <f t="shared" si="0"/>
        <v>53084.160000000003</v>
      </c>
      <c r="D68" s="6">
        <f t="shared" si="1"/>
        <v>12230590.464000002</v>
      </c>
      <c r="E68" s="6">
        <f t="shared" si="2"/>
        <v>2817928042.9056005</v>
      </c>
    </row>
    <row r="69" spans="1:5">
      <c r="A69" s="6">
        <v>66</v>
      </c>
      <c r="B69" s="6">
        <v>220.1</v>
      </c>
      <c r="C69" s="6">
        <f t="shared" ref="C69:C123" si="8">B69^2</f>
        <v>48444.009999999995</v>
      </c>
      <c r="D69" s="6">
        <f t="shared" ref="D69:D123" si="9">B69^3</f>
        <v>10662526.600999998</v>
      </c>
      <c r="E69" s="6">
        <f t="shared" ref="E69:E123" si="10">B69^4</f>
        <v>2346822104.8800993</v>
      </c>
    </row>
    <row r="70" spans="1:5">
      <c r="A70" s="6">
        <v>67</v>
      </c>
      <c r="B70" s="6">
        <v>189.4</v>
      </c>
      <c r="C70" s="6">
        <f t="shared" si="8"/>
        <v>35872.36</v>
      </c>
      <c r="D70" s="6">
        <f t="shared" si="9"/>
        <v>6794224.9840000002</v>
      </c>
      <c r="E70" s="6">
        <f t="shared" si="10"/>
        <v>1286826211.9696</v>
      </c>
    </row>
    <row r="71" spans="1:5">
      <c r="A71" s="6">
        <v>68</v>
      </c>
      <c r="B71" s="6">
        <v>188.4</v>
      </c>
      <c r="C71" s="6">
        <f t="shared" si="8"/>
        <v>35494.560000000005</v>
      </c>
      <c r="D71" s="6">
        <f t="shared" si="9"/>
        <v>6687175.1040000012</v>
      </c>
      <c r="E71" s="6">
        <f t="shared" si="10"/>
        <v>1259863789.5936003</v>
      </c>
    </row>
    <row r="72" spans="1:5">
      <c r="A72" s="6">
        <v>69</v>
      </c>
      <c r="B72" s="6">
        <v>179.1</v>
      </c>
      <c r="C72" s="6">
        <f t="shared" si="8"/>
        <v>32076.809999999998</v>
      </c>
      <c r="D72" s="6">
        <f t="shared" si="9"/>
        <v>5744956.6709999992</v>
      </c>
      <c r="E72" s="6">
        <f t="shared" si="10"/>
        <v>1028921739.7760998</v>
      </c>
    </row>
    <row r="73" spans="1:5">
      <c r="A73" s="6">
        <v>70</v>
      </c>
      <c r="B73" s="6">
        <v>199.2</v>
      </c>
      <c r="C73" s="6">
        <f t="shared" si="8"/>
        <v>39680.639999999992</v>
      </c>
      <c r="D73" s="6">
        <f t="shared" si="9"/>
        <v>7904383.487999998</v>
      </c>
      <c r="E73" s="6">
        <f t="shared" si="10"/>
        <v>1574553190.8095994</v>
      </c>
    </row>
    <row r="74" spans="1:5">
      <c r="A74" s="6">
        <v>71</v>
      </c>
      <c r="B74" s="6">
        <v>228.8</v>
      </c>
      <c r="C74" s="6">
        <f t="shared" si="8"/>
        <v>52349.440000000002</v>
      </c>
      <c r="D74" s="6">
        <f t="shared" si="9"/>
        <v>11977551.872000001</v>
      </c>
      <c r="E74" s="6">
        <f t="shared" si="10"/>
        <v>2740463868.3136001</v>
      </c>
    </row>
    <row r="75" spans="1:5">
      <c r="A75" s="6">
        <v>72</v>
      </c>
      <c r="B75" s="6">
        <v>190.4</v>
      </c>
      <c r="C75" s="6">
        <f t="shared" si="8"/>
        <v>36252.160000000003</v>
      </c>
      <c r="D75" s="6">
        <f t="shared" si="9"/>
        <v>6902411.2640000004</v>
      </c>
      <c r="E75" s="6">
        <f t="shared" si="10"/>
        <v>1314219104.6656003</v>
      </c>
    </row>
    <row r="76" spans="1:5">
      <c r="A76" s="6">
        <v>73</v>
      </c>
      <c r="B76" s="6">
        <v>251.1</v>
      </c>
      <c r="C76" s="6">
        <f t="shared" si="8"/>
        <v>63051.21</v>
      </c>
      <c r="D76" s="6">
        <f t="shared" si="9"/>
        <v>15832158.831</v>
      </c>
      <c r="E76" s="6">
        <f t="shared" si="10"/>
        <v>3975455082.4640999</v>
      </c>
    </row>
    <row r="77" spans="1:5">
      <c r="A77" s="6">
        <v>74</v>
      </c>
      <c r="B77" s="6">
        <v>207.6</v>
      </c>
      <c r="C77" s="6">
        <f t="shared" si="8"/>
        <v>43097.759999999995</v>
      </c>
      <c r="D77" s="6">
        <f t="shared" si="9"/>
        <v>8947094.9759999979</v>
      </c>
      <c r="E77" s="6">
        <f t="shared" si="10"/>
        <v>1857416917.0175996</v>
      </c>
    </row>
    <row r="78" spans="1:5">
      <c r="A78" s="6">
        <v>75</v>
      </c>
      <c r="B78" s="6">
        <v>211.9</v>
      </c>
      <c r="C78" s="6">
        <f t="shared" si="8"/>
        <v>44901.61</v>
      </c>
      <c r="D78" s="6">
        <f t="shared" si="9"/>
        <v>9514651.159</v>
      </c>
      <c r="E78" s="6">
        <f t="shared" si="10"/>
        <v>2016154580.5921001</v>
      </c>
    </row>
    <row r="79" spans="1:5">
      <c r="A79" s="6">
        <v>76</v>
      </c>
      <c r="B79" s="6">
        <v>187.2</v>
      </c>
      <c r="C79" s="6">
        <f t="shared" si="8"/>
        <v>35043.839999999997</v>
      </c>
      <c r="D79" s="6">
        <f t="shared" si="9"/>
        <v>6560206.8479999993</v>
      </c>
      <c r="E79" s="6">
        <f t="shared" si="10"/>
        <v>1228070721.9455998</v>
      </c>
    </row>
    <row r="80" spans="1:5">
      <c r="A80" s="6">
        <v>77</v>
      </c>
      <c r="B80" s="6">
        <v>207.9</v>
      </c>
      <c r="C80" s="6">
        <f t="shared" si="8"/>
        <v>43222.41</v>
      </c>
      <c r="D80" s="6">
        <f t="shared" si="9"/>
        <v>8985939.0390000008</v>
      </c>
      <c r="E80" s="6">
        <f t="shared" si="10"/>
        <v>1868176726.2081003</v>
      </c>
    </row>
    <row r="81" spans="1:5">
      <c r="A81" s="6">
        <v>78</v>
      </c>
      <c r="B81" s="6">
        <v>171.5</v>
      </c>
      <c r="C81" s="6">
        <f t="shared" si="8"/>
        <v>29412.25</v>
      </c>
      <c r="D81" s="6">
        <f t="shared" si="9"/>
        <v>5044200.875</v>
      </c>
      <c r="E81" s="6">
        <f t="shared" si="10"/>
        <v>865080450.0625</v>
      </c>
    </row>
    <row r="82" spans="1:5">
      <c r="A82" s="6">
        <v>79</v>
      </c>
      <c r="B82" s="6">
        <v>217.7</v>
      </c>
      <c r="C82" s="6">
        <f t="shared" si="8"/>
        <v>47393.289999999994</v>
      </c>
      <c r="D82" s="6">
        <f t="shared" si="9"/>
        <v>10317519.232999997</v>
      </c>
      <c r="E82" s="6">
        <f t="shared" si="10"/>
        <v>2246123937.0240993</v>
      </c>
    </row>
    <row r="83" spans="1:5">
      <c r="A83" s="6">
        <v>80</v>
      </c>
      <c r="B83" s="6">
        <v>199.5</v>
      </c>
      <c r="C83" s="6">
        <f t="shared" si="8"/>
        <v>39800.25</v>
      </c>
      <c r="D83" s="6">
        <f t="shared" si="9"/>
        <v>7940149.875</v>
      </c>
      <c r="E83" s="6">
        <f t="shared" si="10"/>
        <v>1584059900.0625</v>
      </c>
    </row>
    <row r="84" spans="1:5">
      <c r="A84" s="6">
        <v>81</v>
      </c>
      <c r="B84" s="6">
        <v>185.7</v>
      </c>
      <c r="C84" s="6">
        <f t="shared" si="8"/>
        <v>34484.49</v>
      </c>
      <c r="D84" s="6">
        <f t="shared" si="9"/>
        <v>6403769.7929999996</v>
      </c>
      <c r="E84" s="6">
        <f t="shared" si="10"/>
        <v>1189180050.5600998</v>
      </c>
    </row>
    <row r="85" spans="1:5">
      <c r="A85" s="6">
        <v>82</v>
      </c>
      <c r="B85" s="6">
        <v>268.8</v>
      </c>
      <c r="C85" s="6">
        <f t="shared" si="8"/>
        <v>72253.440000000002</v>
      </c>
      <c r="D85" s="6">
        <f t="shared" si="9"/>
        <v>19421724.672000002</v>
      </c>
      <c r="E85" s="6">
        <f t="shared" si="10"/>
        <v>5220559591.8336</v>
      </c>
    </row>
    <row r="86" spans="1:5">
      <c r="A86" s="6">
        <v>83</v>
      </c>
      <c r="B86" s="6">
        <v>201.5</v>
      </c>
      <c r="C86" s="6">
        <f t="shared" si="8"/>
        <v>40602.25</v>
      </c>
      <c r="D86" s="6">
        <f t="shared" si="9"/>
        <v>8181353.375</v>
      </c>
      <c r="E86" s="6">
        <f t="shared" si="10"/>
        <v>1648542705.0625</v>
      </c>
    </row>
    <row r="87" spans="1:5">
      <c r="A87" s="6">
        <v>84</v>
      </c>
      <c r="B87" s="6">
        <v>173.1</v>
      </c>
      <c r="C87" s="6">
        <f t="shared" si="8"/>
        <v>29963.609999999997</v>
      </c>
      <c r="D87" s="6">
        <f t="shared" si="9"/>
        <v>5186700.8909999989</v>
      </c>
      <c r="E87" s="6">
        <f t="shared" si="10"/>
        <v>897817924.23209977</v>
      </c>
    </row>
    <row r="88" spans="1:5">
      <c r="A88" s="6">
        <v>85</v>
      </c>
      <c r="B88" s="6">
        <v>192.7</v>
      </c>
      <c r="C88" s="6">
        <f t="shared" si="8"/>
        <v>37133.289999999994</v>
      </c>
      <c r="D88" s="6">
        <f t="shared" si="9"/>
        <v>7155584.9829999981</v>
      </c>
      <c r="E88" s="6">
        <f t="shared" si="10"/>
        <v>1378881226.2240996</v>
      </c>
    </row>
    <row r="89" spans="1:5">
      <c r="A89" s="6">
        <v>86</v>
      </c>
      <c r="B89" s="6">
        <v>157.30000000000001</v>
      </c>
      <c r="C89" s="6">
        <f t="shared" si="8"/>
        <v>24743.290000000005</v>
      </c>
      <c r="D89" s="6">
        <f t="shared" si="9"/>
        <v>3892119.5170000009</v>
      </c>
      <c r="E89" s="6">
        <f t="shared" si="10"/>
        <v>612230400.02410018</v>
      </c>
    </row>
    <row r="90" spans="1:5">
      <c r="A90" s="6">
        <v>87</v>
      </c>
      <c r="B90" s="6">
        <v>244.4</v>
      </c>
      <c r="C90" s="6">
        <f t="shared" si="8"/>
        <v>59731.360000000001</v>
      </c>
      <c r="D90" s="6">
        <f t="shared" si="9"/>
        <v>14598344.384</v>
      </c>
      <c r="E90" s="6">
        <f t="shared" si="10"/>
        <v>3567835367.4496002</v>
      </c>
    </row>
    <row r="91" spans="1:5">
      <c r="A91" s="6">
        <v>88</v>
      </c>
      <c r="B91" s="6">
        <v>182.2</v>
      </c>
      <c r="C91" s="6">
        <f t="shared" si="8"/>
        <v>33196.839999999997</v>
      </c>
      <c r="D91" s="6">
        <f t="shared" si="9"/>
        <v>6048464.2479999987</v>
      </c>
      <c r="E91" s="6">
        <f t="shared" si="10"/>
        <v>1102030185.9855998</v>
      </c>
    </row>
    <row r="92" spans="1:5">
      <c r="A92" s="6">
        <v>89</v>
      </c>
      <c r="B92" s="6">
        <v>241.5</v>
      </c>
      <c r="C92" s="6">
        <f t="shared" si="8"/>
        <v>58322.25</v>
      </c>
      <c r="D92" s="6">
        <f t="shared" si="9"/>
        <v>14084823.375</v>
      </c>
      <c r="E92" s="6">
        <f t="shared" si="10"/>
        <v>3401484845.0625</v>
      </c>
    </row>
    <row r="93" spans="1:5">
      <c r="A93" s="6">
        <v>90</v>
      </c>
      <c r="B93" s="6">
        <v>232.4</v>
      </c>
      <c r="C93" s="6">
        <f t="shared" si="8"/>
        <v>54009.760000000002</v>
      </c>
      <c r="D93" s="6">
        <f t="shared" si="9"/>
        <v>12551868.224000001</v>
      </c>
      <c r="E93" s="6">
        <f t="shared" si="10"/>
        <v>2917054175.2576003</v>
      </c>
    </row>
    <row r="94" spans="1:5">
      <c r="A94" s="6">
        <v>91</v>
      </c>
      <c r="B94" s="6">
        <v>182.4</v>
      </c>
      <c r="C94" s="6">
        <f t="shared" si="8"/>
        <v>33269.760000000002</v>
      </c>
      <c r="D94" s="6">
        <f t="shared" si="9"/>
        <v>6068404.2240000004</v>
      </c>
      <c r="E94" s="6">
        <f t="shared" si="10"/>
        <v>1106876930.4576001</v>
      </c>
    </row>
    <row r="95" spans="1:5">
      <c r="A95" s="6">
        <v>92</v>
      </c>
      <c r="B95" s="6">
        <v>182.7</v>
      </c>
      <c r="C95" s="6">
        <f t="shared" si="8"/>
        <v>33379.289999999994</v>
      </c>
      <c r="D95" s="6">
        <f t="shared" si="9"/>
        <v>6098396.2829999989</v>
      </c>
      <c r="E95" s="6">
        <f t="shared" si="10"/>
        <v>1114177000.9040995</v>
      </c>
    </row>
    <row r="96" spans="1:5">
      <c r="A96" s="6">
        <v>93</v>
      </c>
      <c r="B96" s="6">
        <v>151.19999999999999</v>
      </c>
      <c r="C96" s="6">
        <f t="shared" si="8"/>
        <v>22861.439999999995</v>
      </c>
      <c r="D96" s="6">
        <f t="shared" si="9"/>
        <v>3456649.7279999992</v>
      </c>
      <c r="E96" s="6">
        <f t="shared" si="10"/>
        <v>522645438.87359977</v>
      </c>
    </row>
    <row r="97" spans="1:5">
      <c r="A97" s="6">
        <v>94</v>
      </c>
      <c r="B97" s="6">
        <v>191.6</v>
      </c>
      <c r="C97" s="6">
        <f t="shared" si="8"/>
        <v>36710.559999999998</v>
      </c>
      <c r="D97" s="6">
        <f t="shared" si="9"/>
        <v>7033743.2959999992</v>
      </c>
      <c r="E97" s="6">
        <f t="shared" si="10"/>
        <v>1347665215.5135999</v>
      </c>
    </row>
    <row r="98" spans="1:5">
      <c r="A98" s="6">
        <v>95</v>
      </c>
      <c r="B98" s="6">
        <v>228.3</v>
      </c>
      <c r="C98" s="6">
        <f t="shared" si="8"/>
        <v>52120.890000000007</v>
      </c>
      <c r="D98" s="6">
        <f t="shared" si="9"/>
        <v>11899199.187000003</v>
      </c>
      <c r="E98" s="6">
        <f t="shared" si="10"/>
        <v>2716587174.3921008</v>
      </c>
    </row>
    <row r="99" spans="1:5">
      <c r="A99" s="6">
        <v>96</v>
      </c>
      <c r="B99" s="6">
        <v>204.4</v>
      </c>
      <c r="C99" s="6">
        <f t="shared" si="8"/>
        <v>41779.360000000001</v>
      </c>
      <c r="D99" s="6">
        <f t="shared" si="9"/>
        <v>8539701.1840000004</v>
      </c>
      <c r="E99" s="6">
        <f t="shared" si="10"/>
        <v>1745514922.0096002</v>
      </c>
    </row>
    <row r="100" spans="1:5">
      <c r="A100" s="6">
        <v>97</v>
      </c>
      <c r="B100" s="6">
        <v>195.6</v>
      </c>
      <c r="C100" s="6">
        <f t="shared" si="8"/>
        <v>38259.360000000001</v>
      </c>
      <c r="D100" s="6">
        <f t="shared" si="9"/>
        <v>7483530.8159999996</v>
      </c>
      <c r="E100" s="6">
        <f t="shared" si="10"/>
        <v>1463778627.6096001</v>
      </c>
    </row>
    <row r="101" spans="1:5">
      <c r="A101" s="6">
        <v>98</v>
      </c>
      <c r="B101" s="6">
        <v>221.8</v>
      </c>
      <c r="C101" s="6">
        <f t="shared" si="8"/>
        <v>49195.240000000005</v>
      </c>
      <c r="D101" s="6">
        <f t="shared" si="9"/>
        <v>10911504.232000003</v>
      </c>
      <c r="E101" s="6">
        <f t="shared" si="10"/>
        <v>2420171638.6576004</v>
      </c>
    </row>
    <row r="102" spans="1:5">
      <c r="A102" s="6">
        <v>99</v>
      </c>
      <c r="B102" s="6">
        <v>206.2</v>
      </c>
      <c r="C102" s="6">
        <f t="shared" si="8"/>
        <v>42518.439999999995</v>
      </c>
      <c r="D102" s="6">
        <f t="shared" si="9"/>
        <v>8767302.3279999979</v>
      </c>
      <c r="E102" s="6">
        <f t="shared" si="10"/>
        <v>1807817740.0335996</v>
      </c>
    </row>
    <row r="103" spans="1:5">
      <c r="A103" s="6">
        <v>100</v>
      </c>
      <c r="B103" s="6">
        <v>235.9</v>
      </c>
      <c r="C103" s="6">
        <f t="shared" si="8"/>
        <v>55648.810000000005</v>
      </c>
      <c r="D103" s="6">
        <f t="shared" si="9"/>
        <v>13127554.279000001</v>
      </c>
      <c r="E103" s="6">
        <f t="shared" si="10"/>
        <v>3096790054.4161005</v>
      </c>
    </row>
    <row r="104" spans="1:5">
      <c r="A104" s="6">
        <v>101</v>
      </c>
      <c r="B104" s="6">
        <v>218.5</v>
      </c>
      <c r="C104" s="6">
        <f t="shared" si="8"/>
        <v>47742.25</v>
      </c>
      <c r="D104" s="6">
        <f t="shared" si="9"/>
        <v>10431681.625</v>
      </c>
      <c r="E104" s="6">
        <f t="shared" si="10"/>
        <v>2279322435.0625</v>
      </c>
    </row>
    <row r="105" spans="1:5">
      <c r="A105" s="6">
        <v>102</v>
      </c>
      <c r="B105" s="6">
        <v>168.5</v>
      </c>
      <c r="C105" s="6">
        <f t="shared" si="8"/>
        <v>28392.25</v>
      </c>
      <c r="D105" s="6">
        <f t="shared" si="9"/>
        <v>4784094.125</v>
      </c>
      <c r="E105" s="6">
        <f t="shared" si="10"/>
        <v>806119860.0625</v>
      </c>
    </row>
    <row r="106" spans="1:5">
      <c r="A106" s="6">
        <v>103</v>
      </c>
      <c r="B106" s="6">
        <v>183.6</v>
      </c>
      <c r="C106" s="6">
        <f t="shared" si="8"/>
        <v>33708.959999999999</v>
      </c>
      <c r="D106" s="6">
        <f t="shared" si="9"/>
        <v>6188965.0559999999</v>
      </c>
      <c r="E106" s="6">
        <f t="shared" si="10"/>
        <v>1136293984.2816</v>
      </c>
    </row>
    <row r="107" spans="1:5">
      <c r="A107" s="6">
        <v>104</v>
      </c>
      <c r="B107" s="6">
        <v>213</v>
      </c>
      <c r="C107" s="6">
        <f t="shared" si="8"/>
        <v>45369</v>
      </c>
      <c r="D107" s="6">
        <f t="shared" si="9"/>
        <v>9663597</v>
      </c>
      <c r="E107" s="6">
        <f t="shared" si="10"/>
        <v>2058346161</v>
      </c>
    </row>
    <row r="108" spans="1:5">
      <c r="A108" s="6">
        <v>105</v>
      </c>
      <c r="B108" s="6">
        <v>180.8</v>
      </c>
      <c r="C108" s="6">
        <f t="shared" si="8"/>
        <v>32688.640000000003</v>
      </c>
      <c r="D108" s="6">
        <f t="shared" si="9"/>
        <v>5910106.1120000007</v>
      </c>
      <c r="E108" s="6">
        <f t="shared" si="10"/>
        <v>1068547185.0496002</v>
      </c>
    </row>
    <row r="109" spans="1:5">
      <c r="A109" s="6">
        <v>106</v>
      </c>
      <c r="B109" s="6">
        <v>208.4</v>
      </c>
      <c r="C109" s="6">
        <f t="shared" si="8"/>
        <v>43430.560000000005</v>
      </c>
      <c r="D109" s="6">
        <f t="shared" si="9"/>
        <v>9050928.7040000018</v>
      </c>
      <c r="E109" s="6">
        <f t="shared" si="10"/>
        <v>1886213541.9136004</v>
      </c>
    </row>
    <row r="110" spans="1:5">
      <c r="A110" s="6">
        <v>107</v>
      </c>
      <c r="B110" s="6">
        <v>240.6</v>
      </c>
      <c r="C110" s="6">
        <f t="shared" si="8"/>
        <v>57888.36</v>
      </c>
      <c r="D110" s="6">
        <f t="shared" si="9"/>
        <v>13927939.415999999</v>
      </c>
      <c r="E110" s="6">
        <f t="shared" si="10"/>
        <v>3351062223.4896002</v>
      </c>
    </row>
    <row r="111" spans="1:5">
      <c r="A111" s="6">
        <v>108</v>
      </c>
      <c r="B111" s="6">
        <v>208.2</v>
      </c>
      <c r="C111" s="6">
        <f t="shared" si="8"/>
        <v>43347.24</v>
      </c>
      <c r="D111" s="6">
        <f t="shared" si="9"/>
        <v>9024895.3679999989</v>
      </c>
      <c r="E111" s="6">
        <f t="shared" si="10"/>
        <v>1878983215.6175997</v>
      </c>
    </row>
    <row r="112" spans="1:5">
      <c r="A112" s="6">
        <v>109</v>
      </c>
      <c r="B112" s="6">
        <v>187.2</v>
      </c>
      <c r="C112" s="6">
        <f t="shared" si="8"/>
        <v>35043.839999999997</v>
      </c>
      <c r="D112" s="6">
        <f t="shared" si="9"/>
        <v>6560206.8479999993</v>
      </c>
      <c r="E112" s="6">
        <f t="shared" si="10"/>
        <v>1228070721.9455998</v>
      </c>
    </row>
    <row r="113" spans="1:5">
      <c r="A113" s="6">
        <v>110</v>
      </c>
      <c r="B113" s="6">
        <v>234.7</v>
      </c>
      <c r="C113" s="6">
        <f t="shared" si="8"/>
        <v>55084.09</v>
      </c>
      <c r="D113" s="6">
        <f t="shared" si="9"/>
        <v>12928235.922999999</v>
      </c>
      <c r="E113" s="6">
        <f t="shared" si="10"/>
        <v>3034256971.1280994</v>
      </c>
    </row>
    <row r="114" spans="1:5">
      <c r="A114" s="6">
        <v>111</v>
      </c>
      <c r="B114" s="6">
        <v>206.4</v>
      </c>
      <c r="C114" s="6">
        <f t="shared" si="8"/>
        <v>42600.959999999999</v>
      </c>
      <c r="D114" s="6">
        <f t="shared" si="9"/>
        <v>8792838.1439999994</v>
      </c>
      <c r="E114" s="6">
        <f t="shared" si="10"/>
        <v>1814841792.9215999</v>
      </c>
    </row>
    <row r="115" spans="1:5">
      <c r="A115" s="6">
        <v>112</v>
      </c>
      <c r="B115" s="6">
        <v>227.8</v>
      </c>
      <c r="C115" s="6">
        <f t="shared" si="8"/>
        <v>51892.840000000004</v>
      </c>
      <c r="D115" s="6">
        <f t="shared" si="9"/>
        <v>11821188.952000001</v>
      </c>
      <c r="E115" s="6">
        <f t="shared" si="10"/>
        <v>2692866843.2656002</v>
      </c>
    </row>
    <row r="116" spans="1:5">
      <c r="A116" s="6">
        <v>113</v>
      </c>
      <c r="B116" s="6">
        <v>228.3</v>
      </c>
      <c r="C116" s="6">
        <f t="shared" si="8"/>
        <v>52120.890000000007</v>
      </c>
      <c r="D116" s="6">
        <f t="shared" si="9"/>
        <v>11899199.187000003</v>
      </c>
      <c r="E116" s="6">
        <f t="shared" si="10"/>
        <v>2716587174.3921008</v>
      </c>
    </row>
    <row r="117" spans="1:5">
      <c r="A117" s="6">
        <v>114</v>
      </c>
      <c r="B117" s="6">
        <v>204.4</v>
      </c>
      <c r="C117" s="6">
        <f t="shared" si="8"/>
        <v>41779.360000000001</v>
      </c>
      <c r="D117" s="6">
        <f t="shared" si="9"/>
        <v>8539701.1840000004</v>
      </c>
      <c r="E117" s="6">
        <f t="shared" si="10"/>
        <v>1745514922.0096002</v>
      </c>
    </row>
    <row r="118" spans="1:5">
      <c r="A118" s="6">
        <v>115</v>
      </c>
      <c r="B118" s="6">
        <v>195.6</v>
      </c>
      <c r="C118" s="6">
        <f t="shared" si="8"/>
        <v>38259.360000000001</v>
      </c>
      <c r="D118" s="6">
        <f t="shared" si="9"/>
        <v>7483530.8159999996</v>
      </c>
      <c r="E118" s="6">
        <f t="shared" si="10"/>
        <v>1463778627.6096001</v>
      </c>
    </row>
    <row r="119" spans="1:5">
      <c r="A119" s="6">
        <v>116</v>
      </c>
      <c r="B119" s="6">
        <v>221.8</v>
      </c>
      <c r="C119" s="6">
        <f t="shared" si="8"/>
        <v>49195.240000000005</v>
      </c>
      <c r="D119" s="6">
        <f t="shared" si="9"/>
        <v>10911504.232000003</v>
      </c>
      <c r="E119" s="6">
        <f t="shared" si="10"/>
        <v>2420171638.6576004</v>
      </c>
    </row>
    <row r="120" spans="1:5">
      <c r="A120" s="6">
        <v>117</v>
      </c>
      <c r="B120" s="6">
        <v>206.4</v>
      </c>
      <c r="C120" s="6">
        <f t="shared" si="8"/>
        <v>42600.959999999999</v>
      </c>
      <c r="D120" s="6">
        <f t="shared" si="9"/>
        <v>8792838.1439999994</v>
      </c>
      <c r="E120" s="6">
        <f t="shared" si="10"/>
        <v>1814841792.9215999</v>
      </c>
    </row>
    <row r="121" spans="1:5">
      <c r="A121" s="6">
        <v>118</v>
      </c>
      <c r="B121" s="6">
        <v>235.9</v>
      </c>
      <c r="C121" s="6">
        <f t="shared" si="8"/>
        <v>55648.810000000005</v>
      </c>
      <c r="D121" s="6">
        <f t="shared" si="9"/>
        <v>13127554.279000001</v>
      </c>
      <c r="E121" s="6">
        <f t="shared" si="10"/>
        <v>3096790054.4161005</v>
      </c>
    </row>
    <row r="122" spans="1:5">
      <c r="A122" s="6">
        <v>119</v>
      </c>
      <c r="B122" s="6">
        <v>218.5</v>
      </c>
      <c r="C122" s="6">
        <f t="shared" si="8"/>
        <v>47742.25</v>
      </c>
      <c r="D122" s="6">
        <f t="shared" si="9"/>
        <v>10431681.625</v>
      </c>
      <c r="E122" s="6">
        <f t="shared" si="10"/>
        <v>2279322435.0625</v>
      </c>
    </row>
    <row r="123" spans="1:5">
      <c r="A123" s="7">
        <v>120</v>
      </c>
      <c r="B123" s="7">
        <v>168.7</v>
      </c>
      <c r="C123" s="7">
        <f t="shared" si="8"/>
        <v>28459.689999999995</v>
      </c>
      <c r="D123" s="7">
        <f t="shared" si="9"/>
        <v>4801149.7029999988</v>
      </c>
      <c r="E123" s="7">
        <f t="shared" si="10"/>
        <v>809953954.89609969</v>
      </c>
    </row>
    <row r="124" spans="1:5">
      <c r="B124" s="4"/>
    </row>
    <row r="125" spans="1:5" ht="20.25">
      <c r="A125" s="76" t="s">
        <v>131</v>
      </c>
      <c r="B125" s="3">
        <f>AVERAGE(B4:B123)</f>
        <v>205.47750000000008</v>
      </c>
    </row>
    <row r="126" spans="1:5" ht="20.25">
      <c r="A126" s="76" t="s">
        <v>132</v>
      </c>
      <c r="B126" s="3">
        <f>AVERAGE(C4:C123)</f>
        <v>42822.40241666665</v>
      </c>
    </row>
    <row r="127" spans="1:5" ht="20.25">
      <c r="A127" s="76" t="s">
        <v>133</v>
      </c>
      <c r="B127" s="3">
        <f>AVERAGE(D4:D123)</f>
        <v>9048266.1717750002</v>
      </c>
    </row>
    <row r="128" spans="1:5" ht="20.25">
      <c r="A128" s="76" t="s">
        <v>134</v>
      </c>
      <c r="B128" s="3">
        <f>AVERAGE(E4:E123)</f>
        <v>1937572662.1703634</v>
      </c>
    </row>
    <row r="129" spans="1:2" ht="20.25">
      <c r="A129" s="76" t="s">
        <v>177</v>
      </c>
      <c r="B129" s="3">
        <v>0</v>
      </c>
    </row>
    <row r="130" spans="1:2" ht="20.25">
      <c r="A130" s="76" t="s">
        <v>178</v>
      </c>
      <c r="B130" s="3">
        <f>B126-B125^2</f>
        <v>601.3994104166195</v>
      </c>
    </row>
    <row r="131" spans="1:2" ht="20.25">
      <c r="A131" s="76" t="s">
        <v>179</v>
      </c>
      <c r="B131" s="3">
        <f>B127-3*B126*B125+2*B125^3</f>
        <v>2077.884496614337</v>
      </c>
    </row>
    <row r="132" spans="1:2" ht="20.25">
      <c r="A132" s="76" t="s">
        <v>180</v>
      </c>
      <c r="B132" s="3">
        <f>B128-4*B127*B125+6*B126*B125^2-3*B125^4</f>
        <v>901615.37903404236</v>
      </c>
    </row>
    <row r="133" spans="1:2" ht="21">
      <c r="A133" s="101" t="s">
        <v>135</v>
      </c>
      <c r="B133" s="125">
        <f>(B131^2)/(B130^3)</f>
        <v>1.9849693788923071E-2</v>
      </c>
    </row>
    <row r="134" spans="1:2" ht="20.25">
      <c r="A134" s="76" t="s">
        <v>130</v>
      </c>
      <c r="B134" s="125">
        <f>SQRT(B133)</f>
        <v>0.14088894132941404</v>
      </c>
    </row>
    <row r="135" spans="1:2" ht="21">
      <c r="A135" s="101" t="s">
        <v>138</v>
      </c>
      <c r="B135" s="125">
        <f>(B132)/(B130^2)</f>
        <v>2.4928452246735935</v>
      </c>
    </row>
    <row r="136" spans="1:2" ht="20.25">
      <c r="A136" s="76" t="s">
        <v>139</v>
      </c>
      <c r="B136" s="125">
        <f>B135-3</f>
        <v>-0.50715477532640652</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C43C-A98E-40B2-A5F1-F83A480FF35A}">
  <dimension ref="B1:H55"/>
  <sheetViews>
    <sheetView zoomScale="74" zoomScaleNormal="74" workbookViewId="0">
      <selection activeCell="G2" sqref="G2"/>
    </sheetView>
  </sheetViews>
  <sheetFormatPr defaultRowHeight="15"/>
  <cols>
    <col min="4" max="4" width="16.140625" customWidth="1"/>
    <col min="5" max="5" width="13" customWidth="1"/>
    <col min="6" max="6" width="14" customWidth="1"/>
  </cols>
  <sheetData>
    <row r="1" spans="2:6" ht="28.5">
      <c r="B1" s="132" t="s">
        <v>239</v>
      </c>
      <c r="C1" s="132"/>
      <c r="D1" s="132"/>
      <c r="E1" s="132"/>
      <c r="F1" s="132"/>
    </row>
    <row r="2" spans="2:6" ht="63" customHeight="1">
      <c r="C2" s="226" t="s">
        <v>195</v>
      </c>
      <c r="D2" s="227" t="s">
        <v>250</v>
      </c>
      <c r="E2" s="226" t="s">
        <v>251</v>
      </c>
      <c r="F2" s="228" t="s">
        <v>252</v>
      </c>
    </row>
    <row r="3" spans="2:6" ht="15.75">
      <c r="C3" s="138">
        <v>1</v>
      </c>
      <c r="D3" s="139">
        <v>1060</v>
      </c>
      <c r="E3" s="139">
        <v>1316</v>
      </c>
      <c r="F3" s="146">
        <v>5</v>
      </c>
    </row>
    <row r="4" spans="2:6" ht="15.75">
      <c r="C4" s="140">
        <v>2</v>
      </c>
      <c r="D4" s="140">
        <v>1150</v>
      </c>
      <c r="E4" s="140">
        <v>1420</v>
      </c>
      <c r="F4" s="147">
        <v>7</v>
      </c>
    </row>
    <row r="5" spans="2:6" ht="15.75">
      <c r="C5" s="140">
        <v>3</v>
      </c>
      <c r="D5" s="140">
        <v>1365</v>
      </c>
      <c r="E5" s="140">
        <v>1556</v>
      </c>
      <c r="F5" s="147">
        <v>12</v>
      </c>
    </row>
    <row r="6" spans="2:6" ht="15.75">
      <c r="C6" s="141">
        <v>4</v>
      </c>
      <c r="D6" s="140">
        <v>1275</v>
      </c>
      <c r="E6" s="140">
        <v>1488</v>
      </c>
      <c r="F6" s="147">
        <v>9</v>
      </c>
    </row>
    <row r="7" spans="2:6" ht="15.75">
      <c r="C7" s="140">
        <v>5</v>
      </c>
      <c r="D7" s="140">
        <v>1425</v>
      </c>
      <c r="E7" s="140">
        <v>1612</v>
      </c>
      <c r="F7" s="147">
        <v>13</v>
      </c>
    </row>
    <row r="8" spans="2:6" ht="15.75">
      <c r="C8" s="140">
        <v>6</v>
      </c>
      <c r="D8" s="140">
        <v>1310</v>
      </c>
      <c r="E8" s="140">
        <v>1516</v>
      </c>
      <c r="F8" s="147">
        <v>10</v>
      </c>
    </row>
    <row r="9" spans="2:6" ht="15.75">
      <c r="C9" s="142">
        <v>7</v>
      </c>
      <c r="D9" s="140">
        <v>1365</v>
      </c>
      <c r="E9" s="140">
        <v>1556</v>
      </c>
      <c r="F9" s="147">
        <v>12</v>
      </c>
    </row>
    <row r="10" spans="2:6" ht="15.75">
      <c r="C10" s="140">
        <v>8</v>
      </c>
      <c r="D10" s="140">
        <v>1075</v>
      </c>
      <c r="E10" s="140">
        <v>1352</v>
      </c>
      <c r="F10" s="147">
        <v>6</v>
      </c>
    </row>
    <row r="11" spans="2:6" ht="15.75">
      <c r="C11" s="141">
        <v>9</v>
      </c>
      <c r="D11" s="140">
        <v>925</v>
      </c>
      <c r="E11" s="140">
        <v>1168</v>
      </c>
      <c r="F11" s="147">
        <v>4</v>
      </c>
    </row>
    <row r="12" spans="2:6" ht="15.75">
      <c r="C12" s="140">
        <v>10</v>
      </c>
      <c r="D12" s="140">
        <v>1340</v>
      </c>
      <c r="E12" s="140">
        <v>1540</v>
      </c>
      <c r="F12" s="147">
        <v>11</v>
      </c>
    </row>
    <row r="13" spans="2:6" ht="15.75">
      <c r="C13" s="140">
        <v>11</v>
      </c>
      <c r="D13" s="140">
        <v>1425</v>
      </c>
      <c r="E13" s="140">
        <v>1612</v>
      </c>
      <c r="F13" s="147">
        <v>13</v>
      </c>
    </row>
    <row r="14" spans="2:6" ht="15.75">
      <c r="C14" s="142">
        <v>12</v>
      </c>
      <c r="D14" s="140">
        <v>1150</v>
      </c>
      <c r="E14" s="140">
        <v>1420</v>
      </c>
      <c r="F14" s="147">
        <v>8</v>
      </c>
    </row>
    <row r="15" spans="2:6" ht="15.75">
      <c r="C15" s="142">
        <v>13</v>
      </c>
      <c r="D15" s="140">
        <v>1060</v>
      </c>
      <c r="E15" s="140">
        <v>1316</v>
      </c>
      <c r="F15" s="147">
        <v>5</v>
      </c>
    </row>
    <row r="16" spans="2:6" ht="15.75">
      <c r="C16" s="140">
        <v>14</v>
      </c>
      <c r="D16" s="140">
        <v>1545</v>
      </c>
      <c r="E16" s="140">
        <v>1680</v>
      </c>
      <c r="F16" s="147">
        <v>15</v>
      </c>
    </row>
    <row r="17" spans="3:6" ht="15.75">
      <c r="C17" s="143" t="s">
        <v>196</v>
      </c>
      <c r="D17" s="140">
        <v>1140</v>
      </c>
      <c r="E17" s="140">
        <v>1388</v>
      </c>
      <c r="F17" s="147">
        <v>7</v>
      </c>
    </row>
    <row r="18" spans="3:6" ht="15.75">
      <c r="C18" s="142">
        <v>16</v>
      </c>
      <c r="D18" s="140">
        <v>1075</v>
      </c>
      <c r="E18" s="140">
        <v>1352</v>
      </c>
      <c r="F18" s="147">
        <v>6</v>
      </c>
    </row>
    <row r="19" spans="3:6" ht="15.75">
      <c r="C19" s="142">
        <v>17</v>
      </c>
      <c r="D19" s="140">
        <v>1620</v>
      </c>
      <c r="E19" s="140">
        <v>1736</v>
      </c>
      <c r="F19" s="147">
        <v>16</v>
      </c>
    </row>
    <row r="20" spans="3:6" ht="15.75">
      <c r="C20" s="140">
        <v>18</v>
      </c>
      <c r="D20" s="140">
        <v>1050</v>
      </c>
      <c r="E20" s="140">
        <v>1296</v>
      </c>
      <c r="F20" s="147">
        <v>5</v>
      </c>
    </row>
    <row r="21" spans="3:6" ht="15.75">
      <c r="C21" s="140">
        <v>19</v>
      </c>
      <c r="D21" s="140">
        <v>1310</v>
      </c>
      <c r="E21" s="140">
        <v>1516</v>
      </c>
      <c r="F21" s="147">
        <v>10</v>
      </c>
    </row>
    <row r="22" spans="3:6" ht="15.75">
      <c r="C22" s="140">
        <v>20</v>
      </c>
      <c r="D22" s="140">
        <v>1645</v>
      </c>
      <c r="E22" s="140">
        <v>1760</v>
      </c>
      <c r="F22" s="147">
        <v>16</v>
      </c>
    </row>
    <row r="23" spans="3:6" ht="15.75">
      <c r="C23" s="142">
        <v>21</v>
      </c>
      <c r="D23" s="140">
        <v>1565</v>
      </c>
      <c r="E23" s="140">
        <v>1696</v>
      </c>
      <c r="F23" s="147">
        <v>15</v>
      </c>
    </row>
    <row r="24" spans="3:6" ht="15.75">
      <c r="C24" s="140">
        <v>22</v>
      </c>
      <c r="D24" s="140">
        <v>1215</v>
      </c>
      <c r="E24" s="140">
        <v>1464</v>
      </c>
      <c r="F24" s="147">
        <v>9</v>
      </c>
    </row>
    <row r="25" spans="3:6" ht="15.75">
      <c r="C25" s="140">
        <v>23</v>
      </c>
      <c r="D25" s="140">
        <v>1275</v>
      </c>
      <c r="E25" s="140">
        <v>1488</v>
      </c>
      <c r="F25" s="147">
        <v>10</v>
      </c>
    </row>
    <row r="26" spans="3:6" ht="15.75">
      <c r="C26" s="140">
        <v>24</v>
      </c>
      <c r="D26" s="140">
        <v>1465</v>
      </c>
      <c r="E26" s="140">
        <v>1632</v>
      </c>
      <c r="F26" s="147">
        <v>13</v>
      </c>
    </row>
    <row r="27" spans="3:6" ht="15.75">
      <c r="C27" s="142">
        <v>25</v>
      </c>
      <c r="D27" s="140">
        <v>1080</v>
      </c>
      <c r="E27" s="140">
        <v>1356</v>
      </c>
      <c r="F27" s="147">
        <v>7</v>
      </c>
    </row>
    <row r="28" spans="3:6" ht="15.75">
      <c r="C28" s="140">
        <v>26</v>
      </c>
      <c r="D28" s="140">
        <v>975</v>
      </c>
      <c r="E28" s="140">
        <v>1196</v>
      </c>
      <c r="F28" s="147">
        <v>4</v>
      </c>
    </row>
    <row r="29" spans="3:6" ht="15.75">
      <c r="C29" s="142">
        <v>27</v>
      </c>
      <c r="D29" s="140">
        <v>1040</v>
      </c>
      <c r="E29" s="140">
        <v>1256</v>
      </c>
      <c r="F29" s="147">
        <v>5</v>
      </c>
    </row>
    <row r="30" spans="3:6" ht="15.75">
      <c r="C30" s="142">
        <v>28</v>
      </c>
      <c r="D30" s="140">
        <v>1340</v>
      </c>
      <c r="E30" s="140">
        <v>1540</v>
      </c>
      <c r="F30" s="147">
        <v>11</v>
      </c>
    </row>
    <row r="31" spans="3:6" ht="15.75">
      <c r="C31" s="140">
        <v>29</v>
      </c>
      <c r="D31" s="140">
        <v>865</v>
      </c>
      <c r="E31" s="140">
        <v>1144</v>
      </c>
      <c r="F31" s="147">
        <v>4</v>
      </c>
    </row>
    <row r="32" spans="3:6" ht="15.75">
      <c r="C32" s="140">
        <v>30</v>
      </c>
      <c r="D32" s="140">
        <v>1175</v>
      </c>
      <c r="E32" s="140">
        <v>1440</v>
      </c>
      <c r="F32" s="147">
        <v>8</v>
      </c>
    </row>
    <row r="33" spans="2:8" ht="15.75">
      <c r="C33" s="142">
        <v>31</v>
      </c>
      <c r="D33" s="140">
        <v>1080</v>
      </c>
      <c r="E33" s="140">
        <v>1356</v>
      </c>
      <c r="F33" s="147">
        <v>7</v>
      </c>
    </row>
    <row r="34" spans="2:8" ht="15.75">
      <c r="C34" s="140">
        <v>32</v>
      </c>
      <c r="D34" s="140">
        <v>1500</v>
      </c>
      <c r="E34" s="140">
        <v>1652</v>
      </c>
      <c r="F34" s="147">
        <v>15</v>
      </c>
    </row>
    <row r="35" spans="2:8" ht="15.75">
      <c r="C35" s="140">
        <v>33</v>
      </c>
      <c r="D35" s="140">
        <v>1175</v>
      </c>
      <c r="E35" s="140">
        <v>1440</v>
      </c>
      <c r="F35" s="147">
        <v>9</v>
      </c>
    </row>
    <row r="36" spans="2:8" ht="15.75">
      <c r="C36" s="140">
        <v>34</v>
      </c>
      <c r="D36" s="140">
        <v>1050</v>
      </c>
      <c r="E36" s="140">
        <v>1296</v>
      </c>
      <c r="F36" s="147">
        <v>5</v>
      </c>
    </row>
    <row r="37" spans="2:8" ht="15.75">
      <c r="C37" s="142">
        <v>35</v>
      </c>
      <c r="D37" s="140">
        <v>1365</v>
      </c>
      <c r="E37" s="140">
        <v>1580</v>
      </c>
      <c r="F37" s="147">
        <v>12</v>
      </c>
    </row>
    <row r="38" spans="2:8" ht="15.75">
      <c r="C38" s="140">
        <v>36</v>
      </c>
      <c r="D38" s="140">
        <v>1465</v>
      </c>
      <c r="E38" s="140">
        <v>1632</v>
      </c>
      <c r="F38" s="147">
        <v>15</v>
      </c>
    </row>
    <row r="39" spans="2:8" ht="15.75">
      <c r="C39" s="142">
        <v>37</v>
      </c>
      <c r="D39" s="140">
        <v>1215</v>
      </c>
      <c r="E39" s="140">
        <v>1464</v>
      </c>
      <c r="F39" s="147">
        <v>9</v>
      </c>
    </row>
    <row r="40" spans="2:8" ht="15.75">
      <c r="C40" s="142">
        <v>38</v>
      </c>
      <c r="D40" s="140">
        <v>1365</v>
      </c>
      <c r="E40" s="140">
        <v>1580</v>
      </c>
      <c r="F40" s="147">
        <v>12</v>
      </c>
    </row>
    <row r="41" spans="2:8" ht="15.75">
      <c r="C41" s="140">
        <v>39</v>
      </c>
      <c r="D41" s="140">
        <v>1140</v>
      </c>
      <c r="E41" s="140">
        <v>1388</v>
      </c>
      <c r="F41" s="147">
        <v>7</v>
      </c>
    </row>
    <row r="42" spans="2:8" ht="15.75">
      <c r="C42" s="144">
        <v>40</v>
      </c>
      <c r="D42" s="145">
        <v>1005</v>
      </c>
      <c r="E42" s="145">
        <v>1224</v>
      </c>
      <c r="F42" s="148">
        <v>4</v>
      </c>
    </row>
    <row r="44" spans="2:8" ht="18.75">
      <c r="B44" s="76" t="s">
        <v>116</v>
      </c>
      <c r="C44" s="26" t="s">
        <v>205</v>
      </c>
      <c r="D44" s="26"/>
      <c r="E44" s="26"/>
      <c r="F44" s="133"/>
      <c r="G44" s="133"/>
      <c r="H44" s="133"/>
    </row>
    <row r="45" spans="2:8" ht="24">
      <c r="C45" s="149" t="s">
        <v>203</v>
      </c>
      <c r="D45" s="93">
        <f>CORREL(D3:D42,E3:E42)</f>
        <v>0.98958463153339904</v>
      </c>
    </row>
    <row r="46" spans="2:8" ht="24">
      <c r="C46" s="149" t="s">
        <v>204</v>
      </c>
      <c r="D46" s="93">
        <f>CORREL(D3:D42,F3:F42)</f>
        <v>0.98478343008855584</v>
      </c>
    </row>
    <row r="47" spans="2:8" ht="24">
      <c r="C47" s="149" t="s">
        <v>199</v>
      </c>
      <c r="D47" s="93">
        <f>CORREL(E3:E42,F3:F42)</f>
        <v>0.98001999000338891</v>
      </c>
    </row>
    <row r="48" spans="2:8" ht="18.75">
      <c r="B48" s="76" t="s">
        <v>117</v>
      </c>
      <c r="C48" s="26" t="s">
        <v>206</v>
      </c>
      <c r="D48" s="26"/>
      <c r="E48" s="26"/>
    </row>
    <row r="49" spans="2:5" ht="20.25">
      <c r="C49" s="76" t="s">
        <v>200</v>
      </c>
      <c r="D49" s="93">
        <f>SQRT((D45^2+D46^2-2*D45*D46*D47)/(1-D47^2))</f>
        <v>0.99244294457631521</v>
      </c>
    </row>
    <row r="50" spans="2:5" ht="20.25">
      <c r="C50" s="76" t="s">
        <v>201</v>
      </c>
      <c r="D50" s="93">
        <f>SQRT((D45^2+D47^2-2*D45*D46*D47)/(1-D46^D46))</f>
        <v>1.4055144835675732</v>
      </c>
    </row>
    <row r="51" spans="2:5" ht="20.25">
      <c r="C51" s="76" t="s">
        <v>202</v>
      </c>
      <c r="D51" s="93">
        <f>SQRT((D46^2+D47^2-2*D45*D46*D47)/(1-D45^2))</f>
        <v>0.98552255592855165</v>
      </c>
    </row>
    <row r="52" spans="2:5" ht="18.75">
      <c r="B52" s="76" t="s">
        <v>140</v>
      </c>
      <c r="C52" s="26" t="s">
        <v>207</v>
      </c>
      <c r="D52" s="26"/>
      <c r="E52" s="26"/>
    </row>
    <row r="53" spans="2:5" ht="20.25">
      <c r="B53" s="4"/>
      <c r="C53" s="76" t="s">
        <v>208</v>
      </c>
      <c r="D53" s="93">
        <f>(D45-D46*D47)/(SQRT((1-D46^2)*(1-D47)))</f>
        <v>0.9964342805891806</v>
      </c>
    </row>
    <row r="54" spans="2:5" ht="20.25">
      <c r="C54" s="76" t="s">
        <v>209</v>
      </c>
      <c r="D54" s="93">
        <f>(D46-D45*D47)/SQRT(((1-D45^2)*(1-D47^2)))</f>
        <v>0.52286697695712958</v>
      </c>
    </row>
    <row r="55" spans="2:5" ht="20.25">
      <c r="C55" s="76" t="s">
        <v>210</v>
      </c>
      <c r="D55" s="93">
        <f>(D47-D45*D46)/SQRT(((1-D45^2)*(1-D46^2)))</f>
        <v>0.21958925513206037</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DE843-E29C-4250-93D9-35C9C1C9404B}">
  <dimension ref="B1:H31"/>
  <sheetViews>
    <sheetView zoomScale="80" zoomScaleNormal="80" workbookViewId="0">
      <selection activeCell="V13" sqref="V13"/>
    </sheetView>
  </sheetViews>
  <sheetFormatPr defaultRowHeight="15"/>
  <cols>
    <col min="7" max="7" width="11.85546875" customWidth="1"/>
    <col min="8" max="8" width="17" customWidth="1"/>
  </cols>
  <sheetData>
    <row r="1" spans="2:8" ht="28.5">
      <c r="B1" s="132" t="s">
        <v>218</v>
      </c>
      <c r="C1" s="132"/>
      <c r="D1" s="132"/>
    </row>
    <row r="2" spans="2:8" ht="18.75">
      <c r="B2" s="21" t="s">
        <v>60</v>
      </c>
      <c r="C2" s="160" t="s">
        <v>197</v>
      </c>
      <c r="D2" s="159" t="s">
        <v>198</v>
      </c>
      <c r="E2" s="152" t="s">
        <v>213</v>
      </c>
      <c r="F2" s="152" t="s">
        <v>214</v>
      </c>
      <c r="G2" s="161" t="s">
        <v>215</v>
      </c>
      <c r="H2" s="161" t="s">
        <v>216</v>
      </c>
    </row>
    <row r="3" spans="2:8" ht="15.75">
      <c r="B3" s="13">
        <v>1</v>
      </c>
      <c r="C3" s="13">
        <v>48</v>
      </c>
      <c r="D3" s="153">
        <v>51</v>
      </c>
      <c r="E3" s="13">
        <f>_xlfn.RANK.AVG(C3,$C$3:$C$27,1)</f>
        <v>2</v>
      </c>
      <c r="F3" s="13">
        <f>_xlfn.RANK.AVG(D3,$D$3:$D$27,1)</f>
        <v>3</v>
      </c>
      <c r="G3" s="13">
        <f>E3-F3</f>
        <v>-1</v>
      </c>
      <c r="H3" s="13">
        <f>G3^2</f>
        <v>1</v>
      </c>
    </row>
    <row r="4" spans="2:8" ht="15.75">
      <c r="B4" s="14">
        <v>2</v>
      </c>
      <c r="C4" s="14">
        <v>75</v>
      </c>
      <c r="D4" s="154">
        <v>76</v>
      </c>
      <c r="E4" s="14">
        <f t="shared" ref="E4:E27" si="0">_xlfn.RANK.AVG(C4,$C$3:$C$27,1)</f>
        <v>15</v>
      </c>
      <c r="F4" s="14">
        <f t="shared" ref="F4:F27" si="1">_xlfn.RANK.AVG(D4,$D$3:$D$27,1)</f>
        <v>16</v>
      </c>
      <c r="G4" s="14">
        <f t="shared" ref="G4:G27" si="2">E4-F4</f>
        <v>-1</v>
      </c>
      <c r="H4" s="14">
        <f t="shared" ref="H4:H27" si="3">G4^2</f>
        <v>1</v>
      </c>
    </row>
    <row r="5" spans="2:8" ht="15.75">
      <c r="B5" s="14">
        <v>3</v>
      </c>
      <c r="C5" s="14">
        <v>65</v>
      </c>
      <c r="D5" s="154">
        <v>65</v>
      </c>
      <c r="E5" s="14">
        <f t="shared" si="0"/>
        <v>12</v>
      </c>
      <c r="F5" s="14">
        <f t="shared" si="1"/>
        <v>11</v>
      </c>
      <c r="G5" s="14">
        <f t="shared" si="2"/>
        <v>1</v>
      </c>
      <c r="H5" s="14">
        <f t="shared" si="3"/>
        <v>1</v>
      </c>
    </row>
    <row r="6" spans="2:8" ht="15.75">
      <c r="B6" s="14">
        <v>4</v>
      </c>
      <c r="C6" s="14">
        <v>55</v>
      </c>
      <c r="D6" s="154">
        <v>53</v>
      </c>
      <c r="E6" s="14">
        <f t="shared" si="0"/>
        <v>5</v>
      </c>
      <c r="F6" s="14">
        <f t="shared" si="1"/>
        <v>4</v>
      </c>
      <c r="G6" s="14">
        <f t="shared" si="2"/>
        <v>1</v>
      </c>
      <c r="H6" s="14">
        <f t="shared" si="3"/>
        <v>1</v>
      </c>
    </row>
    <row r="7" spans="2:8" ht="15.75">
      <c r="B7" s="14">
        <v>5</v>
      </c>
      <c r="C7" s="14">
        <v>59</v>
      </c>
      <c r="D7" s="154">
        <v>56</v>
      </c>
      <c r="E7" s="14">
        <f t="shared" si="0"/>
        <v>8</v>
      </c>
      <c r="F7" s="14">
        <f t="shared" si="1"/>
        <v>6</v>
      </c>
      <c r="G7" s="14">
        <f t="shared" si="2"/>
        <v>2</v>
      </c>
      <c r="H7" s="14">
        <f t="shared" si="3"/>
        <v>4</v>
      </c>
    </row>
    <row r="8" spans="2:8" ht="15.75">
      <c r="B8" s="14">
        <v>6</v>
      </c>
      <c r="C8" s="14">
        <v>62</v>
      </c>
      <c r="D8" s="154">
        <v>58</v>
      </c>
      <c r="E8" s="14">
        <f t="shared" si="0"/>
        <v>10</v>
      </c>
      <c r="F8" s="14">
        <f t="shared" si="1"/>
        <v>7</v>
      </c>
      <c r="G8" s="14">
        <f t="shared" si="2"/>
        <v>3</v>
      </c>
      <c r="H8" s="14">
        <f t="shared" si="3"/>
        <v>9</v>
      </c>
    </row>
    <row r="9" spans="2:8" ht="15.75">
      <c r="B9" s="14">
        <v>7</v>
      </c>
      <c r="C9" s="14">
        <v>93</v>
      </c>
      <c r="D9" s="154">
        <v>94</v>
      </c>
      <c r="E9" s="14">
        <f t="shared" si="0"/>
        <v>22</v>
      </c>
      <c r="F9" s="14">
        <f t="shared" si="1"/>
        <v>23</v>
      </c>
      <c r="G9" s="14">
        <f t="shared" si="2"/>
        <v>-1</v>
      </c>
      <c r="H9" s="14">
        <f t="shared" si="3"/>
        <v>1</v>
      </c>
    </row>
    <row r="10" spans="2:8" ht="15.75">
      <c r="B10" s="14">
        <v>8</v>
      </c>
      <c r="C10" s="14">
        <v>57</v>
      </c>
      <c r="D10" s="154">
        <v>69</v>
      </c>
      <c r="E10" s="14">
        <f t="shared" si="0"/>
        <v>6</v>
      </c>
      <c r="F10" s="14">
        <f t="shared" si="1"/>
        <v>12</v>
      </c>
      <c r="G10" s="14">
        <f t="shared" si="2"/>
        <v>-6</v>
      </c>
      <c r="H10" s="14">
        <f t="shared" si="3"/>
        <v>36</v>
      </c>
    </row>
    <row r="11" spans="2:8" ht="15.75">
      <c r="B11" s="14">
        <v>9</v>
      </c>
      <c r="C11" s="14">
        <v>73</v>
      </c>
      <c r="D11" s="154">
        <v>64</v>
      </c>
      <c r="E11" s="14">
        <f t="shared" si="0"/>
        <v>14</v>
      </c>
      <c r="F11" s="14">
        <f t="shared" si="1"/>
        <v>10</v>
      </c>
      <c r="G11" s="14">
        <f t="shared" si="2"/>
        <v>4</v>
      </c>
      <c r="H11" s="14">
        <f t="shared" si="3"/>
        <v>16</v>
      </c>
    </row>
    <row r="12" spans="2:8" ht="15.75">
      <c r="B12" s="14">
        <v>10</v>
      </c>
      <c r="C12" s="14">
        <v>63</v>
      </c>
      <c r="D12" s="154">
        <v>71</v>
      </c>
      <c r="E12" s="14">
        <f t="shared" si="0"/>
        <v>11</v>
      </c>
      <c r="F12" s="14">
        <f t="shared" si="1"/>
        <v>13</v>
      </c>
      <c r="G12" s="14">
        <f t="shared" si="2"/>
        <v>-2</v>
      </c>
      <c r="H12" s="14">
        <f t="shared" si="3"/>
        <v>4</v>
      </c>
    </row>
    <row r="13" spans="2:8" ht="15.75">
      <c r="B13" s="14">
        <v>11</v>
      </c>
      <c r="C13" s="14">
        <v>82</v>
      </c>
      <c r="D13" s="154">
        <v>77</v>
      </c>
      <c r="E13" s="14">
        <f t="shared" si="0"/>
        <v>20</v>
      </c>
      <c r="F13" s="14">
        <f t="shared" si="1"/>
        <v>17</v>
      </c>
      <c r="G13" s="14">
        <f t="shared" si="2"/>
        <v>3</v>
      </c>
      <c r="H13" s="14">
        <f t="shared" si="3"/>
        <v>9</v>
      </c>
    </row>
    <row r="14" spans="2:8" ht="15.75">
      <c r="B14" s="14">
        <v>12</v>
      </c>
      <c r="C14" s="14">
        <v>99</v>
      </c>
      <c r="D14" s="154">
        <v>98</v>
      </c>
      <c r="E14" s="14">
        <f t="shared" si="0"/>
        <v>25</v>
      </c>
      <c r="F14" s="14">
        <f t="shared" si="1"/>
        <v>25</v>
      </c>
      <c r="G14" s="14">
        <f t="shared" si="2"/>
        <v>0</v>
      </c>
      <c r="H14" s="14">
        <f t="shared" si="3"/>
        <v>0</v>
      </c>
    </row>
    <row r="15" spans="2:8" ht="15.75">
      <c r="B15" s="14">
        <v>13</v>
      </c>
      <c r="C15" s="14">
        <v>88</v>
      </c>
      <c r="D15" s="154">
        <v>87</v>
      </c>
      <c r="E15" s="14">
        <f t="shared" si="0"/>
        <v>21</v>
      </c>
      <c r="F15" s="14">
        <f t="shared" si="1"/>
        <v>20</v>
      </c>
      <c r="G15" s="14">
        <f t="shared" si="2"/>
        <v>1</v>
      </c>
      <c r="H15" s="14">
        <f t="shared" si="3"/>
        <v>1</v>
      </c>
    </row>
    <row r="16" spans="2:8" ht="15.75">
      <c r="B16" s="14">
        <v>14</v>
      </c>
      <c r="C16" s="14">
        <v>52</v>
      </c>
      <c r="D16" s="154">
        <v>55</v>
      </c>
      <c r="E16" s="14">
        <f t="shared" si="0"/>
        <v>4</v>
      </c>
      <c r="F16" s="14">
        <f t="shared" si="1"/>
        <v>5</v>
      </c>
      <c r="G16" s="14">
        <f t="shared" si="2"/>
        <v>-1</v>
      </c>
      <c r="H16" s="14">
        <f t="shared" si="3"/>
        <v>1</v>
      </c>
    </row>
    <row r="17" spans="2:8" ht="15.75">
      <c r="B17" s="14">
        <v>15</v>
      </c>
      <c r="C17" s="14">
        <v>78</v>
      </c>
      <c r="D17" s="154">
        <v>75</v>
      </c>
      <c r="E17" s="14">
        <f t="shared" si="0"/>
        <v>17</v>
      </c>
      <c r="F17" s="14">
        <f t="shared" si="1"/>
        <v>15</v>
      </c>
      <c r="G17" s="14">
        <f t="shared" si="2"/>
        <v>2</v>
      </c>
      <c r="H17" s="14">
        <f t="shared" si="3"/>
        <v>4</v>
      </c>
    </row>
    <row r="18" spans="2:8" ht="15.75">
      <c r="B18" s="14">
        <v>16</v>
      </c>
      <c r="C18" s="14">
        <v>61</v>
      </c>
      <c r="D18" s="154">
        <v>61</v>
      </c>
      <c r="E18" s="14">
        <f t="shared" si="0"/>
        <v>9</v>
      </c>
      <c r="F18" s="14">
        <f t="shared" si="1"/>
        <v>9</v>
      </c>
      <c r="G18" s="14">
        <f t="shared" si="2"/>
        <v>0</v>
      </c>
      <c r="H18" s="14">
        <f t="shared" si="3"/>
        <v>0</v>
      </c>
    </row>
    <row r="19" spans="2:8" ht="15.75">
      <c r="B19" s="14">
        <v>17</v>
      </c>
      <c r="C19" s="14">
        <v>58</v>
      </c>
      <c r="D19" s="154">
        <v>60</v>
      </c>
      <c r="E19" s="14">
        <f t="shared" si="0"/>
        <v>7</v>
      </c>
      <c r="F19" s="14">
        <f t="shared" si="1"/>
        <v>8</v>
      </c>
      <c r="G19" s="14">
        <f t="shared" si="2"/>
        <v>-1</v>
      </c>
      <c r="H19" s="14">
        <f t="shared" si="3"/>
        <v>1</v>
      </c>
    </row>
    <row r="20" spans="2:8" ht="15.75">
      <c r="B20" s="14">
        <v>18</v>
      </c>
      <c r="C20" s="14">
        <v>50</v>
      </c>
      <c r="D20" s="154">
        <v>49</v>
      </c>
      <c r="E20" s="14">
        <f t="shared" si="0"/>
        <v>3</v>
      </c>
      <c r="F20" s="14">
        <f t="shared" si="1"/>
        <v>2</v>
      </c>
      <c r="G20" s="14">
        <f t="shared" si="2"/>
        <v>1</v>
      </c>
      <c r="H20" s="14">
        <f t="shared" si="3"/>
        <v>1</v>
      </c>
    </row>
    <row r="21" spans="2:8" ht="15.75">
      <c r="B21" s="14">
        <v>19</v>
      </c>
      <c r="C21" s="14">
        <v>95</v>
      </c>
      <c r="D21" s="154">
        <v>93</v>
      </c>
      <c r="E21" s="14">
        <f t="shared" si="0"/>
        <v>23</v>
      </c>
      <c r="F21" s="14">
        <f t="shared" si="1"/>
        <v>22</v>
      </c>
      <c r="G21" s="14">
        <f t="shared" si="2"/>
        <v>1</v>
      </c>
      <c r="H21" s="14">
        <f t="shared" si="3"/>
        <v>1</v>
      </c>
    </row>
    <row r="22" spans="2:8" ht="15.75">
      <c r="B22" s="14">
        <v>20</v>
      </c>
      <c r="C22" s="14">
        <v>70</v>
      </c>
      <c r="D22" s="154">
        <v>92</v>
      </c>
      <c r="E22" s="14">
        <f t="shared" si="0"/>
        <v>13</v>
      </c>
      <c r="F22" s="14">
        <f t="shared" si="1"/>
        <v>21</v>
      </c>
      <c r="G22" s="14">
        <f t="shared" si="2"/>
        <v>-8</v>
      </c>
      <c r="H22" s="14">
        <f t="shared" si="3"/>
        <v>64</v>
      </c>
    </row>
    <row r="23" spans="2:8" ht="15.75">
      <c r="B23" s="14">
        <v>21</v>
      </c>
      <c r="C23" s="14">
        <v>80</v>
      </c>
      <c r="D23" s="154">
        <v>81</v>
      </c>
      <c r="E23" s="14">
        <f t="shared" si="0"/>
        <v>18</v>
      </c>
      <c r="F23" s="14">
        <f t="shared" si="1"/>
        <v>19</v>
      </c>
      <c r="G23" s="14">
        <f t="shared" si="2"/>
        <v>-1</v>
      </c>
      <c r="H23" s="14">
        <f t="shared" si="3"/>
        <v>1</v>
      </c>
    </row>
    <row r="24" spans="2:8" ht="15.75">
      <c r="B24" s="14">
        <v>22</v>
      </c>
      <c r="C24" s="14">
        <v>81</v>
      </c>
      <c r="D24" s="154">
        <v>72</v>
      </c>
      <c r="E24" s="14">
        <f t="shared" si="0"/>
        <v>19</v>
      </c>
      <c r="F24" s="14">
        <f t="shared" si="1"/>
        <v>14</v>
      </c>
      <c r="G24" s="14">
        <f t="shared" si="2"/>
        <v>5</v>
      </c>
      <c r="H24" s="14">
        <f t="shared" si="3"/>
        <v>25</v>
      </c>
    </row>
    <row r="25" spans="2:8" ht="15.75">
      <c r="B25" s="14">
        <v>23</v>
      </c>
      <c r="C25" s="14">
        <v>97</v>
      </c>
      <c r="D25" s="154">
        <v>96</v>
      </c>
      <c r="E25" s="14">
        <f t="shared" si="0"/>
        <v>24</v>
      </c>
      <c r="F25" s="14">
        <f t="shared" si="1"/>
        <v>24</v>
      </c>
      <c r="G25" s="14">
        <f t="shared" si="2"/>
        <v>0</v>
      </c>
      <c r="H25" s="14">
        <f t="shared" si="3"/>
        <v>0</v>
      </c>
    </row>
    <row r="26" spans="2:8" ht="15.75">
      <c r="B26" s="14">
        <v>24</v>
      </c>
      <c r="C26" s="14">
        <v>47</v>
      </c>
      <c r="D26" s="154">
        <v>46</v>
      </c>
      <c r="E26" s="14">
        <f t="shared" si="0"/>
        <v>1</v>
      </c>
      <c r="F26" s="14">
        <f t="shared" si="1"/>
        <v>1</v>
      </c>
      <c r="G26" s="14">
        <f t="shared" si="2"/>
        <v>0</v>
      </c>
      <c r="H26" s="14">
        <f t="shared" si="3"/>
        <v>0</v>
      </c>
    </row>
    <row r="27" spans="2:8" ht="15.75">
      <c r="B27" s="15">
        <v>25</v>
      </c>
      <c r="C27" s="15">
        <v>77</v>
      </c>
      <c r="D27" s="155">
        <v>79</v>
      </c>
      <c r="E27" s="15">
        <f t="shared" si="0"/>
        <v>16</v>
      </c>
      <c r="F27" s="15">
        <f t="shared" si="1"/>
        <v>18</v>
      </c>
      <c r="G27" s="15">
        <f t="shared" si="2"/>
        <v>-2</v>
      </c>
      <c r="H27" s="15">
        <f t="shared" si="3"/>
        <v>4</v>
      </c>
    </row>
    <row r="28" spans="2:8" ht="18">
      <c r="B28" s="17"/>
      <c r="C28" s="17"/>
      <c r="D28" s="17"/>
      <c r="E28" s="17"/>
      <c r="F28" s="17"/>
      <c r="G28" s="156" t="s">
        <v>217</v>
      </c>
      <c r="H28" s="157">
        <f>SUM(H3:H27)</f>
        <v>186</v>
      </c>
    </row>
    <row r="29" spans="2:8" ht="15.75">
      <c r="B29" s="17"/>
      <c r="C29" s="17"/>
      <c r="D29" s="17"/>
      <c r="E29" s="17"/>
      <c r="F29" s="17"/>
      <c r="G29" s="157" t="s">
        <v>211</v>
      </c>
      <c r="H29" s="158">
        <v>25</v>
      </c>
    </row>
    <row r="31" spans="2:8" ht="24">
      <c r="G31" s="150" t="s">
        <v>212</v>
      </c>
      <c r="H31" s="151">
        <f>1-((6*H28)/(H29*(H29^2-1)))</f>
        <v>0.92846153846153845</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5DA2-1DA2-42C7-82F4-ECD4B4ED0F18}">
  <dimension ref="A1:M34"/>
  <sheetViews>
    <sheetView tabSelected="1" topLeftCell="A7" zoomScale="80" zoomScaleNormal="80" workbookViewId="0">
      <selection activeCell="X33" sqref="X33"/>
    </sheetView>
  </sheetViews>
  <sheetFormatPr defaultRowHeight="15"/>
  <cols>
    <col min="2" max="2" width="8.140625" customWidth="1"/>
    <col min="3" max="3" width="14.85546875" customWidth="1"/>
    <col min="4" max="4" width="13.5703125" customWidth="1"/>
    <col min="5" max="5" width="9.7109375" customWidth="1"/>
    <col min="6" max="6" width="7.85546875" customWidth="1"/>
    <col min="7" max="7" width="14.85546875" customWidth="1"/>
    <col min="8" max="8" width="9.28515625" bestFit="1" customWidth="1"/>
    <col min="9" max="9" width="18.140625" customWidth="1"/>
    <col min="10" max="10" width="12.5703125" bestFit="1" customWidth="1"/>
  </cols>
  <sheetData>
    <row r="1" spans="1:13" ht="31.5">
      <c r="B1" s="221" t="s">
        <v>225</v>
      </c>
      <c r="C1" s="221"/>
      <c r="D1" s="221"/>
      <c r="E1" s="222"/>
      <c r="F1" s="222"/>
      <c r="H1" s="17"/>
      <c r="I1" s="17"/>
      <c r="J1" s="17"/>
      <c r="K1" s="17"/>
      <c r="L1" s="17"/>
      <c r="M1" s="17"/>
    </row>
    <row r="2" spans="1:13" ht="38.25" customHeight="1">
      <c r="A2" s="17"/>
      <c r="B2" s="21" t="s">
        <v>60</v>
      </c>
      <c r="C2" s="9" t="s">
        <v>219</v>
      </c>
      <c r="D2" s="9" t="s">
        <v>220</v>
      </c>
      <c r="E2" s="152" t="s">
        <v>213</v>
      </c>
      <c r="F2" s="9" t="s">
        <v>214</v>
      </c>
      <c r="G2" s="152" t="s">
        <v>221</v>
      </c>
      <c r="H2" s="152" t="s">
        <v>222</v>
      </c>
      <c r="I2" s="152" t="s">
        <v>223</v>
      </c>
      <c r="J2" s="152" t="s">
        <v>224</v>
      </c>
      <c r="K2" s="17"/>
      <c r="L2" s="17"/>
      <c r="M2" s="17"/>
    </row>
    <row r="3" spans="1:13" ht="15.75">
      <c r="A3" s="17"/>
      <c r="B3" s="13">
        <v>1</v>
      </c>
      <c r="C3" s="13">
        <v>2</v>
      </c>
      <c r="D3" s="153">
        <v>57</v>
      </c>
      <c r="E3" s="13">
        <f>_xlfn.RANK.AVG(C3,$C$3:$C$17,1)</f>
        <v>1</v>
      </c>
      <c r="F3" s="153">
        <f>_xlfn.RANK.AVG(D3,$D$3:$D$17,1)</f>
        <v>1</v>
      </c>
      <c r="G3" s="13">
        <f>E3+(COUNT($C$3:$C$17)+1-RANK(C3, $C$3:$C$17,0)-RANK(C3,$C$3:$C$17,1))/2</f>
        <v>1</v>
      </c>
      <c r="H3" s="13">
        <f>F3+(COUNT($D$3:$D$17)+1-RANK(D3,$D$3:$D$17,0)-RANK(D3,$D$3:$D$17,1))/2</f>
        <v>1</v>
      </c>
      <c r="I3" s="13">
        <f>G3-H3</f>
        <v>0</v>
      </c>
      <c r="J3" s="13">
        <f>I3^2</f>
        <v>0</v>
      </c>
      <c r="K3" s="17"/>
      <c r="L3" s="17"/>
      <c r="M3" s="17"/>
    </row>
    <row r="4" spans="1:13" ht="15.75">
      <c r="A4" s="17"/>
      <c r="B4" s="14">
        <v>2</v>
      </c>
      <c r="C4" s="14">
        <v>9</v>
      </c>
      <c r="D4" s="154">
        <v>98</v>
      </c>
      <c r="E4" s="162">
        <f t="shared" ref="E4:E17" si="0">_xlfn.RANK.AVG(C4,$C$3:$C$17,1)</f>
        <v>14.5</v>
      </c>
      <c r="F4" s="154">
        <f t="shared" ref="F4:F17" si="1">_xlfn.RANK.AVG(D4,$D$3:$D$17,1)</f>
        <v>15</v>
      </c>
      <c r="G4" s="14">
        <f t="shared" ref="G4:G17" si="2">E4+(COUNT($C$3:$C$17)+1-RANK(C4, $C$3:$C$17,0)-RANK(C4,$C$3:$C$17,1))/2</f>
        <v>15</v>
      </c>
      <c r="H4" s="14">
        <f t="shared" ref="H4:H17" si="3">F4+(COUNT($D$3:$D$17)+1-RANK(D4,$D$3:$D$17,0)-RANK(D4,$D$3:$D$17,1))/2</f>
        <v>15</v>
      </c>
      <c r="I4" s="14">
        <f t="shared" ref="I4:I17" si="4">G4-H4</f>
        <v>0</v>
      </c>
      <c r="J4" s="14">
        <f t="shared" ref="J4:J17" si="5">I4^2</f>
        <v>0</v>
      </c>
      <c r="K4" s="17"/>
      <c r="L4" s="17"/>
      <c r="M4" s="17"/>
    </row>
    <row r="5" spans="1:13" ht="15.75">
      <c r="A5" s="17"/>
      <c r="B5" s="14">
        <v>3</v>
      </c>
      <c r="C5" s="14">
        <v>5</v>
      </c>
      <c r="D5" s="154">
        <v>70</v>
      </c>
      <c r="E5" s="164">
        <f t="shared" si="0"/>
        <v>5</v>
      </c>
      <c r="F5" s="168">
        <f t="shared" si="1"/>
        <v>4.5</v>
      </c>
      <c r="G5" s="14">
        <f t="shared" si="2"/>
        <v>6</v>
      </c>
      <c r="H5" s="14">
        <f t="shared" si="3"/>
        <v>5</v>
      </c>
      <c r="I5" s="14">
        <f t="shared" si="4"/>
        <v>1</v>
      </c>
      <c r="J5" s="14">
        <f t="shared" si="5"/>
        <v>1</v>
      </c>
      <c r="K5" s="17"/>
      <c r="L5" s="17"/>
      <c r="M5" s="17"/>
    </row>
    <row r="6" spans="1:13" ht="15.75">
      <c r="A6" s="17"/>
      <c r="B6" s="14">
        <v>4</v>
      </c>
      <c r="C6" s="14">
        <v>9</v>
      </c>
      <c r="D6" s="154">
        <v>95</v>
      </c>
      <c r="E6" s="162">
        <f t="shared" si="0"/>
        <v>14.5</v>
      </c>
      <c r="F6" s="154">
        <f t="shared" si="1"/>
        <v>13</v>
      </c>
      <c r="G6" s="14">
        <f t="shared" si="2"/>
        <v>15</v>
      </c>
      <c r="H6" s="14">
        <f t="shared" si="3"/>
        <v>13</v>
      </c>
      <c r="I6" s="14">
        <f t="shared" si="4"/>
        <v>2</v>
      </c>
      <c r="J6" s="14">
        <f t="shared" si="5"/>
        <v>4</v>
      </c>
      <c r="K6" s="17"/>
      <c r="L6" s="17"/>
      <c r="M6" s="17"/>
    </row>
    <row r="7" spans="1:13" ht="15.75">
      <c r="A7" s="17"/>
      <c r="B7" s="14">
        <v>5</v>
      </c>
      <c r="C7" s="14">
        <v>6</v>
      </c>
      <c r="D7" s="154">
        <v>75</v>
      </c>
      <c r="E7" s="14">
        <f t="shared" si="0"/>
        <v>7</v>
      </c>
      <c r="F7" s="169">
        <f t="shared" si="1"/>
        <v>6.5</v>
      </c>
      <c r="G7" s="14">
        <f t="shared" si="2"/>
        <v>7</v>
      </c>
      <c r="H7" s="14">
        <f t="shared" si="3"/>
        <v>7</v>
      </c>
      <c r="I7" s="14">
        <f t="shared" si="4"/>
        <v>0</v>
      </c>
      <c r="J7" s="14">
        <f t="shared" si="5"/>
        <v>0</v>
      </c>
      <c r="K7" s="17"/>
      <c r="L7" s="17"/>
      <c r="M7" s="17"/>
    </row>
    <row r="8" spans="1:13" ht="15.75">
      <c r="A8" s="17"/>
      <c r="B8" s="14">
        <v>6</v>
      </c>
      <c r="C8" s="14">
        <v>4</v>
      </c>
      <c r="D8" s="154">
        <v>70</v>
      </c>
      <c r="E8" s="14">
        <f t="shared" si="0"/>
        <v>3</v>
      </c>
      <c r="F8" s="168">
        <f t="shared" si="1"/>
        <v>4.5</v>
      </c>
      <c r="G8" s="14">
        <f t="shared" si="2"/>
        <v>3</v>
      </c>
      <c r="H8" s="14">
        <f t="shared" si="3"/>
        <v>5</v>
      </c>
      <c r="I8" s="14">
        <f t="shared" si="4"/>
        <v>-2</v>
      </c>
      <c r="J8" s="14">
        <f t="shared" si="5"/>
        <v>4</v>
      </c>
      <c r="K8" s="17"/>
      <c r="L8" s="17"/>
      <c r="M8" s="17"/>
    </row>
    <row r="9" spans="1:13" ht="15.75">
      <c r="A9" s="17"/>
      <c r="B9" s="14">
        <v>7</v>
      </c>
      <c r="C9" s="14">
        <v>8</v>
      </c>
      <c r="D9" s="154">
        <v>96</v>
      </c>
      <c r="E9" s="163">
        <f t="shared" si="0"/>
        <v>12</v>
      </c>
      <c r="F9" s="154">
        <f t="shared" si="1"/>
        <v>14</v>
      </c>
      <c r="G9" s="14">
        <f t="shared" si="2"/>
        <v>13</v>
      </c>
      <c r="H9" s="14">
        <f t="shared" si="3"/>
        <v>14</v>
      </c>
      <c r="I9" s="14">
        <f t="shared" si="4"/>
        <v>-1</v>
      </c>
      <c r="J9" s="14">
        <f t="shared" si="5"/>
        <v>1</v>
      </c>
      <c r="K9" s="17"/>
      <c r="L9" s="17"/>
      <c r="M9" s="17"/>
    </row>
    <row r="10" spans="1:13" ht="15.75">
      <c r="A10" s="17"/>
      <c r="B10" s="14">
        <v>8</v>
      </c>
      <c r="C10" s="14">
        <v>8</v>
      </c>
      <c r="D10" s="154">
        <v>92</v>
      </c>
      <c r="E10" s="163">
        <f t="shared" si="0"/>
        <v>12</v>
      </c>
      <c r="F10" s="154">
        <f t="shared" si="1"/>
        <v>12</v>
      </c>
      <c r="G10" s="14">
        <f t="shared" si="2"/>
        <v>13</v>
      </c>
      <c r="H10" s="14">
        <f t="shared" si="3"/>
        <v>12</v>
      </c>
      <c r="I10" s="14">
        <f t="shared" si="4"/>
        <v>1</v>
      </c>
      <c r="J10" s="14">
        <f t="shared" si="5"/>
        <v>1</v>
      </c>
      <c r="K10" s="17"/>
      <c r="L10" s="17"/>
      <c r="M10" s="17"/>
    </row>
    <row r="11" spans="1:13" ht="15.75">
      <c r="A11" s="17"/>
      <c r="B11" s="14">
        <v>9</v>
      </c>
      <c r="C11" s="14">
        <v>7</v>
      </c>
      <c r="D11" s="154">
        <v>87</v>
      </c>
      <c r="E11" s="166">
        <f t="shared" si="0"/>
        <v>9</v>
      </c>
      <c r="F11" s="154">
        <f t="shared" si="1"/>
        <v>11</v>
      </c>
      <c r="G11" s="14">
        <f t="shared" si="2"/>
        <v>10</v>
      </c>
      <c r="H11" s="14">
        <f t="shared" si="3"/>
        <v>11</v>
      </c>
      <c r="I11" s="14">
        <f t="shared" si="4"/>
        <v>-1</v>
      </c>
      <c r="J11" s="14">
        <f t="shared" si="5"/>
        <v>1</v>
      </c>
      <c r="K11" s="17"/>
      <c r="L11" s="17"/>
      <c r="M11" s="17"/>
    </row>
    <row r="12" spans="1:13" ht="15.75">
      <c r="A12" s="17"/>
      <c r="B12" s="14">
        <v>10</v>
      </c>
      <c r="C12" s="14">
        <v>8</v>
      </c>
      <c r="D12" s="154">
        <v>75</v>
      </c>
      <c r="E12" s="163">
        <f t="shared" si="0"/>
        <v>12</v>
      </c>
      <c r="F12" s="169">
        <f t="shared" si="1"/>
        <v>6.5</v>
      </c>
      <c r="G12" s="14">
        <f t="shared" si="2"/>
        <v>13</v>
      </c>
      <c r="H12" s="14">
        <f t="shared" si="3"/>
        <v>7</v>
      </c>
      <c r="I12" s="14">
        <f t="shared" si="4"/>
        <v>6</v>
      </c>
      <c r="J12" s="14">
        <f t="shared" si="5"/>
        <v>36</v>
      </c>
      <c r="K12" s="17"/>
      <c r="L12" s="17"/>
      <c r="M12" s="17"/>
    </row>
    <row r="13" spans="1:13" ht="15.75">
      <c r="A13" s="17"/>
      <c r="B13" s="14">
        <v>11</v>
      </c>
      <c r="C13" s="14">
        <v>7</v>
      </c>
      <c r="D13" s="154">
        <v>85</v>
      </c>
      <c r="E13" s="166">
        <f t="shared" si="0"/>
        <v>9</v>
      </c>
      <c r="F13" s="154">
        <f t="shared" si="1"/>
        <v>10</v>
      </c>
      <c r="G13" s="14">
        <f t="shared" si="2"/>
        <v>10</v>
      </c>
      <c r="H13" s="14">
        <f t="shared" si="3"/>
        <v>10</v>
      </c>
      <c r="I13" s="14">
        <f t="shared" si="4"/>
        <v>0</v>
      </c>
      <c r="J13" s="14">
        <f t="shared" si="5"/>
        <v>0</v>
      </c>
      <c r="K13" s="17"/>
      <c r="L13" s="17"/>
      <c r="M13" s="17"/>
    </row>
    <row r="14" spans="1:13" ht="15.75">
      <c r="A14" s="17"/>
      <c r="B14" s="14">
        <v>12</v>
      </c>
      <c r="C14" s="14">
        <v>3</v>
      </c>
      <c r="D14" s="154">
        <v>76</v>
      </c>
      <c r="E14" s="14">
        <f t="shared" si="0"/>
        <v>2</v>
      </c>
      <c r="F14" s="154">
        <f t="shared" si="1"/>
        <v>8</v>
      </c>
      <c r="G14" s="14">
        <f t="shared" si="2"/>
        <v>2</v>
      </c>
      <c r="H14" s="14">
        <f t="shared" si="3"/>
        <v>8</v>
      </c>
      <c r="I14" s="14">
        <f t="shared" si="4"/>
        <v>-6</v>
      </c>
      <c r="J14" s="14">
        <f t="shared" si="5"/>
        <v>36</v>
      </c>
      <c r="K14" s="17"/>
      <c r="L14" s="17"/>
      <c r="M14" s="17"/>
    </row>
    <row r="15" spans="1:13" ht="15.75">
      <c r="A15" s="17"/>
      <c r="B15" s="14">
        <v>13</v>
      </c>
      <c r="C15" s="14">
        <v>5</v>
      </c>
      <c r="D15" s="154">
        <v>64</v>
      </c>
      <c r="E15" s="164">
        <f t="shared" si="0"/>
        <v>5</v>
      </c>
      <c r="F15" s="154">
        <f t="shared" si="1"/>
        <v>3</v>
      </c>
      <c r="G15" s="14">
        <f t="shared" si="2"/>
        <v>6</v>
      </c>
      <c r="H15" s="14">
        <f t="shared" si="3"/>
        <v>3</v>
      </c>
      <c r="I15" s="14">
        <f t="shared" si="4"/>
        <v>3</v>
      </c>
      <c r="J15" s="14">
        <f t="shared" si="5"/>
        <v>9</v>
      </c>
      <c r="K15" s="17"/>
      <c r="L15" s="17"/>
      <c r="M15" s="17"/>
    </row>
    <row r="16" spans="1:13" ht="15.75">
      <c r="A16" s="17"/>
      <c r="B16" s="14">
        <v>14</v>
      </c>
      <c r="C16" s="14">
        <v>7</v>
      </c>
      <c r="D16" s="154">
        <v>82</v>
      </c>
      <c r="E16" s="166">
        <f t="shared" si="0"/>
        <v>9</v>
      </c>
      <c r="F16" s="154">
        <f t="shared" si="1"/>
        <v>9</v>
      </c>
      <c r="G16" s="14">
        <f t="shared" si="2"/>
        <v>10</v>
      </c>
      <c r="H16" s="14">
        <f t="shared" si="3"/>
        <v>9</v>
      </c>
      <c r="I16" s="14">
        <f t="shared" si="4"/>
        <v>1</v>
      </c>
      <c r="J16" s="14">
        <f t="shared" si="5"/>
        <v>1</v>
      </c>
      <c r="K16" s="17"/>
      <c r="L16" s="17"/>
      <c r="M16" s="17"/>
    </row>
    <row r="17" spans="1:13" ht="15.75">
      <c r="A17" s="17"/>
      <c r="B17" s="15">
        <v>15</v>
      </c>
      <c r="C17" s="15">
        <v>5</v>
      </c>
      <c r="D17" s="155">
        <v>58</v>
      </c>
      <c r="E17" s="165">
        <f t="shared" si="0"/>
        <v>5</v>
      </c>
      <c r="F17" s="155">
        <f t="shared" si="1"/>
        <v>2</v>
      </c>
      <c r="G17" s="15">
        <f t="shared" si="2"/>
        <v>6</v>
      </c>
      <c r="H17" s="15">
        <f t="shared" si="3"/>
        <v>2</v>
      </c>
      <c r="I17" s="15">
        <f t="shared" si="4"/>
        <v>4</v>
      </c>
      <c r="J17" s="15">
        <f t="shared" si="5"/>
        <v>16</v>
      </c>
      <c r="K17" s="17"/>
      <c r="L17" s="17"/>
      <c r="M17" s="17"/>
    </row>
    <row r="18" spans="1:13" ht="19.5">
      <c r="A18" s="17"/>
      <c r="B18" s="17"/>
      <c r="C18" s="17"/>
      <c r="D18" s="17"/>
      <c r="E18" s="17"/>
      <c r="F18" s="17"/>
      <c r="G18" s="17"/>
      <c r="H18" s="17"/>
      <c r="I18" s="198" t="s">
        <v>228</v>
      </c>
      <c r="J18" s="157">
        <f>SUM(J3:J17)</f>
        <v>110</v>
      </c>
      <c r="K18" s="17"/>
      <c r="L18" s="17"/>
      <c r="M18" s="17"/>
    </row>
    <row r="19" spans="1:13" ht="15.75">
      <c r="A19" s="17"/>
      <c r="B19" s="17"/>
      <c r="C19" s="17"/>
      <c r="D19" s="17"/>
      <c r="E19" s="17"/>
      <c r="F19" s="17"/>
      <c r="G19" s="17"/>
      <c r="H19" s="17"/>
      <c r="I19" s="19" t="s">
        <v>211</v>
      </c>
      <c r="J19" s="19">
        <v>15</v>
      </c>
      <c r="K19" s="17"/>
      <c r="L19" s="17"/>
      <c r="M19" s="17"/>
    </row>
    <row r="20" spans="1:13" ht="18">
      <c r="A20" s="17"/>
      <c r="B20" s="17"/>
      <c r="C20" s="17"/>
      <c r="D20" s="17"/>
      <c r="E20" s="17"/>
      <c r="F20" s="17"/>
      <c r="G20" s="17"/>
      <c r="H20" s="17"/>
      <c r="I20" s="19" t="s">
        <v>229</v>
      </c>
      <c r="J20" s="19">
        <f>(J19^3-J19)/6</f>
        <v>560</v>
      </c>
      <c r="K20" s="17"/>
      <c r="L20" s="17"/>
      <c r="M20" s="17"/>
    </row>
    <row r="21" spans="1:13" ht="53.25" customHeight="1">
      <c r="A21" s="17"/>
      <c r="B21" s="17"/>
      <c r="C21" s="17"/>
      <c r="D21" s="17"/>
      <c r="E21" s="17"/>
      <c r="F21" s="17"/>
      <c r="G21" s="17"/>
      <c r="H21" s="17"/>
      <c r="I21" s="83" t="s">
        <v>230</v>
      </c>
      <c r="J21" s="93">
        <f>(J20-(J18+D27+G25))/(SQRT((J20-2*D27)*(J20-2*G25)))</f>
        <v>0.80094466399354769</v>
      </c>
      <c r="K21" s="17"/>
      <c r="L21" s="17"/>
      <c r="M21" s="17"/>
    </row>
    <row r="22" spans="1:13" ht="19.5">
      <c r="A22" s="17"/>
      <c r="B22" s="199" t="s">
        <v>231</v>
      </c>
      <c r="C22" s="21" t="s">
        <v>232</v>
      </c>
      <c r="D22" s="21" t="s">
        <v>233</v>
      </c>
      <c r="E22" s="45" t="s">
        <v>234</v>
      </c>
      <c r="F22" s="21" t="s">
        <v>235</v>
      </c>
      <c r="G22" s="21" t="s">
        <v>236</v>
      </c>
      <c r="H22" s="17"/>
      <c r="I22" s="83"/>
      <c r="J22" s="195"/>
      <c r="K22" s="17"/>
      <c r="L22" s="17"/>
      <c r="M22" s="17"/>
    </row>
    <row r="23" spans="1:13" ht="15.75">
      <c r="A23" s="17"/>
      <c r="B23" s="13">
        <v>15</v>
      </c>
      <c r="C23" s="153">
        <v>2</v>
      </c>
      <c r="D23" s="13">
        <f>(C23^3 -C23)/12</f>
        <v>0.5</v>
      </c>
      <c r="E23" s="200">
        <v>5</v>
      </c>
      <c r="F23" s="13">
        <v>2</v>
      </c>
      <c r="G23" s="13">
        <f>(F23^3-F23)/12</f>
        <v>0.5</v>
      </c>
      <c r="H23" s="17"/>
      <c r="I23" s="17"/>
      <c r="J23" s="17"/>
      <c r="K23" s="17"/>
      <c r="L23" s="17"/>
      <c r="M23" s="17"/>
    </row>
    <row r="24" spans="1:13" ht="15.75">
      <c r="A24" s="17"/>
      <c r="B24" s="14">
        <v>6</v>
      </c>
      <c r="C24" s="154">
        <v>3</v>
      </c>
      <c r="D24" s="14">
        <f t="shared" ref="D24:D26" si="6">(C24^3 -C24)/12</f>
        <v>2</v>
      </c>
      <c r="E24" s="201">
        <v>7</v>
      </c>
      <c r="F24" s="15">
        <v>2</v>
      </c>
      <c r="G24" s="15">
        <f>(F24^3 -F24)/12</f>
        <v>0.5</v>
      </c>
      <c r="H24" s="17"/>
      <c r="I24" s="17"/>
      <c r="J24" s="17"/>
      <c r="K24" s="17"/>
      <c r="L24" s="17"/>
      <c r="M24" s="17"/>
    </row>
    <row r="25" spans="1:13" ht="18.75">
      <c r="A25" s="17"/>
      <c r="B25" s="14">
        <v>13</v>
      </c>
      <c r="C25" s="154">
        <v>3</v>
      </c>
      <c r="D25" s="14">
        <f t="shared" si="6"/>
        <v>2</v>
      </c>
      <c r="E25" s="16"/>
      <c r="F25" s="21" t="s">
        <v>227</v>
      </c>
      <c r="G25" s="21">
        <f>SUM(G23:G24)</f>
        <v>1</v>
      </c>
      <c r="H25" s="17"/>
      <c r="I25" s="17"/>
      <c r="J25" s="17"/>
      <c r="K25" s="17"/>
      <c r="L25" s="17"/>
      <c r="M25" s="17"/>
    </row>
    <row r="26" spans="1:13" ht="15.75">
      <c r="A26" s="17"/>
      <c r="B26" s="15">
        <v>10</v>
      </c>
      <c r="C26" s="155">
        <v>3</v>
      </c>
      <c r="D26" s="15">
        <f t="shared" si="6"/>
        <v>2</v>
      </c>
      <c r="E26" s="16"/>
      <c r="F26" s="16"/>
      <c r="G26" s="16"/>
      <c r="H26" s="17"/>
      <c r="I26" s="17"/>
      <c r="J26" s="17"/>
      <c r="K26" s="17"/>
      <c r="L26" s="17"/>
      <c r="M26" s="17"/>
    </row>
    <row r="27" spans="1:13" ht="18.75">
      <c r="A27" s="17"/>
      <c r="B27" s="17"/>
      <c r="C27" s="21" t="s">
        <v>226</v>
      </c>
      <c r="D27" s="21">
        <f>SUM(D23:D26)</f>
        <v>6.5</v>
      </c>
      <c r="E27" s="17"/>
      <c r="F27" s="17"/>
      <c r="G27" s="17"/>
      <c r="H27" s="17"/>
      <c r="I27" s="17"/>
      <c r="J27" s="17"/>
      <c r="K27" s="17"/>
      <c r="L27" s="17"/>
      <c r="M27" s="17"/>
    </row>
    <row r="28" spans="1:13" ht="15.75">
      <c r="A28" s="17"/>
      <c r="B28" s="17"/>
      <c r="C28" s="17"/>
      <c r="D28" s="17"/>
      <c r="E28" s="17"/>
      <c r="F28" s="16"/>
      <c r="G28" s="17"/>
      <c r="H28" s="17"/>
      <c r="I28" s="17"/>
      <c r="J28" s="17"/>
      <c r="K28" s="17"/>
      <c r="L28" s="17"/>
      <c r="M28" s="17"/>
    </row>
    <row r="29" spans="1:13" ht="15.75">
      <c r="A29" s="17"/>
      <c r="B29" s="17"/>
      <c r="C29" s="17"/>
      <c r="D29" s="17"/>
      <c r="E29" s="17"/>
      <c r="F29" s="17"/>
      <c r="G29" s="17"/>
      <c r="H29" s="17"/>
      <c r="I29" s="17"/>
      <c r="J29" s="17"/>
      <c r="K29" s="17"/>
      <c r="L29" s="17"/>
      <c r="M29" s="17"/>
    </row>
    <row r="30" spans="1:13" ht="15.75">
      <c r="A30" s="17"/>
      <c r="B30" s="17"/>
      <c r="C30" s="17"/>
      <c r="D30" s="17"/>
      <c r="E30" s="17"/>
      <c r="F30" s="17"/>
      <c r="G30" s="17"/>
      <c r="H30" s="17"/>
      <c r="I30" s="17"/>
      <c r="J30" s="17"/>
      <c r="K30" s="17"/>
      <c r="L30" s="17"/>
      <c r="M30" s="17"/>
    </row>
    <row r="31" spans="1:13" ht="15.75">
      <c r="A31" s="17"/>
      <c r="B31" s="17"/>
      <c r="C31" s="17"/>
      <c r="D31" s="17"/>
      <c r="E31" s="17"/>
      <c r="F31" s="17"/>
      <c r="G31" s="17"/>
      <c r="H31" s="17"/>
      <c r="I31" s="17"/>
      <c r="J31" s="17"/>
      <c r="K31" s="17"/>
      <c r="L31" s="17"/>
      <c r="M31" s="17"/>
    </row>
    <row r="32" spans="1:13" ht="15.75">
      <c r="A32" s="17"/>
      <c r="B32" s="17"/>
      <c r="C32" s="17"/>
      <c r="D32" s="17"/>
      <c r="E32" s="17"/>
      <c r="F32" s="17"/>
      <c r="G32" s="17"/>
      <c r="H32" s="17"/>
      <c r="I32" s="17"/>
      <c r="J32" s="17"/>
      <c r="K32" s="17"/>
      <c r="L32" s="17"/>
      <c r="M32" s="17"/>
    </row>
    <row r="33" spans="1:13" ht="15.75">
      <c r="A33" s="17"/>
      <c r="B33" s="17"/>
      <c r="C33" s="17"/>
      <c r="D33" s="17"/>
      <c r="E33" s="17"/>
      <c r="F33" s="17"/>
      <c r="G33" s="17"/>
      <c r="H33" s="17"/>
      <c r="I33" s="17"/>
      <c r="J33" s="17"/>
      <c r="K33" s="17"/>
      <c r="L33" s="17"/>
      <c r="M33" s="17"/>
    </row>
    <row r="34" spans="1:13" ht="15.75">
      <c r="A34" s="17"/>
      <c r="B34" s="17"/>
      <c r="C34" s="17"/>
      <c r="D34" s="17"/>
      <c r="E34" s="17"/>
      <c r="F34" s="17"/>
      <c r="G34" s="17"/>
      <c r="H34" s="17"/>
      <c r="I34" s="17"/>
      <c r="J34" s="17"/>
      <c r="K34" s="17"/>
      <c r="L34" s="17"/>
      <c r="M34"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CA6.1</vt:lpstr>
      <vt:lpstr>CA6.2</vt:lpstr>
      <vt:lpstr>CA6.3</vt:lpstr>
      <vt:lpstr>CA6.4</vt:lpstr>
      <vt:lpstr>CA6.5</vt:lpstr>
      <vt:lpstr>CA7.1(i)</vt:lpstr>
      <vt:lpstr>CA7.1(ii)</vt:lpstr>
      <vt:lpstr>CA7.1(iii)</vt:lpstr>
      <vt:lpstr>CA7.2(i)</vt:lpstr>
      <vt:lpstr>CA7.2(ii)</vt:lpstr>
      <vt:lpstr>CA7.2(iii)</vt:lpstr>
      <vt:lpstr>CA8.1</vt:lpstr>
      <vt:lpstr>CA8.2</vt:lpstr>
      <vt:lpstr>CA8.3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sanan</dc:creator>
  <cp:lastModifiedBy>arman sanan</cp:lastModifiedBy>
  <dcterms:created xsi:type="dcterms:W3CDTF">2025-04-30T16:39:38Z</dcterms:created>
  <dcterms:modified xsi:type="dcterms:W3CDTF">2025-06-19T17:45:19Z</dcterms:modified>
</cp:coreProperties>
</file>