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Github\BC Hydro Project\BC Hydro Projects\"/>
    </mc:Choice>
  </mc:AlternateContent>
  <xr:revisionPtr revIDLastSave="0" documentId="13_ncr:1_{BE092179-B7C9-4DE7-A7F8-BC19094A2C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ll projec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" i="1" l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X48" i="1"/>
  <c r="X47" i="1"/>
  <c r="X183" i="1"/>
  <c r="X179" i="1"/>
  <c r="X178" i="1"/>
  <c r="X177" i="1"/>
  <c r="X176" i="1"/>
  <c r="X175" i="1"/>
  <c r="X174" i="1"/>
  <c r="X173" i="1"/>
  <c r="X124" i="1"/>
  <c r="X123" i="1"/>
  <c r="X122" i="1"/>
  <c r="X117" i="1"/>
  <c r="X113" i="1"/>
  <c r="X112" i="1"/>
  <c r="X111" i="1"/>
  <c r="X110" i="1"/>
  <c r="X109" i="1"/>
  <c r="X108" i="1"/>
  <c r="X107" i="1"/>
  <c r="X106" i="1"/>
  <c r="X105" i="1"/>
  <c r="X102" i="1"/>
  <c r="X101" i="1"/>
  <c r="X100" i="1"/>
  <c r="X82" i="1"/>
  <c r="X45" i="1"/>
  <c r="X44" i="1"/>
  <c r="X43" i="1"/>
  <c r="X42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O2" i="1"/>
  <c r="Q2" i="1" s="1"/>
  <c r="S2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S21" i="1" s="1"/>
  <c r="O22" i="1"/>
  <c r="Q22" i="1" s="1"/>
  <c r="S22" i="1" s="1"/>
  <c r="O23" i="1"/>
  <c r="Q23" i="1" s="1"/>
  <c r="S23" i="1" s="1"/>
  <c r="O24" i="1"/>
  <c r="Q24" i="1" s="1"/>
  <c r="S24" i="1" s="1"/>
  <c r="O25" i="1"/>
  <c r="Q25" i="1" s="1"/>
  <c r="S25" i="1" s="1"/>
  <c r="O26" i="1"/>
  <c r="Q26" i="1" s="1"/>
  <c r="S26" i="1" s="1"/>
  <c r="O27" i="1"/>
  <c r="Q27" i="1" s="1"/>
  <c r="S27" i="1" s="1"/>
  <c r="O28" i="1"/>
  <c r="Q28" i="1" s="1"/>
  <c r="S28" i="1" s="1"/>
  <c r="O29" i="1"/>
  <c r="Q29" i="1" s="1"/>
  <c r="S29" i="1" s="1"/>
  <c r="O30" i="1"/>
  <c r="Q30" i="1" s="1"/>
  <c r="S30" i="1" s="1"/>
  <c r="O31" i="1"/>
  <c r="Q31" i="1" s="1"/>
  <c r="S31" i="1" s="1"/>
  <c r="O33" i="1"/>
  <c r="Q33" i="1" s="1"/>
  <c r="S33" i="1" s="1"/>
  <c r="O34" i="1"/>
  <c r="Q34" i="1" s="1"/>
  <c r="S34" i="1" s="1"/>
  <c r="O36" i="1"/>
  <c r="Q36" i="1" s="1"/>
  <c r="S36" i="1" s="1"/>
  <c r="O37" i="1"/>
  <c r="Q37" i="1" s="1"/>
  <c r="S37" i="1" s="1"/>
  <c r="O38" i="1"/>
  <c r="Q38" i="1" s="1"/>
  <c r="S38" i="1" s="1"/>
  <c r="O40" i="1"/>
  <c r="Q40" i="1" s="1"/>
  <c r="S40" i="1" s="1"/>
  <c r="O42" i="1"/>
  <c r="Q42" i="1" s="1"/>
  <c r="O43" i="1"/>
  <c r="Q43" i="1" s="1"/>
  <c r="O44" i="1"/>
  <c r="Q44" i="1" s="1"/>
  <c r="O45" i="1"/>
  <c r="Q45" i="1" s="1"/>
  <c r="O46" i="1"/>
  <c r="Q46" i="1" s="1"/>
  <c r="S46" i="1" s="1"/>
  <c r="O47" i="1"/>
  <c r="Q47" i="1" s="1"/>
  <c r="O48" i="1"/>
  <c r="Q48" i="1" s="1"/>
  <c r="O49" i="1"/>
  <c r="Q49" i="1" s="1"/>
  <c r="S49" i="1" s="1"/>
  <c r="O50" i="1"/>
  <c r="Q50" i="1" s="1"/>
  <c r="O51" i="1"/>
  <c r="Q51" i="1" s="1"/>
  <c r="S51" i="1" s="1"/>
  <c r="O52" i="1"/>
  <c r="Q52" i="1" s="1"/>
  <c r="O53" i="1"/>
  <c r="Q53" i="1" s="1"/>
  <c r="S53" i="1" s="1"/>
  <c r="O54" i="1"/>
  <c r="Q54" i="1" s="1"/>
  <c r="O55" i="1"/>
  <c r="Q55" i="1" s="1"/>
  <c r="O56" i="1"/>
  <c r="Q56" i="1" s="1"/>
  <c r="O57" i="1"/>
  <c r="Q57" i="1" s="1"/>
  <c r="O58" i="1"/>
  <c r="Q58" i="1" s="1"/>
  <c r="S58" i="1" s="1"/>
  <c r="O59" i="1"/>
  <c r="Q59" i="1" s="1"/>
  <c r="O60" i="1"/>
  <c r="Q60" i="1" s="1"/>
  <c r="O61" i="1"/>
  <c r="Q61" i="1" s="1"/>
  <c r="S61" i="1" s="1"/>
  <c r="O62" i="1"/>
  <c r="Q62" i="1" s="1"/>
  <c r="S62" i="1" s="1"/>
  <c r="O63" i="1"/>
  <c r="Q63" i="1" s="1"/>
  <c r="S63" i="1" s="1"/>
  <c r="O64" i="1"/>
  <c r="Q64" i="1" s="1"/>
  <c r="S64" i="1" s="1"/>
  <c r="O65" i="1"/>
  <c r="Q65" i="1" s="1"/>
  <c r="S65" i="1" s="1"/>
  <c r="O66" i="1"/>
  <c r="Q66" i="1" s="1"/>
  <c r="S66" i="1" s="1"/>
  <c r="O67" i="1"/>
  <c r="Q67" i="1" s="1"/>
  <c r="S67" i="1" s="1"/>
  <c r="O68" i="1"/>
  <c r="Q68" i="1" s="1"/>
  <c r="S68" i="1" s="1"/>
  <c r="O69" i="1"/>
  <c r="Q69" i="1" s="1"/>
  <c r="S69" i="1" s="1"/>
  <c r="O70" i="1"/>
  <c r="Q70" i="1" s="1"/>
  <c r="S70" i="1" s="1"/>
  <c r="O71" i="1"/>
  <c r="Q71" i="1" s="1"/>
  <c r="S71" i="1" s="1"/>
  <c r="O72" i="1"/>
  <c r="Q72" i="1" s="1"/>
  <c r="S72" i="1" s="1"/>
  <c r="O73" i="1"/>
  <c r="Q73" i="1" s="1"/>
  <c r="S73" i="1" s="1"/>
  <c r="O74" i="1"/>
  <c r="Q74" i="1" s="1"/>
  <c r="O75" i="1"/>
  <c r="Q75" i="1" s="1"/>
  <c r="O76" i="1"/>
  <c r="Q76" i="1" s="1"/>
  <c r="O77" i="1"/>
  <c r="Q77" i="1" s="1"/>
  <c r="S77" i="1" s="1"/>
  <c r="O78" i="1"/>
  <c r="Q78" i="1" s="1"/>
  <c r="S78" i="1" s="1"/>
  <c r="O79" i="1"/>
  <c r="Q79" i="1" s="1"/>
  <c r="S79" i="1" s="1"/>
  <c r="O80" i="1"/>
  <c r="Q80" i="1" s="1"/>
  <c r="S80" i="1" s="1"/>
  <c r="O81" i="1"/>
  <c r="Q81" i="1" s="1"/>
  <c r="O82" i="1"/>
  <c r="Q82" i="1" s="1"/>
  <c r="O83" i="1"/>
  <c r="Q83" i="1" s="1"/>
  <c r="S83" i="1" s="1"/>
  <c r="O84" i="1"/>
  <c r="Q84" i="1" s="1"/>
  <c r="S84" i="1" s="1"/>
  <c r="O85" i="1"/>
  <c r="Q85" i="1" s="1"/>
  <c r="S85" i="1" s="1"/>
  <c r="O86" i="1"/>
  <c r="Q86" i="1" s="1"/>
  <c r="S86" i="1" s="1"/>
  <c r="O87" i="1"/>
  <c r="Q87" i="1" s="1"/>
  <c r="S87" i="1" s="1"/>
  <c r="O88" i="1"/>
  <c r="Q88" i="1" s="1"/>
  <c r="S88" i="1" s="1"/>
  <c r="O89" i="1"/>
  <c r="Q89" i="1" s="1"/>
  <c r="S89" i="1" s="1"/>
  <c r="O90" i="1"/>
  <c r="Q90" i="1" s="1"/>
  <c r="S90" i="1" s="1"/>
  <c r="O91" i="1"/>
  <c r="Q91" i="1" s="1"/>
  <c r="O92" i="1"/>
  <c r="Q92" i="1" s="1"/>
  <c r="S92" i="1" s="1"/>
  <c r="O93" i="1"/>
  <c r="Q93" i="1" s="1"/>
  <c r="O94" i="1"/>
  <c r="Q94" i="1" s="1"/>
  <c r="S94" i="1" s="1"/>
  <c r="O95" i="1"/>
  <c r="Q95" i="1" s="1"/>
  <c r="S95" i="1" s="1"/>
  <c r="O96" i="1"/>
  <c r="Q96" i="1" s="1"/>
  <c r="S96" i="1" s="1"/>
  <c r="O98" i="1"/>
  <c r="Q98" i="1" s="1"/>
  <c r="S98" i="1" s="1"/>
  <c r="O99" i="1"/>
  <c r="Q99" i="1" s="1"/>
  <c r="S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S114" i="1" s="1"/>
  <c r="O115" i="1"/>
  <c r="Q115" i="1" s="1"/>
  <c r="S115" i="1" s="1"/>
  <c r="O116" i="1"/>
  <c r="Q116" i="1" s="1"/>
  <c r="S116" i="1" s="1"/>
  <c r="O117" i="1"/>
  <c r="Q117" i="1" s="1"/>
  <c r="O118" i="1"/>
  <c r="Q118" i="1" s="1"/>
  <c r="S118" i="1" s="1"/>
  <c r="O119" i="1"/>
  <c r="Q119" i="1" s="1"/>
  <c r="O120" i="1"/>
  <c r="Q120" i="1" s="1"/>
  <c r="S120" i="1" s="1"/>
  <c r="O121" i="1"/>
  <c r="Q121" i="1" s="1"/>
  <c r="S121" i="1" s="1"/>
  <c r="O122" i="1"/>
  <c r="Q122" i="1" s="1"/>
  <c r="O123" i="1"/>
  <c r="Q123" i="1" s="1"/>
  <c r="O124" i="1"/>
  <c r="Q124" i="1" s="1"/>
  <c r="O125" i="1"/>
  <c r="Q125" i="1" s="1"/>
  <c r="S125" i="1" s="1"/>
  <c r="O126" i="1"/>
  <c r="Q126" i="1" s="1"/>
  <c r="O127" i="1"/>
  <c r="Q127" i="1" s="1"/>
  <c r="S127" i="1" s="1"/>
  <c r="O128" i="1"/>
  <c r="Q128" i="1" s="1"/>
  <c r="S128" i="1" s="1"/>
  <c r="O129" i="1"/>
  <c r="Q129" i="1" s="1"/>
  <c r="S129" i="1" s="1"/>
  <c r="O131" i="1"/>
  <c r="Q131" i="1" s="1"/>
  <c r="S131" i="1" s="1"/>
  <c r="O132" i="1"/>
  <c r="Q132" i="1" s="1"/>
  <c r="S132" i="1" s="1"/>
  <c r="O133" i="1"/>
  <c r="Q133" i="1" s="1"/>
  <c r="S133" i="1" s="1"/>
  <c r="O134" i="1"/>
  <c r="Q134" i="1" s="1"/>
  <c r="S134" i="1" s="1"/>
  <c r="O135" i="1"/>
  <c r="Q135" i="1" s="1"/>
  <c r="S135" i="1" s="1"/>
  <c r="O136" i="1"/>
  <c r="Q136" i="1" s="1"/>
  <c r="S136" i="1" s="1"/>
  <c r="O137" i="1"/>
  <c r="Q137" i="1" s="1"/>
  <c r="S137" i="1" s="1"/>
  <c r="O138" i="1"/>
  <c r="Q138" i="1" s="1"/>
  <c r="S138" i="1" s="1"/>
  <c r="O139" i="1"/>
  <c r="Q139" i="1" s="1"/>
  <c r="S139" i="1" s="1"/>
  <c r="O140" i="1"/>
  <c r="Q140" i="1" s="1"/>
  <c r="S140" i="1" s="1"/>
  <c r="O141" i="1"/>
  <c r="Q141" i="1" s="1"/>
  <c r="S141" i="1" s="1"/>
  <c r="O142" i="1"/>
  <c r="Q142" i="1" s="1"/>
  <c r="S142" i="1" s="1"/>
  <c r="O143" i="1"/>
  <c r="Q143" i="1" s="1"/>
  <c r="S143" i="1" s="1"/>
  <c r="O144" i="1"/>
  <c r="Q144" i="1" s="1"/>
  <c r="S144" i="1" s="1"/>
  <c r="O145" i="1"/>
  <c r="Q145" i="1" s="1"/>
  <c r="S145" i="1" s="1"/>
  <c r="O146" i="1"/>
  <c r="Q146" i="1" s="1"/>
  <c r="S146" i="1" s="1"/>
  <c r="O147" i="1"/>
  <c r="Q147" i="1" s="1"/>
  <c r="S147" i="1" s="1"/>
  <c r="O148" i="1"/>
  <c r="Q148" i="1" s="1"/>
  <c r="S148" i="1" s="1"/>
  <c r="O149" i="1"/>
  <c r="Q149" i="1" s="1"/>
  <c r="S149" i="1" s="1"/>
  <c r="O150" i="1"/>
  <c r="Q150" i="1" s="1"/>
  <c r="S150" i="1" s="1"/>
  <c r="O151" i="1"/>
  <c r="Q151" i="1" s="1"/>
  <c r="S151" i="1" s="1"/>
  <c r="O152" i="1"/>
  <c r="Q152" i="1" s="1"/>
  <c r="S152" i="1" s="1"/>
  <c r="O153" i="1"/>
  <c r="Q153" i="1" s="1"/>
  <c r="S153" i="1" s="1"/>
  <c r="O154" i="1"/>
  <c r="Q154" i="1" s="1"/>
  <c r="S154" i="1" s="1"/>
  <c r="O155" i="1"/>
  <c r="Q155" i="1" s="1"/>
  <c r="S155" i="1" s="1"/>
  <c r="O156" i="1"/>
  <c r="Q156" i="1" s="1"/>
  <c r="S156" i="1" s="1"/>
  <c r="O157" i="1"/>
  <c r="Q157" i="1" s="1"/>
  <c r="S157" i="1" s="1"/>
  <c r="O158" i="1"/>
  <c r="Q158" i="1" s="1"/>
  <c r="S158" i="1" s="1"/>
  <c r="O159" i="1"/>
  <c r="Q159" i="1" s="1"/>
  <c r="S159" i="1" s="1"/>
  <c r="O160" i="1"/>
  <c r="Q160" i="1" s="1"/>
  <c r="S160" i="1" s="1"/>
  <c r="O161" i="1"/>
  <c r="Q161" i="1" s="1"/>
  <c r="S161" i="1" s="1"/>
  <c r="O162" i="1"/>
  <c r="Q162" i="1" s="1"/>
  <c r="S162" i="1" s="1"/>
  <c r="O163" i="1"/>
  <c r="Q163" i="1" s="1"/>
  <c r="S163" i="1" s="1"/>
  <c r="O164" i="1"/>
  <c r="Q164" i="1" s="1"/>
  <c r="S164" i="1" s="1"/>
  <c r="O165" i="1"/>
  <c r="Q165" i="1" s="1"/>
  <c r="S165" i="1" s="1"/>
  <c r="O166" i="1"/>
  <c r="Q166" i="1" s="1"/>
  <c r="S166" i="1" s="1"/>
  <c r="O167" i="1"/>
  <c r="Q167" i="1" s="1"/>
  <c r="S167" i="1" s="1"/>
  <c r="O169" i="1"/>
  <c r="Q169" i="1" s="1"/>
  <c r="S169" i="1" s="1"/>
  <c r="O170" i="1"/>
  <c r="Q170" i="1" s="1"/>
  <c r="S170" i="1" s="1"/>
  <c r="O171" i="1"/>
  <c r="Q171" i="1" s="1"/>
  <c r="S171" i="1" s="1"/>
  <c r="O172" i="1"/>
  <c r="Q172" i="1" s="1"/>
  <c r="S172" i="1" s="1"/>
  <c r="O4" i="1"/>
  <c r="Q4" i="1" s="1"/>
  <c r="S4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S181" i="1" s="1"/>
  <c r="O182" i="1"/>
  <c r="Q182" i="1" s="1"/>
  <c r="S182" i="1" s="1"/>
  <c r="O183" i="1"/>
  <c r="Q183" i="1" s="1"/>
  <c r="O184" i="1"/>
  <c r="Q184" i="1" s="1"/>
  <c r="S184" i="1" s="1"/>
  <c r="O185" i="1"/>
  <c r="Q185" i="1" s="1"/>
  <c r="S185" i="1" s="1"/>
  <c r="O186" i="1"/>
  <c r="Q186" i="1" s="1"/>
  <c r="S186" i="1" s="1"/>
  <c r="O188" i="1"/>
  <c r="Q188" i="1" s="1"/>
  <c r="S188" i="1" s="1"/>
  <c r="O191" i="1"/>
  <c r="Q191" i="1" s="1"/>
  <c r="S191" i="1" s="1"/>
  <c r="O192" i="1"/>
  <c r="Q192" i="1" s="1"/>
  <c r="S192" i="1" s="1"/>
  <c r="O194" i="1"/>
  <c r="Q194" i="1" s="1"/>
  <c r="S194" i="1" s="1"/>
  <c r="O195" i="1"/>
  <c r="Q195" i="1" s="1"/>
  <c r="S195" i="1" s="1"/>
  <c r="O196" i="1"/>
  <c r="Q196" i="1" s="1"/>
  <c r="S196" i="1" s="1"/>
  <c r="O197" i="1"/>
  <c r="Q197" i="1" s="1"/>
  <c r="S197" i="1" s="1"/>
  <c r="R122" i="1"/>
  <c r="R108" i="1"/>
  <c r="R119" i="1"/>
  <c r="R180" i="1"/>
  <c r="R112" i="1"/>
  <c r="R47" i="1"/>
  <c r="R50" i="1"/>
  <c r="R103" i="1"/>
  <c r="R12" i="1"/>
  <c r="S119" i="1" l="1"/>
  <c r="S50" i="1"/>
  <c r="S180" i="1"/>
  <c r="S112" i="1"/>
  <c r="S108" i="1"/>
  <c r="S12" i="1"/>
  <c r="S122" i="1"/>
  <c r="S103" i="1"/>
  <c r="S47" i="1"/>
  <c r="R93" i="1"/>
  <c r="S93" i="1" s="1"/>
  <c r="R91" i="1"/>
  <c r="S91" i="1" s="1"/>
  <c r="R81" i="1"/>
  <c r="S81" i="1" s="1"/>
  <c r="R76" i="1"/>
  <c r="S76" i="1" s="1"/>
  <c r="R75" i="1"/>
  <c r="S75" i="1" s="1"/>
  <c r="R74" i="1"/>
  <c r="S74" i="1" s="1"/>
  <c r="R60" i="1"/>
  <c r="S60" i="1" s="1"/>
  <c r="R59" i="1"/>
  <c r="S59" i="1" s="1"/>
  <c r="R57" i="1"/>
  <c r="S57" i="1" s="1"/>
  <c r="R56" i="1"/>
  <c r="S56" i="1" s="1"/>
  <c r="R55" i="1"/>
  <c r="S55" i="1" s="1"/>
  <c r="R54" i="1"/>
  <c r="S54" i="1" s="1"/>
  <c r="R52" i="1"/>
  <c r="S52" i="1" s="1"/>
  <c r="R101" i="1"/>
  <c r="S101" i="1" s="1"/>
  <c r="R183" i="1" l="1"/>
  <c r="S183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26" i="1"/>
  <c r="S126" i="1" s="1"/>
  <c r="R124" i="1"/>
  <c r="S124" i="1" s="1"/>
  <c r="R123" i="1"/>
  <c r="S123" i="1" s="1"/>
  <c r="R117" i="1"/>
  <c r="S117" i="1" s="1"/>
  <c r="R113" i="1"/>
  <c r="S113" i="1" s="1"/>
  <c r="R111" i="1"/>
  <c r="S111" i="1" s="1"/>
  <c r="R110" i="1"/>
  <c r="S110" i="1" s="1"/>
  <c r="R109" i="1"/>
  <c r="S109" i="1" s="1"/>
  <c r="R107" i="1"/>
  <c r="S107" i="1" s="1"/>
  <c r="R106" i="1"/>
  <c r="S106" i="1" s="1"/>
  <c r="R105" i="1"/>
  <c r="S105" i="1" s="1"/>
  <c r="R104" i="1"/>
  <c r="S104" i="1" s="1"/>
  <c r="R102" i="1"/>
  <c r="S102" i="1" s="1"/>
  <c r="R100" i="1"/>
  <c r="S100" i="1" s="1"/>
  <c r="R82" i="1"/>
  <c r="S82" i="1" s="1"/>
  <c r="R48" i="1"/>
  <c r="S48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42" i="1"/>
  <c r="S42" i="1" s="1"/>
  <c r="R43" i="1"/>
  <c r="S43" i="1" s="1"/>
  <c r="R44" i="1"/>
  <c r="S44" i="1" s="1"/>
  <c r="R45" i="1"/>
  <c r="S45" i="1" s="1"/>
  <c r="R10" i="1"/>
  <c r="S10" i="1" s="1"/>
  <c r="R11" i="1"/>
  <c r="S11" i="1" s="1"/>
  <c r="R13" i="1"/>
  <c r="S13" i="1" s="1"/>
  <c r="U20" i="1"/>
  <c r="R20" i="1" s="1"/>
  <c r="S20" i="1" s="1"/>
  <c r="U9" i="1"/>
  <c r="R9" i="1" s="1"/>
  <c r="S9" i="1" s="1"/>
  <c r="U8" i="1"/>
  <c r="R8" i="1" s="1"/>
  <c r="S8" i="1" s="1"/>
  <c r="U7" i="1"/>
  <c r="R7" i="1" s="1"/>
  <c r="S7" i="1" s="1"/>
  <c r="U6" i="1"/>
  <c r="R6" i="1" s="1"/>
  <c r="S6" i="1" s="1"/>
  <c r="U5" i="1"/>
  <c r="R5" i="1" s="1"/>
  <c r="S5" i="1" s="1"/>
  <c r="AB103" i="1" l="1"/>
  <c r="Y103" i="1" s="1"/>
  <c r="AB178" i="1"/>
  <c r="Y178" i="1" s="1"/>
  <c r="AB31" i="1"/>
  <c r="Y31" i="1" s="1"/>
  <c r="AB4" i="1"/>
  <c r="Y4" i="1" s="1"/>
  <c r="AB22" i="1"/>
  <c r="Y22" i="1" s="1"/>
  <c r="AB24" i="1"/>
  <c r="Y24" i="1" s="1"/>
  <c r="AB28" i="1"/>
  <c r="Y28" i="1" s="1"/>
  <c r="AB32" i="1"/>
  <c r="Y32" i="1" s="1"/>
  <c r="AB34" i="1"/>
  <c r="Y34" i="1" s="1"/>
  <c r="AB39" i="1"/>
  <c r="Y39" i="1" s="1"/>
  <c r="AB95" i="1"/>
  <c r="Y95" i="1" s="1"/>
  <c r="AB130" i="1"/>
  <c r="Y130" i="1" s="1"/>
  <c r="AB36" i="1"/>
  <c r="Y36" i="1" s="1"/>
  <c r="AB37" i="1"/>
  <c r="Y37" i="1" s="1"/>
  <c r="AB38" i="1"/>
  <c r="Y38" i="1" s="1"/>
  <c r="AB21" i="1"/>
  <c r="Y21" i="1" s="1"/>
  <c r="AB27" i="1"/>
  <c r="Y27" i="1" s="1"/>
  <c r="AB29" i="1"/>
  <c r="Y29" i="1" s="1"/>
  <c r="AB33" i="1"/>
  <c r="Y33" i="1" s="1"/>
  <c r="AB96" i="1"/>
  <c r="Y96" i="1" s="1"/>
  <c r="AB129" i="1"/>
  <c r="Y129" i="1" s="1"/>
  <c r="AB169" i="1"/>
  <c r="Y169" i="1" s="1"/>
  <c r="AB170" i="1"/>
  <c r="Y170" i="1" s="1"/>
  <c r="AB171" i="1"/>
  <c r="Y171" i="1" s="1"/>
  <c r="AB172" i="1"/>
  <c r="Y172" i="1" s="1"/>
  <c r="AB97" i="1"/>
  <c r="Y97" i="1" s="1"/>
  <c r="AB98" i="1"/>
  <c r="Y98" i="1" s="1"/>
  <c r="AB99" i="1"/>
  <c r="Y99" i="1" s="1"/>
  <c r="AB131" i="1"/>
  <c r="Y131" i="1" s="1"/>
  <c r="AB132" i="1"/>
  <c r="Y132" i="1" s="1"/>
  <c r="AB133" i="1"/>
  <c r="Y133" i="1" s="1"/>
  <c r="AB134" i="1"/>
  <c r="Y134" i="1" s="1"/>
  <c r="AB135" i="1"/>
  <c r="Y135" i="1" s="1"/>
  <c r="AB136" i="1"/>
  <c r="Y136" i="1" s="1"/>
  <c r="AB137" i="1"/>
  <c r="Y137" i="1" s="1"/>
  <c r="AB138" i="1"/>
  <c r="Y138" i="1" s="1"/>
  <c r="AB139" i="1"/>
  <c r="Y139" i="1" s="1"/>
  <c r="AB140" i="1"/>
  <c r="Y140" i="1" s="1"/>
  <c r="AB141" i="1"/>
  <c r="Y141" i="1" s="1"/>
  <c r="AB142" i="1"/>
  <c r="Y142" i="1" s="1"/>
  <c r="AB143" i="1"/>
  <c r="Y143" i="1" s="1"/>
  <c r="AB144" i="1"/>
  <c r="Y144" i="1" s="1"/>
  <c r="AB145" i="1"/>
  <c r="Y145" i="1" s="1"/>
  <c r="AB146" i="1"/>
  <c r="Y146" i="1" s="1"/>
  <c r="AB147" i="1"/>
  <c r="Y147" i="1" s="1"/>
  <c r="AB148" i="1"/>
  <c r="Y148" i="1" s="1"/>
  <c r="AB149" i="1"/>
  <c r="Y149" i="1" s="1"/>
  <c r="AB150" i="1"/>
  <c r="Y150" i="1" s="1"/>
  <c r="AB151" i="1"/>
  <c r="Y151" i="1" s="1"/>
  <c r="AB152" i="1"/>
  <c r="Y152" i="1" s="1"/>
  <c r="AB153" i="1"/>
  <c r="Y153" i="1" s="1"/>
  <c r="AB154" i="1"/>
  <c r="Y154" i="1" s="1"/>
  <c r="AB155" i="1"/>
  <c r="Y155" i="1" s="1"/>
  <c r="AB156" i="1"/>
  <c r="Y156" i="1" s="1"/>
  <c r="AB157" i="1"/>
  <c r="Y157" i="1" s="1"/>
  <c r="AB158" i="1"/>
  <c r="Y158" i="1" s="1"/>
  <c r="AB159" i="1"/>
  <c r="Y159" i="1" s="1"/>
  <c r="AB160" i="1"/>
  <c r="Y160" i="1" s="1"/>
  <c r="AB161" i="1"/>
  <c r="Y161" i="1" s="1"/>
  <c r="AB162" i="1"/>
  <c r="Y162" i="1" s="1"/>
  <c r="AB163" i="1"/>
  <c r="Y163" i="1" s="1"/>
  <c r="AB164" i="1"/>
  <c r="Y164" i="1" s="1"/>
  <c r="AB165" i="1"/>
  <c r="Y165" i="1" s="1"/>
  <c r="AB2" i="1"/>
  <c r="Y2" i="1" s="1"/>
  <c r="AB3" i="1"/>
  <c r="Y3" i="1" s="1"/>
  <c r="AB23" i="1"/>
  <c r="Y23" i="1" s="1"/>
  <c r="AB25" i="1"/>
  <c r="Y25" i="1" s="1"/>
  <c r="AB26" i="1"/>
  <c r="Y26" i="1" s="1"/>
  <c r="AB30" i="1"/>
  <c r="Y30" i="1" s="1"/>
  <c r="AB35" i="1"/>
  <c r="Y35" i="1" s="1"/>
  <c r="AB40" i="1"/>
  <c r="Y40" i="1" s="1"/>
  <c r="AB41" i="1"/>
  <c r="Y41" i="1" s="1"/>
  <c r="AB53" i="1"/>
  <c r="Y53" i="1" s="1"/>
  <c r="AB127" i="1"/>
  <c r="Y127" i="1" s="1"/>
  <c r="AB128" i="1"/>
  <c r="Y128" i="1" s="1"/>
  <c r="AB166" i="1"/>
  <c r="Y166" i="1" s="1"/>
  <c r="AB167" i="1"/>
  <c r="Y167" i="1" s="1"/>
  <c r="AB168" i="1"/>
  <c r="Y168" i="1" s="1"/>
  <c r="AB197" i="1"/>
  <c r="Y197" i="1" s="1"/>
  <c r="AB46" i="1"/>
  <c r="Y46" i="1" s="1"/>
  <c r="AB49" i="1"/>
  <c r="Y49" i="1" s="1"/>
  <c r="AB50" i="1"/>
  <c r="Y50" i="1" s="1"/>
  <c r="AB51" i="1"/>
  <c r="Y51" i="1" s="1"/>
  <c r="AB52" i="1"/>
  <c r="Y52" i="1" s="1"/>
  <c r="AB54" i="1"/>
  <c r="Y54" i="1" s="1"/>
  <c r="AB55" i="1"/>
  <c r="Y55" i="1" s="1"/>
  <c r="AB56" i="1"/>
  <c r="Y56" i="1" s="1"/>
  <c r="AB57" i="1"/>
  <c r="Y57" i="1" s="1"/>
  <c r="AB58" i="1"/>
  <c r="Y58" i="1" s="1"/>
  <c r="AB59" i="1"/>
  <c r="Y59" i="1" s="1"/>
  <c r="AB60" i="1"/>
  <c r="Y60" i="1" s="1"/>
  <c r="AB61" i="1"/>
  <c r="Y61" i="1" s="1"/>
  <c r="AB62" i="1"/>
  <c r="Y62" i="1" s="1"/>
  <c r="AB63" i="1"/>
  <c r="Y63" i="1" s="1"/>
  <c r="AB64" i="1"/>
  <c r="Y64" i="1" s="1"/>
  <c r="AB65" i="1"/>
  <c r="Y65" i="1" s="1"/>
  <c r="AB66" i="1"/>
  <c r="Y66" i="1" s="1"/>
  <c r="AB67" i="1"/>
  <c r="Y67" i="1" s="1"/>
  <c r="AB68" i="1"/>
  <c r="Y68" i="1" s="1"/>
  <c r="AB69" i="1"/>
  <c r="Y69" i="1" s="1"/>
  <c r="AB70" i="1"/>
  <c r="Y70" i="1" s="1"/>
  <c r="AB71" i="1"/>
  <c r="Y71" i="1" s="1"/>
  <c r="AB72" i="1"/>
  <c r="Y72" i="1" s="1"/>
  <c r="AB73" i="1"/>
  <c r="Y73" i="1" s="1"/>
  <c r="AB74" i="1"/>
  <c r="Y74" i="1" s="1"/>
  <c r="AB75" i="1"/>
  <c r="Y75" i="1" s="1"/>
  <c r="AB76" i="1"/>
  <c r="Y76" i="1" s="1"/>
  <c r="AB77" i="1"/>
  <c r="AB78" i="1"/>
  <c r="Y78" i="1" s="1"/>
  <c r="AB79" i="1"/>
  <c r="Y79" i="1" s="1"/>
  <c r="AB80" i="1"/>
  <c r="Y80" i="1" s="1"/>
  <c r="AB81" i="1"/>
  <c r="Y81" i="1" s="1"/>
  <c r="AB82" i="1"/>
  <c r="Y82" i="1" s="1"/>
  <c r="AB83" i="1"/>
  <c r="Y83" i="1" s="1"/>
  <c r="AB84" i="1"/>
  <c r="Y84" i="1" s="1"/>
  <c r="AB85" i="1"/>
  <c r="Y85" i="1" s="1"/>
  <c r="AB86" i="1"/>
  <c r="Y86" i="1" s="1"/>
  <c r="AB87" i="1"/>
  <c r="Y87" i="1" s="1"/>
  <c r="AB88" i="1"/>
  <c r="Y88" i="1" s="1"/>
  <c r="AB89" i="1"/>
  <c r="Y89" i="1" s="1"/>
  <c r="AB90" i="1"/>
  <c r="Y90" i="1" s="1"/>
  <c r="AB91" i="1"/>
  <c r="Y91" i="1" s="1"/>
  <c r="AB92" i="1"/>
  <c r="Y92" i="1" s="1"/>
  <c r="AB93" i="1"/>
  <c r="Y93" i="1" s="1"/>
  <c r="AB94" i="1"/>
  <c r="Y94" i="1" s="1"/>
  <c r="AB108" i="1"/>
  <c r="Y108" i="1" s="1"/>
  <c r="AB109" i="1"/>
  <c r="Y109" i="1" s="1"/>
  <c r="AB114" i="1"/>
  <c r="Y114" i="1" s="1"/>
  <c r="AB115" i="1"/>
  <c r="Y115" i="1" s="1"/>
  <c r="AB116" i="1"/>
  <c r="Y116" i="1" s="1"/>
  <c r="AB118" i="1"/>
  <c r="Y118" i="1" s="1"/>
  <c r="AB119" i="1"/>
  <c r="Y119" i="1" s="1"/>
  <c r="AB120" i="1"/>
  <c r="Y120" i="1" s="1"/>
  <c r="AB121" i="1"/>
  <c r="Y121" i="1" s="1"/>
  <c r="AB125" i="1"/>
  <c r="Y125" i="1" s="1"/>
  <c r="AB180" i="1"/>
  <c r="Y180" i="1" s="1"/>
  <c r="AB181" i="1"/>
  <c r="Y181" i="1" s="1"/>
  <c r="AB182" i="1"/>
  <c r="Y182" i="1" s="1"/>
  <c r="AB184" i="1"/>
  <c r="Y184" i="1" s="1"/>
  <c r="AB185" i="1"/>
  <c r="Y185" i="1" s="1"/>
  <c r="AB186" i="1"/>
  <c r="Y186" i="1" s="1"/>
  <c r="AB187" i="1"/>
  <c r="Y187" i="1" s="1"/>
  <c r="AB188" i="1"/>
  <c r="Y188" i="1" s="1"/>
  <c r="AB189" i="1"/>
  <c r="Y189" i="1" s="1"/>
  <c r="AB190" i="1"/>
  <c r="Y190" i="1" s="1"/>
  <c r="AB191" i="1"/>
  <c r="Y191" i="1" s="1"/>
  <c r="AB192" i="1"/>
  <c r="Y192" i="1" s="1"/>
  <c r="AB193" i="1"/>
  <c r="Y193" i="1" s="1"/>
  <c r="AB194" i="1"/>
  <c r="Y194" i="1" s="1"/>
  <c r="AB195" i="1"/>
  <c r="Y195" i="1" s="1"/>
  <c r="AB196" i="1"/>
  <c r="Y196" i="1" s="1"/>
  <c r="M193" i="1"/>
  <c r="M190" i="1"/>
  <c r="M189" i="1"/>
  <c r="M187" i="1"/>
  <c r="M168" i="1"/>
  <c r="M41" i="1"/>
  <c r="M35" i="1"/>
  <c r="M3" i="1"/>
  <c r="N97" i="1"/>
  <c r="M97" i="1"/>
  <c r="M130" i="1"/>
  <c r="N39" i="1"/>
  <c r="M39" i="1"/>
  <c r="N32" i="1"/>
  <c r="M32" i="1"/>
  <c r="O32" i="1" l="1"/>
  <c r="Q32" i="1" s="1"/>
  <c r="S32" i="1" s="1"/>
  <c r="O97" i="1"/>
  <c r="Q97" i="1" s="1"/>
  <c r="S97" i="1" s="1"/>
  <c r="O190" i="1"/>
  <c r="Q190" i="1" s="1"/>
  <c r="S190" i="1" s="1"/>
  <c r="O193" i="1"/>
  <c r="Q193" i="1" s="1"/>
  <c r="S193" i="1" s="1"/>
  <c r="O3" i="1"/>
  <c r="Q3" i="1" s="1"/>
  <c r="S3" i="1" s="1"/>
  <c r="O35" i="1"/>
  <c r="Q35" i="1" s="1"/>
  <c r="S35" i="1" s="1"/>
  <c r="O41" i="1"/>
  <c r="Q41" i="1" s="1"/>
  <c r="S41" i="1" s="1"/>
  <c r="O39" i="1"/>
  <c r="Q39" i="1" s="1"/>
  <c r="S39" i="1" s="1"/>
  <c r="O168" i="1"/>
  <c r="Q168" i="1" s="1"/>
  <c r="S168" i="1" s="1"/>
  <c r="O187" i="1"/>
  <c r="Q187" i="1" s="1"/>
  <c r="S187" i="1" s="1"/>
  <c r="O130" i="1"/>
  <c r="Q130" i="1" s="1"/>
  <c r="S130" i="1" s="1"/>
  <c r="O189" i="1"/>
  <c r="Q189" i="1" s="1"/>
  <c r="S189" i="1" s="1"/>
  <c r="Y77" i="1"/>
  <c r="AA77" i="1"/>
  <c r="AA103" i="1"/>
  <c r="AA3" i="1"/>
  <c r="AA196" i="1"/>
  <c r="AA188" i="1"/>
  <c r="AA114" i="1"/>
  <c r="AA89" i="1"/>
  <c r="AA81" i="1"/>
  <c r="AA73" i="1"/>
  <c r="AA65" i="1"/>
  <c r="AA57" i="1"/>
  <c r="AA46" i="1"/>
  <c r="AA41" i="1"/>
  <c r="AA2" i="1"/>
  <c r="AA158" i="1"/>
  <c r="AA150" i="1"/>
  <c r="AA142" i="1"/>
  <c r="AA134" i="1"/>
  <c r="AA171" i="1"/>
  <c r="AA21" i="1"/>
  <c r="AA32" i="1"/>
  <c r="AA90" i="1"/>
  <c r="AA151" i="1"/>
  <c r="AA195" i="1"/>
  <c r="AA187" i="1"/>
  <c r="AA125" i="1"/>
  <c r="AA88" i="1"/>
  <c r="AA80" i="1"/>
  <c r="AA72" i="1"/>
  <c r="AA64" i="1"/>
  <c r="AA56" i="1"/>
  <c r="AA197" i="1"/>
  <c r="AA40" i="1"/>
  <c r="AA165" i="1"/>
  <c r="AA157" i="1"/>
  <c r="AA149" i="1"/>
  <c r="AA141" i="1"/>
  <c r="AA133" i="1"/>
  <c r="AA170" i="1"/>
  <c r="AA38" i="1"/>
  <c r="AA28" i="1"/>
  <c r="AA180" i="1"/>
  <c r="AA58" i="1"/>
  <c r="AA27" i="1"/>
  <c r="AA194" i="1"/>
  <c r="AA186" i="1"/>
  <c r="AA121" i="1"/>
  <c r="AA87" i="1"/>
  <c r="AA79" i="1"/>
  <c r="AA71" i="1"/>
  <c r="AA63" i="1"/>
  <c r="AA55" i="1"/>
  <c r="AA168" i="1"/>
  <c r="AA35" i="1"/>
  <c r="AA164" i="1"/>
  <c r="AA156" i="1"/>
  <c r="AA148" i="1"/>
  <c r="AA140" i="1"/>
  <c r="AA132" i="1"/>
  <c r="AA169" i="1"/>
  <c r="AA37" i="1"/>
  <c r="AA24" i="1"/>
  <c r="AA115" i="1"/>
  <c r="AA74" i="1"/>
  <c r="AA159" i="1"/>
  <c r="AA135" i="1"/>
  <c r="AA193" i="1"/>
  <c r="AA185" i="1"/>
  <c r="AA120" i="1"/>
  <c r="AA94" i="1"/>
  <c r="AA86" i="1"/>
  <c r="AA78" i="1"/>
  <c r="AA70" i="1"/>
  <c r="AA62" i="1"/>
  <c r="AA54" i="1"/>
  <c r="AA167" i="1"/>
  <c r="AA30" i="1"/>
  <c r="AA163" i="1"/>
  <c r="AA155" i="1"/>
  <c r="AA147" i="1"/>
  <c r="AA139" i="1"/>
  <c r="AA131" i="1"/>
  <c r="AA129" i="1"/>
  <c r="AA36" i="1"/>
  <c r="AA22" i="1"/>
  <c r="AA49" i="1"/>
  <c r="AA143" i="1"/>
  <c r="AA34" i="1"/>
  <c r="AA192" i="1"/>
  <c r="AA184" i="1"/>
  <c r="AA119" i="1"/>
  <c r="AA93" i="1"/>
  <c r="AA85" i="1"/>
  <c r="AA69" i="1"/>
  <c r="AA61" i="1"/>
  <c r="AA52" i="1"/>
  <c r="AA166" i="1"/>
  <c r="AA26" i="1"/>
  <c r="AA162" i="1"/>
  <c r="AA154" i="1"/>
  <c r="AA146" i="1"/>
  <c r="AA138" i="1"/>
  <c r="AA99" i="1"/>
  <c r="AA96" i="1"/>
  <c r="AA130" i="1"/>
  <c r="AA4" i="1"/>
  <c r="AA178" i="1"/>
  <c r="AA189" i="1"/>
  <c r="AA53" i="1"/>
  <c r="AA191" i="1"/>
  <c r="AA182" i="1"/>
  <c r="AA118" i="1"/>
  <c r="AA92" i="1"/>
  <c r="AA84" i="1"/>
  <c r="AA76" i="1"/>
  <c r="AA68" i="1"/>
  <c r="AA60" i="1"/>
  <c r="AA51" i="1"/>
  <c r="AA128" i="1"/>
  <c r="AA25" i="1"/>
  <c r="AA161" i="1"/>
  <c r="AA153" i="1"/>
  <c r="AA145" i="1"/>
  <c r="AA137" i="1"/>
  <c r="AA98" i="1"/>
  <c r="AA33" i="1"/>
  <c r="AA95" i="1"/>
  <c r="AA31" i="1"/>
  <c r="AA108" i="1"/>
  <c r="AA66" i="1"/>
  <c r="AA172" i="1"/>
  <c r="AA190" i="1"/>
  <c r="AA181" i="1"/>
  <c r="AA116" i="1"/>
  <c r="AA91" i="1"/>
  <c r="AA83" i="1"/>
  <c r="AA75" i="1"/>
  <c r="AA67" i="1"/>
  <c r="AA59" i="1"/>
  <c r="AA50" i="1"/>
  <c r="AA127" i="1"/>
  <c r="AA23" i="1"/>
  <c r="AA160" i="1"/>
  <c r="AA152" i="1"/>
  <c r="AA144" i="1"/>
  <c r="AA136" i="1"/>
  <c r="AA97" i="1"/>
  <c r="AA29" i="1"/>
  <c r="AA39" i="1"/>
  <c r="AA82" i="1"/>
  <c r="AA109" i="1"/>
  <c r="AB8" i="1"/>
  <c r="Y8" i="1" s="1"/>
  <c r="AB126" i="1"/>
  <c r="Y126" i="1" s="1"/>
  <c r="AB47" i="1"/>
  <c r="Y47" i="1" s="1"/>
  <c r="AB107" i="1"/>
  <c r="Y107" i="1" s="1"/>
  <c r="AB176" i="1"/>
  <c r="Y176" i="1" s="1"/>
  <c r="AB43" i="1"/>
  <c r="Y43" i="1" s="1"/>
  <c r="AB102" i="1"/>
  <c r="Y102" i="1" s="1"/>
  <c r="AB104" i="1"/>
  <c r="Y104" i="1" s="1"/>
  <c r="AB106" i="1"/>
  <c r="Y106" i="1" s="1"/>
  <c r="AB18" i="1"/>
  <c r="Y18" i="1" s="1"/>
  <c r="AB10" i="1"/>
  <c r="Y10" i="1" s="1"/>
  <c r="AB15" i="1"/>
  <c r="Y15" i="1" s="1"/>
  <c r="AB105" i="1"/>
  <c r="Y105" i="1" s="1"/>
  <c r="AB177" i="1"/>
  <c r="Y177" i="1" s="1"/>
  <c r="AB117" i="1"/>
  <c r="Y117" i="1" s="1"/>
  <c r="AB6" i="1"/>
  <c r="Y6" i="1" s="1"/>
  <c r="AB20" i="1"/>
  <c r="Y20" i="1" s="1"/>
  <c r="AB112" i="1"/>
  <c r="Y112" i="1" s="1"/>
  <c r="AB175" i="1"/>
  <c r="Y175" i="1" s="1"/>
  <c r="AB12" i="1"/>
  <c r="Y12" i="1" s="1"/>
  <c r="AB9" i="1"/>
  <c r="Y9" i="1" s="1"/>
  <c r="AB174" i="1"/>
  <c r="Y174" i="1" s="1"/>
  <c r="AB42" i="1"/>
  <c r="Y42" i="1" s="1"/>
  <c r="AB101" i="1"/>
  <c r="Y101" i="1" s="1"/>
  <c r="AB111" i="1"/>
  <c r="Y111" i="1" s="1"/>
  <c r="AB179" i="1"/>
  <c r="Y179" i="1" s="1"/>
  <c r="AB110" i="1"/>
  <c r="Y110" i="1" s="1"/>
  <c r="AB173" i="1"/>
  <c r="Y173" i="1" s="1"/>
  <c r="AB124" i="1"/>
  <c r="Y124" i="1" s="1"/>
  <c r="AB7" i="1"/>
  <c r="Y7" i="1" s="1"/>
  <c r="AB16" i="1"/>
  <c r="Y16" i="1" s="1"/>
  <c r="AB19" i="1"/>
  <c r="Y19" i="1" s="1"/>
  <c r="AB48" i="1"/>
  <c r="Y48" i="1" s="1"/>
  <c r="AB183" i="1"/>
  <c r="Y183" i="1" s="1"/>
  <c r="AB45" i="1"/>
  <c r="Y45" i="1" s="1"/>
  <c r="AB14" i="1"/>
  <c r="Y14" i="1" s="1"/>
  <c r="AB122" i="1"/>
  <c r="Y122" i="1" s="1"/>
  <c r="AB123" i="1"/>
  <c r="Y123" i="1" s="1"/>
  <c r="AB113" i="1"/>
  <c r="Y113" i="1" s="1"/>
  <c r="AB5" i="1"/>
  <c r="Y5" i="1" s="1"/>
  <c r="AB44" i="1"/>
  <c r="Y44" i="1" s="1"/>
  <c r="AB100" i="1"/>
  <c r="Y100" i="1" s="1"/>
  <c r="AB17" i="1"/>
  <c r="Y17" i="1" s="1"/>
  <c r="AB13" i="1"/>
  <c r="Y13" i="1" s="1"/>
  <c r="AB11" i="1"/>
  <c r="Y11" i="1" s="1"/>
  <c r="AE98" i="1" l="1"/>
  <c r="AD98" i="1" s="1"/>
  <c r="AE123" i="1"/>
  <c r="AE100" i="1"/>
  <c r="AE18" i="1"/>
  <c r="AE183" i="1"/>
  <c r="AE126" i="1"/>
  <c r="AE34" i="1"/>
  <c r="AC34" i="1" s="1"/>
  <c r="AE68" i="1"/>
  <c r="AC68" i="1" s="1"/>
  <c r="AE79" i="1"/>
  <c r="AC79" i="1" s="1"/>
  <c r="AE11" i="1"/>
  <c r="AE124" i="1"/>
  <c r="AE27" i="1"/>
  <c r="AD27" i="1" s="1"/>
  <c r="AE127" i="1"/>
  <c r="AC127" i="1" s="1"/>
  <c r="AE146" i="1"/>
  <c r="AC146" i="1" s="1"/>
  <c r="AE129" i="1"/>
  <c r="AC129" i="1" s="1"/>
  <c r="AE17" i="1"/>
  <c r="AE45" i="1"/>
  <c r="AE110" i="1"/>
  <c r="AE175" i="1"/>
  <c r="AE10" i="1"/>
  <c r="AE102" i="1"/>
  <c r="AE135" i="1"/>
  <c r="AC135" i="1" s="1"/>
  <c r="AE66" i="1"/>
  <c r="AC66" i="1" s="1"/>
  <c r="AE39" i="1"/>
  <c r="AC39" i="1" s="1"/>
  <c r="AE91" i="1"/>
  <c r="AC91" i="1" s="1"/>
  <c r="AE153" i="1"/>
  <c r="AC153" i="1" s="1"/>
  <c r="AE192" i="1"/>
  <c r="AC192" i="1" s="1"/>
  <c r="AE162" i="1"/>
  <c r="AC162" i="1" s="1"/>
  <c r="AE93" i="1"/>
  <c r="AC93" i="1" s="1"/>
  <c r="AE149" i="1"/>
  <c r="AC149" i="1" s="1"/>
  <c r="AE139" i="1"/>
  <c r="AC139" i="1" s="1"/>
  <c r="AE70" i="1"/>
  <c r="AC70" i="1" s="1"/>
  <c r="AE140" i="1"/>
  <c r="AC140" i="1" s="1"/>
  <c r="AE121" i="1"/>
  <c r="AC121" i="1" s="1"/>
  <c r="AE141" i="1"/>
  <c r="AC141" i="1" s="1"/>
  <c r="AE64" i="1"/>
  <c r="AC64" i="1" s="1"/>
  <c r="AE158" i="1"/>
  <c r="AC158" i="1" s="1"/>
  <c r="AE89" i="1"/>
  <c r="AC89" i="1" s="1"/>
  <c r="AE83" i="1"/>
  <c r="AC83" i="1" s="1"/>
  <c r="AE43" i="1"/>
  <c r="AE29" i="1"/>
  <c r="AC29" i="1" s="1"/>
  <c r="AE4" i="1"/>
  <c r="AD4" i="1" s="1"/>
  <c r="AE119" i="1"/>
  <c r="AC119" i="1" s="1"/>
  <c r="AE78" i="1"/>
  <c r="AC78" i="1" s="1"/>
  <c r="AE148" i="1"/>
  <c r="AC148" i="1" s="1"/>
  <c r="AE195" i="1"/>
  <c r="AC195" i="1" s="1"/>
  <c r="AE197" i="1"/>
  <c r="AC197" i="1" s="1"/>
  <c r="AE109" i="1"/>
  <c r="AC109" i="1" s="1"/>
  <c r="AE2" i="1"/>
  <c r="AC2" i="1" s="1"/>
  <c r="AE114" i="1"/>
  <c r="AD114" i="1" s="1"/>
  <c r="AE116" i="1"/>
  <c r="AC116" i="1" s="1"/>
  <c r="AE74" i="1"/>
  <c r="AC74" i="1" s="1"/>
  <c r="AE26" i="1"/>
  <c r="AC26" i="1" s="1"/>
  <c r="AE44" i="1"/>
  <c r="AE20" i="1"/>
  <c r="AE151" i="1"/>
  <c r="AC151" i="1" s="1"/>
  <c r="AE33" i="1"/>
  <c r="AC33" i="1" s="1"/>
  <c r="AE166" i="1"/>
  <c r="AC166" i="1" s="1"/>
  <c r="AE155" i="1"/>
  <c r="AC155" i="1" s="1"/>
  <c r="AE156" i="1"/>
  <c r="AC156" i="1" s="1"/>
  <c r="AE133" i="1"/>
  <c r="AC133" i="1" s="1"/>
  <c r="AE80" i="1"/>
  <c r="AC80" i="1" s="1"/>
  <c r="AE32" i="1"/>
  <c r="AC32" i="1" s="1"/>
  <c r="AE41" i="1"/>
  <c r="AC41" i="1" s="1"/>
  <c r="AE180" i="1"/>
  <c r="AC180" i="1" s="1"/>
  <c r="AE191" i="1"/>
  <c r="AC191" i="1" s="1"/>
  <c r="AE179" i="1"/>
  <c r="AE60" i="1"/>
  <c r="AC60" i="1" s="1"/>
  <c r="AE147" i="1"/>
  <c r="AC147" i="1" s="1"/>
  <c r="AE111" i="1"/>
  <c r="AE176" i="1"/>
  <c r="AE82" i="1"/>
  <c r="AC82" i="1" s="1"/>
  <c r="AE92" i="1"/>
  <c r="AC92" i="1" s="1"/>
  <c r="AE185" i="1"/>
  <c r="AC185" i="1" s="1"/>
  <c r="AE86" i="1"/>
  <c r="AC86" i="1" s="1"/>
  <c r="AE5" i="1"/>
  <c r="AE19" i="1"/>
  <c r="AE101" i="1"/>
  <c r="AE6" i="1"/>
  <c r="AE107" i="1"/>
  <c r="AE159" i="1"/>
  <c r="AC159" i="1" s="1"/>
  <c r="AE90" i="1"/>
  <c r="AC90" i="1" s="1"/>
  <c r="AE136" i="1"/>
  <c r="AD136" i="1" s="1"/>
  <c r="AE145" i="1"/>
  <c r="AC145" i="1" s="1"/>
  <c r="AE31" i="1"/>
  <c r="AC31" i="1" s="1"/>
  <c r="AE96" i="1"/>
  <c r="AC96" i="1" s="1"/>
  <c r="AE52" i="1"/>
  <c r="AC52" i="1" s="1"/>
  <c r="AE193" i="1"/>
  <c r="AC193" i="1" s="1"/>
  <c r="AE125" i="1"/>
  <c r="AC125" i="1" s="1"/>
  <c r="AE163" i="1"/>
  <c r="AC163" i="1" s="1"/>
  <c r="AE94" i="1"/>
  <c r="AC94" i="1" s="1"/>
  <c r="AE164" i="1"/>
  <c r="AC164" i="1" s="1"/>
  <c r="AE165" i="1"/>
  <c r="AD165" i="1" s="1"/>
  <c r="AE188" i="1"/>
  <c r="AC188" i="1" s="1"/>
  <c r="AE21" i="1"/>
  <c r="AC21" i="1" s="1"/>
  <c r="AE46" i="1"/>
  <c r="AD46" i="1" s="1"/>
  <c r="AE189" i="1"/>
  <c r="AC189" i="1" s="1"/>
  <c r="AE112" i="1"/>
  <c r="AE143" i="1"/>
  <c r="AC143" i="1" s="1"/>
  <c r="AE182" i="1"/>
  <c r="AC182" i="1" s="1"/>
  <c r="AE40" i="1"/>
  <c r="AD40" i="1" s="1"/>
  <c r="AE48" i="1"/>
  <c r="AE106" i="1"/>
  <c r="AE97" i="1"/>
  <c r="AC97" i="1" s="1"/>
  <c r="AE130" i="1"/>
  <c r="AC130" i="1" s="1"/>
  <c r="AE72" i="1"/>
  <c r="AC72" i="1" s="1"/>
  <c r="AE113" i="1"/>
  <c r="AE16" i="1"/>
  <c r="AE42" i="1"/>
  <c r="AE117" i="1"/>
  <c r="AE104" i="1"/>
  <c r="AE47" i="1"/>
  <c r="AE103" i="1"/>
  <c r="AE3" i="1"/>
  <c r="AC3" i="1" s="1"/>
  <c r="AE115" i="1"/>
  <c r="AC115" i="1" s="1"/>
  <c r="AE152" i="1"/>
  <c r="AC152" i="1" s="1"/>
  <c r="AE25" i="1"/>
  <c r="AC25" i="1" s="1"/>
  <c r="AE95" i="1"/>
  <c r="AC95" i="1" s="1"/>
  <c r="AE99" i="1"/>
  <c r="AC99" i="1" s="1"/>
  <c r="AE61" i="1"/>
  <c r="AC61" i="1" s="1"/>
  <c r="AE63" i="1"/>
  <c r="AC63" i="1" s="1"/>
  <c r="AE22" i="1"/>
  <c r="AC22" i="1" s="1"/>
  <c r="AE30" i="1"/>
  <c r="AD30" i="1" s="1"/>
  <c r="AE120" i="1"/>
  <c r="AC120" i="1" s="1"/>
  <c r="AE24" i="1"/>
  <c r="AC24" i="1" s="1"/>
  <c r="AE35" i="1"/>
  <c r="AC35" i="1" s="1"/>
  <c r="AE56" i="1"/>
  <c r="AC56" i="1" s="1"/>
  <c r="AE28" i="1"/>
  <c r="AC28" i="1" s="1"/>
  <c r="AE171" i="1"/>
  <c r="AC171" i="1" s="1"/>
  <c r="AE57" i="1"/>
  <c r="AC57" i="1" s="1"/>
  <c r="AE144" i="1"/>
  <c r="AC144" i="1" s="1"/>
  <c r="AE161" i="1"/>
  <c r="AD161" i="1" s="1"/>
  <c r="AE174" i="1"/>
  <c r="AE181" i="1"/>
  <c r="AC181" i="1" s="1"/>
  <c r="AE138" i="1"/>
  <c r="AC138" i="1" s="1"/>
  <c r="AE69" i="1"/>
  <c r="AC69" i="1" s="1"/>
  <c r="AE167" i="1"/>
  <c r="AC167" i="1" s="1"/>
  <c r="AE37" i="1"/>
  <c r="AC37" i="1" s="1"/>
  <c r="AE55" i="1"/>
  <c r="AC55" i="1" s="1"/>
  <c r="AE88" i="1"/>
  <c r="AC88" i="1" s="1"/>
  <c r="AE38" i="1"/>
  <c r="AC38" i="1" s="1"/>
  <c r="AE134" i="1"/>
  <c r="AC134" i="1" s="1"/>
  <c r="AE65" i="1"/>
  <c r="AD65" i="1" s="1"/>
  <c r="AE160" i="1"/>
  <c r="AC160" i="1" s="1"/>
  <c r="AE51" i="1"/>
  <c r="AC51" i="1" s="1"/>
  <c r="AE177" i="1"/>
  <c r="AE53" i="1"/>
  <c r="AC53" i="1" s="1"/>
  <c r="AE137" i="1"/>
  <c r="AC137" i="1" s="1"/>
  <c r="AE186" i="1"/>
  <c r="AC186" i="1" s="1"/>
  <c r="AE9" i="1"/>
  <c r="AE49" i="1"/>
  <c r="AC49" i="1" s="1"/>
  <c r="AE118" i="1"/>
  <c r="AC118" i="1" s="1"/>
  <c r="AE77" i="1"/>
  <c r="AD77" i="1" s="1"/>
  <c r="AE54" i="1"/>
  <c r="AC54" i="1" s="1"/>
  <c r="AE169" i="1"/>
  <c r="AC169" i="1" s="1"/>
  <c r="AE71" i="1"/>
  <c r="AC71" i="1" s="1"/>
  <c r="AE196" i="1"/>
  <c r="AC196" i="1" s="1"/>
  <c r="AE170" i="1"/>
  <c r="AC170" i="1" s="1"/>
  <c r="AE142" i="1"/>
  <c r="AC142" i="1" s="1"/>
  <c r="AE73" i="1"/>
  <c r="AC73" i="1" s="1"/>
  <c r="AE50" i="1"/>
  <c r="AC50" i="1" s="1"/>
  <c r="AE76" i="1"/>
  <c r="AC76" i="1" s="1"/>
  <c r="AE7" i="1"/>
  <c r="AE23" i="1"/>
  <c r="AC23" i="1" s="1"/>
  <c r="AE36" i="1"/>
  <c r="AC36" i="1" s="1"/>
  <c r="AE122" i="1"/>
  <c r="AE105" i="1"/>
  <c r="AE190" i="1"/>
  <c r="AC190" i="1" s="1"/>
  <c r="AE128" i="1"/>
  <c r="AC128" i="1" s="1"/>
  <c r="AE108" i="1"/>
  <c r="AD108" i="1" s="1"/>
  <c r="AE13" i="1"/>
  <c r="AE14" i="1"/>
  <c r="AE173" i="1"/>
  <c r="AE12" i="1"/>
  <c r="AE15" i="1"/>
  <c r="AE8" i="1"/>
  <c r="AE172" i="1"/>
  <c r="AC172" i="1" s="1"/>
  <c r="AE58" i="1"/>
  <c r="AC58" i="1" s="1"/>
  <c r="AE178" i="1"/>
  <c r="AC178" i="1" s="1"/>
  <c r="AE59" i="1"/>
  <c r="AC59" i="1" s="1"/>
  <c r="AE75" i="1"/>
  <c r="AC75" i="1" s="1"/>
  <c r="AE84" i="1"/>
  <c r="AC84" i="1" s="1"/>
  <c r="AE154" i="1"/>
  <c r="AD154" i="1" s="1"/>
  <c r="AE85" i="1"/>
  <c r="AC85" i="1" s="1"/>
  <c r="AE187" i="1"/>
  <c r="AC187" i="1" s="1"/>
  <c r="AE131" i="1"/>
  <c r="AC131" i="1" s="1"/>
  <c r="AE62" i="1"/>
  <c r="AC62" i="1" s="1"/>
  <c r="AE194" i="1"/>
  <c r="AC194" i="1" s="1"/>
  <c r="AE132" i="1"/>
  <c r="AC132" i="1" s="1"/>
  <c r="AE87" i="1"/>
  <c r="AC87" i="1" s="1"/>
  <c r="AE168" i="1"/>
  <c r="AC168" i="1" s="1"/>
  <c r="AE157" i="1"/>
  <c r="AC157" i="1" s="1"/>
  <c r="AE150" i="1"/>
  <c r="AC150" i="1" s="1"/>
  <c r="AE81" i="1"/>
  <c r="AC81" i="1" s="1"/>
  <c r="AE67" i="1"/>
  <c r="AC67" i="1" s="1"/>
  <c r="AE184" i="1"/>
  <c r="AC184" i="1" s="1"/>
  <c r="AA112" i="1"/>
  <c r="AA43" i="1"/>
  <c r="AA6" i="1"/>
  <c r="AA104" i="1"/>
  <c r="AA176" i="1"/>
  <c r="AA19" i="1"/>
  <c r="AA174" i="1"/>
  <c r="AA126" i="1"/>
  <c r="AA48" i="1"/>
  <c r="AA105" i="1"/>
  <c r="AA107" i="1"/>
  <c r="AA122" i="1"/>
  <c r="AA14" i="1"/>
  <c r="AA175" i="1"/>
  <c r="AA111" i="1"/>
  <c r="AA113" i="1"/>
  <c r="AA179" i="1"/>
  <c r="AA18" i="1"/>
  <c r="AA100" i="1"/>
  <c r="AA47" i="1"/>
  <c r="AA117" i="1"/>
  <c r="AA7" i="1"/>
  <c r="AA5" i="1"/>
  <c r="AA8" i="1"/>
  <c r="AA10" i="1"/>
  <c r="AA17" i="1"/>
  <c r="AA106" i="1"/>
  <c r="AA11" i="1"/>
  <c r="AA9" i="1"/>
  <c r="AA45" i="1"/>
  <c r="AA16" i="1"/>
  <c r="AA183" i="1"/>
  <c r="AA123" i="1"/>
  <c r="AA20" i="1"/>
  <c r="AA101" i="1"/>
  <c r="AA173" i="1"/>
  <c r="AA124" i="1"/>
  <c r="AA44" i="1"/>
  <c r="AA102" i="1"/>
  <c r="AA110" i="1"/>
  <c r="AA42" i="1"/>
  <c r="AA12" i="1"/>
  <c r="AA177" i="1"/>
  <c r="AA15" i="1"/>
  <c r="AA13" i="1"/>
  <c r="AC123" i="1" l="1"/>
  <c r="AC18" i="1"/>
  <c r="AC10" i="1"/>
  <c r="AD105" i="1"/>
  <c r="AD174" i="1"/>
  <c r="AC7" i="1"/>
  <c r="AD126" i="1"/>
  <c r="AC15" i="1"/>
  <c r="AC100" i="1"/>
  <c r="AD176" i="1"/>
  <c r="AD122" i="1"/>
  <c r="AD48" i="1"/>
  <c r="AC45" i="1"/>
  <c r="AC17" i="1"/>
  <c r="AC173" i="1"/>
  <c r="AC110" i="1"/>
  <c r="AC47" i="1"/>
  <c r="AC12" i="1"/>
  <c r="AC106" i="1"/>
  <c r="AC5" i="1"/>
  <c r="AC8" i="1"/>
  <c r="AC175" i="1"/>
  <c r="AD107" i="1"/>
  <c r="AD19" i="1"/>
  <c r="AC183" i="1"/>
  <c r="AD6" i="1"/>
  <c r="AD104" i="1"/>
  <c r="AC43" i="1"/>
  <c r="AC9" i="1"/>
  <c r="AC11" i="1"/>
  <c r="AC111" i="1"/>
  <c r="AC13" i="1"/>
  <c r="AC101" i="1"/>
  <c r="AD112" i="1"/>
  <c r="AC20" i="1"/>
  <c r="AC113" i="1"/>
  <c r="AC16" i="1"/>
  <c r="AC124" i="1"/>
  <c r="AD14" i="1"/>
  <c r="AC42" i="1"/>
  <c r="AC179" i="1"/>
  <c r="AC102" i="1"/>
  <c r="AC117" i="1"/>
  <c r="AC177" i="1"/>
  <c r="AC44" i="1"/>
  <c r="AD44" i="1"/>
  <c r="AC103" i="1"/>
  <c r="AD103" i="1"/>
  <c r="AD10" i="1"/>
  <c r="AD100" i="1"/>
  <c r="AC98" i="1"/>
  <c r="AC136" i="1"/>
  <c r="AC4" i="1"/>
  <c r="AC126" i="1"/>
  <c r="AD125" i="1"/>
  <c r="AD135" i="1"/>
  <c r="AD166" i="1"/>
  <c r="AD109" i="1"/>
  <c r="AD151" i="1"/>
  <c r="AD153" i="1"/>
  <c r="AD132" i="1"/>
  <c r="AD119" i="1"/>
  <c r="AD160" i="1"/>
  <c r="AD195" i="1"/>
  <c r="AD128" i="1"/>
  <c r="AD87" i="1"/>
  <c r="AD147" i="1"/>
  <c r="AD83" i="1"/>
  <c r="AD32" i="1"/>
  <c r="AD68" i="1"/>
  <c r="AD79" i="1"/>
  <c r="AD139" i="1"/>
  <c r="AD181" i="1"/>
  <c r="AD13" i="1"/>
  <c r="AD124" i="1"/>
  <c r="AD16" i="1"/>
  <c r="AD18" i="1"/>
  <c r="AC174" i="1"/>
  <c r="AC6" i="1"/>
  <c r="AC108" i="1"/>
  <c r="AD64" i="1"/>
  <c r="AD43" i="1"/>
  <c r="AD94" i="1"/>
  <c r="AD146" i="1"/>
  <c r="AD88" i="1"/>
  <c r="AD33" i="1"/>
  <c r="AD115" i="1"/>
  <c r="AD69" i="1"/>
  <c r="AD97" i="1"/>
  <c r="AD80" i="1"/>
  <c r="AD145" i="1"/>
  <c r="AD55" i="1"/>
  <c r="AD36" i="1"/>
  <c r="AD50" i="1"/>
  <c r="AD187" i="1"/>
  <c r="AD25" i="1"/>
  <c r="AD168" i="1"/>
  <c r="AD22" i="1"/>
  <c r="AD75" i="1"/>
  <c r="AD15" i="1"/>
  <c r="AD173" i="1"/>
  <c r="AD45" i="1"/>
  <c r="AC40" i="1"/>
  <c r="AC46" i="1"/>
  <c r="AC165" i="1"/>
  <c r="AD180" i="1"/>
  <c r="AD62" i="1"/>
  <c r="AD130" i="1"/>
  <c r="AD56" i="1"/>
  <c r="AD82" i="1"/>
  <c r="AD193" i="1"/>
  <c r="AD26" i="1"/>
  <c r="AD197" i="1"/>
  <c r="AD95" i="1"/>
  <c r="AD156" i="1"/>
  <c r="AD34" i="1"/>
  <c r="AD152" i="1"/>
  <c r="AD72" i="1"/>
  <c r="AD137" i="1"/>
  <c r="AD148" i="1"/>
  <c r="AD192" i="1"/>
  <c r="AD127" i="1"/>
  <c r="AD177" i="1"/>
  <c r="AD101" i="1"/>
  <c r="AD9" i="1"/>
  <c r="AD8" i="1"/>
  <c r="AD113" i="1"/>
  <c r="AC30" i="1"/>
  <c r="AC114" i="1"/>
  <c r="AD133" i="1"/>
  <c r="AD186" i="1"/>
  <c r="AD163" i="1"/>
  <c r="AD66" i="1"/>
  <c r="AD3" i="1"/>
  <c r="AD157" i="1"/>
  <c r="AD86" i="1"/>
  <c r="AD138" i="1"/>
  <c r="AD196" i="1"/>
  <c r="AD149" i="1"/>
  <c r="AD169" i="1"/>
  <c r="AD93" i="1"/>
  <c r="AD29" i="1"/>
  <c r="AD31" i="1"/>
  <c r="AD37" i="1"/>
  <c r="AD85" i="1"/>
  <c r="AD144" i="1"/>
  <c r="AD12" i="1"/>
  <c r="AD20" i="1"/>
  <c r="AD11" i="1"/>
  <c r="AD5" i="1"/>
  <c r="AC14" i="1"/>
  <c r="AC154" i="1"/>
  <c r="AC65" i="1"/>
  <c r="AD53" i="1"/>
  <c r="AD71" i="1"/>
  <c r="AD131" i="1"/>
  <c r="AD116" i="1"/>
  <c r="AD89" i="1"/>
  <c r="AD170" i="1"/>
  <c r="AD58" i="1"/>
  <c r="AD54" i="1"/>
  <c r="AD81" i="1"/>
  <c r="AD38" i="1"/>
  <c r="AD74" i="1"/>
  <c r="AD61" i="1"/>
  <c r="AD188" i="1"/>
  <c r="AD141" i="1"/>
  <c r="AD159" i="1"/>
  <c r="AD52" i="1"/>
  <c r="AD39" i="1"/>
  <c r="AD42" i="1"/>
  <c r="AD123" i="1"/>
  <c r="AD7" i="1"/>
  <c r="AD179" i="1"/>
  <c r="AD111" i="1"/>
  <c r="AD2" i="1"/>
  <c r="AD92" i="1"/>
  <c r="AD35" i="1"/>
  <c r="AD49" i="1"/>
  <c r="AD67" i="1"/>
  <c r="AD57" i="1"/>
  <c r="AD191" i="1"/>
  <c r="AD121" i="1"/>
  <c r="AD155" i="1"/>
  <c r="AD172" i="1"/>
  <c r="AD178" i="1"/>
  <c r="AD185" i="1"/>
  <c r="AD162" i="1"/>
  <c r="AD73" i="1"/>
  <c r="AD28" i="1"/>
  <c r="AD120" i="1"/>
  <c r="AD110" i="1"/>
  <c r="AD183" i="1"/>
  <c r="AD106" i="1"/>
  <c r="AD117" i="1"/>
  <c r="AC27" i="1"/>
  <c r="AD134" i="1"/>
  <c r="AD60" i="1"/>
  <c r="AD140" i="1"/>
  <c r="AD184" i="1"/>
  <c r="AD23" i="1"/>
  <c r="AD158" i="1"/>
  <c r="AD84" i="1"/>
  <c r="AD63" i="1"/>
  <c r="AD129" i="1"/>
  <c r="AD91" i="1"/>
  <c r="AD150" i="1"/>
  <c r="AD182" i="1"/>
  <c r="AD78" i="1"/>
  <c r="AD99" i="1"/>
  <c r="AD41" i="1"/>
  <c r="AD189" i="1"/>
  <c r="AD175" i="1"/>
  <c r="AD70" i="1"/>
  <c r="AD96" i="1"/>
  <c r="AD102" i="1"/>
  <c r="AD17" i="1"/>
  <c r="AD47" i="1"/>
  <c r="AC161" i="1"/>
  <c r="AC77" i="1"/>
  <c r="AD90" i="1"/>
  <c r="AD24" i="1"/>
  <c r="AD171" i="1"/>
  <c r="AD51" i="1"/>
  <c r="AD164" i="1"/>
  <c r="AD143" i="1"/>
  <c r="AD59" i="1"/>
  <c r="AD21" i="1"/>
  <c r="AD76" i="1"/>
  <c r="AD167" i="1"/>
  <c r="AD190" i="1"/>
  <c r="AD142" i="1"/>
  <c r="AD118" i="1"/>
  <c r="AD194" i="1"/>
  <c r="AC104" i="1"/>
  <c r="AC105" i="1"/>
  <c r="AC107" i="1"/>
  <c r="AC176" i="1"/>
  <c r="AC48" i="1"/>
  <c r="AC112" i="1"/>
  <c r="AC19" i="1"/>
  <c r="AC122" i="1"/>
</calcChain>
</file>

<file path=xl/sharedStrings.xml><?xml version="1.0" encoding="utf-8"?>
<sst xmlns="http://schemas.openxmlformats.org/spreadsheetml/2006/main" count="1835" uniqueCount="252">
  <si>
    <t>BC Hydro Names</t>
  </si>
  <si>
    <t>Project Type</t>
  </si>
  <si>
    <t>Region</t>
  </si>
  <si>
    <t>Latitude</t>
  </si>
  <si>
    <t>Longitude</t>
  </si>
  <si>
    <t>Installed Capacity (MW)</t>
  </si>
  <si>
    <t>Dependable Generating Capacity (MW)</t>
  </si>
  <si>
    <t>Effective Load-Carrying Capacity (MW)</t>
  </si>
  <si>
    <t>Annual Firm Energy (GWh/yr)</t>
  </si>
  <si>
    <t>UEC ($/MWh)</t>
  </si>
  <si>
    <t>UCC ($/kW-yr)</t>
  </si>
  <si>
    <t>R1 Length (km)</t>
  </si>
  <si>
    <t>T1 Length (km)</t>
  </si>
  <si>
    <t>Line Voltage</t>
  </si>
  <si>
    <t>Plateau or Ridgeline - WIND</t>
  </si>
  <si>
    <t>Footprint of Plant (ha) - SOLAR</t>
  </si>
  <si>
    <t>Footprint of Panels (ha) - SOLAR</t>
  </si>
  <si>
    <t>Raw Terrestrial Score</t>
  </si>
  <si>
    <t>Raw Freshwater Score</t>
  </si>
  <si>
    <t>Summed Raw Scores</t>
  </si>
  <si>
    <t>Battery</t>
  </si>
  <si>
    <t>Vancouver Island</t>
  </si>
  <si>
    <t>NA</t>
  </si>
  <si>
    <t>Canoe Creek - Valemount</t>
  </si>
  <si>
    <t>Geothermal</t>
  </si>
  <si>
    <t>Kelly Nicola</t>
  </si>
  <si>
    <t>Clarke Lake</t>
  </si>
  <si>
    <t>Peace River</t>
  </si>
  <si>
    <t>Jedney Area</t>
  </si>
  <si>
    <t>Lakelse Lake</t>
  </si>
  <si>
    <t>North Coast</t>
  </si>
  <si>
    <t>Meager Creek</t>
  </si>
  <si>
    <t>Lower Mainland</t>
  </si>
  <si>
    <t>Mt. Cayley</t>
  </si>
  <si>
    <t>Pebble Creek</t>
  </si>
  <si>
    <t>Sloquet Creek</t>
  </si>
  <si>
    <t>MSW 1</t>
  </si>
  <si>
    <t>Biomass</t>
  </si>
  <si>
    <t>MSW 2</t>
  </si>
  <si>
    <t>MSW 3</t>
  </si>
  <si>
    <t>Selkirk</t>
  </si>
  <si>
    <t>Bookhout 2</t>
  </si>
  <si>
    <t>Pumped Storage</t>
  </si>
  <si>
    <t>Hirsch - storage for 16 hrs of generation</t>
  </si>
  <si>
    <t>Kenyon - Stave</t>
  </si>
  <si>
    <t>Lower Falls - storage for 16 hrs of generation</t>
  </si>
  <si>
    <t>Quimper - Bulson</t>
  </si>
  <si>
    <t>Sleeman - storage for 16 hrs of generation</t>
  </si>
  <si>
    <t>Upper Clore - Storage for 16 hrs of generation</t>
  </si>
  <si>
    <t>Upper Deserted - Un-named</t>
  </si>
  <si>
    <t>Upper Misery - Lower Misery</t>
  </si>
  <si>
    <t>Upper Vancouver - Lower Vancouver</t>
  </si>
  <si>
    <t>ROR_5018</t>
  </si>
  <si>
    <t>Run of River</t>
  </si>
  <si>
    <t>ROR_5101</t>
  </si>
  <si>
    <t>ROR_5332</t>
  </si>
  <si>
    <t>Mica</t>
  </si>
  <si>
    <t>Solar35274</t>
  </si>
  <si>
    <t>Solar</t>
  </si>
  <si>
    <t>Central Interior</t>
  </si>
  <si>
    <t>Solar35279</t>
  </si>
  <si>
    <t>Solar36063</t>
  </si>
  <si>
    <t>Solar36070</t>
  </si>
  <si>
    <t>Solar36073</t>
  </si>
  <si>
    <t>Solar36074</t>
  </si>
  <si>
    <t>Solar36893</t>
  </si>
  <si>
    <t>Solar36894</t>
  </si>
  <si>
    <t>Solar37703</t>
  </si>
  <si>
    <t>Solar37705</t>
  </si>
  <si>
    <t>Solar37706</t>
  </si>
  <si>
    <t>Solar37707</t>
  </si>
  <si>
    <t>Solar37708</t>
  </si>
  <si>
    <t>Solar38465</t>
  </si>
  <si>
    <t>Solar62049</t>
  </si>
  <si>
    <t>Solar65978</t>
  </si>
  <si>
    <t>Solar67498</t>
  </si>
  <si>
    <t>Solar69283</t>
  </si>
  <si>
    <t>Solar69284</t>
  </si>
  <si>
    <t>Solar70163</t>
  </si>
  <si>
    <t>Solar70164</t>
  </si>
  <si>
    <t>Solar70167</t>
  </si>
  <si>
    <t>Solar70982</t>
  </si>
  <si>
    <t>Solar70986</t>
  </si>
  <si>
    <t>Solar70988</t>
  </si>
  <si>
    <t>Solar70989</t>
  </si>
  <si>
    <t>Solar70993</t>
  </si>
  <si>
    <t>Solar71004</t>
  </si>
  <si>
    <t>Revelstoke</t>
  </si>
  <si>
    <t>Solar71774</t>
  </si>
  <si>
    <t>Solar72534</t>
  </si>
  <si>
    <t>Solar72543</t>
  </si>
  <si>
    <t>Solar73988</t>
  </si>
  <si>
    <t>Solar76979</t>
  </si>
  <si>
    <t>Solar78421</t>
  </si>
  <si>
    <t>Solar79910</t>
  </si>
  <si>
    <t>East Kootenay</t>
  </si>
  <si>
    <t>Anudol_Creek_A-8hr</t>
  </si>
  <si>
    <t>Small Storage Hydro</t>
  </si>
  <si>
    <t>Ball_Creek-8hr</t>
  </si>
  <si>
    <t>Chemainus_River-8hr</t>
  </si>
  <si>
    <t>Elaho_River-8hr</t>
  </si>
  <si>
    <t>Freda_Creek-8hr</t>
  </si>
  <si>
    <t>Kinskuch_River-8hr</t>
  </si>
  <si>
    <t>More_Creek-8hr</t>
  </si>
  <si>
    <t>Nahatlatch_River-8hr</t>
  </si>
  <si>
    <t>Nass_River-8hr</t>
  </si>
  <si>
    <t>Nimpkish_River_B-8hr</t>
  </si>
  <si>
    <t>Silverhope_Creek-8hr</t>
  </si>
  <si>
    <t>Siwash_Creek-8hr</t>
  </si>
  <si>
    <t>South_Creek-8hr</t>
  </si>
  <si>
    <t>Spuzzum_Creek-8hr</t>
  </si>
  <si>
    <t>Squamish_River_B-8hr</t>
  </si>
  <si>
    <t>Zymoetz_River-8hr</t>
  </si>
  <si>
    <t>BC08</t>
  </si>
  <si>
    <t>Onshore Wind</t>
  </si>
  <si>
    <t>P</t>
  </si>
  <si>
    <t>BC09</t>
  </si>
  <si>
    <t>BC10</t>
  </si>
  <si>
    <t>BC11</t>
  </si>
  <si>
    <t>BC13</t>
  </si>
  <si>
    <t>BC15</t>
  </si>
  <si>
    <t>BC17</t>
  </si>
  <si>
    <t>BC18</t>
  </si>
  <si>
    <t>BC19</t>
  </si>
  <si>
    <t>BC20</t>
  </si>
  <si>
    <t>BC21</t>
  </si>
  <si>
    <t>BC22</t>
  </si>
  <si>
    <t>BC23</t>
  </si>
  <si>
    <t>BC24</t>
  </si>
  <si>
    <t>BC25</t>
  </si>
  <si>
    <t>BC26</t>
  </si>
  <si>
    <t>NC01</t>
  </si>
  <si>
    <t>NC02</t>
  </si>
  <si>
    <t>NC05</t>
  </si>
  <si>
    <t>NC06</t>
  </si>
  <si>
    <t>NC07</t>
  </si>
  <si>
    <t>R</t>
  </si>
  <si>
    <t>NC08</t>
  </si>
  <si>
    <t>NC09</t>
  </si>
  <si>
    <t>NC10</t>
  </si>
  <si>
    <t>NC11</t>
  </si>
  <si>
    <t>NC12</t>
  </si>
  <si>
    <t>NC13</t>
  </si>
  <si>
    <t>PC01</t>
  </si>
  <si>
    <t>PC02</t>
  </si>
  <si>
    <t>PC04</t>
  </si>
  <si>
    <t>PC05</t>
  </si>
  <si>
    <t>PC06</t>
  </si>
  <si>
    <t>PC07</t>
  </si>
  <si>
    <t>PC08</t>
  </si>
  <si>
    <t>PC09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</si>
  <si>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</si>
  <si>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</si>
  <si>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</si>
  <si>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</si>
  <si>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</si>
  <si>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</si>
  <si>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</si>
  <si>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</si>
  <si>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</si>
  <si>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</si>
  <si>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</si>
  <si>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</si>
  <si>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</si>
  <si>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</si>
  <si>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</si>
  <si>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</si>
  <si>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</si>
  <si>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</si>
  <si>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</si>
  <si>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</si>
  <si>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PC32</t>
  </si>
  <si>
    <t>PC34</t>
  </si>
  <si>
    <t>PC36</t>
  </si>
  <si>
    <t>PC37</t>
  </si>
  <si>
    <t>PC38</t>
  </si>
  <si>
    <t>PC39</t>
  </si>
  <si>
    <t>PC40</t>
  </si>
  <si>
    <t>PC41</t>
  </si>
  <si>
    <t>PC42</t>
  </si>
  <si>
    <t>PC43</t>
  </si>
  <si>
    <t>PC46</t>
  </si>
  <si>
    <t>PC47</t>
  </si>
  <si>
    <t>PC48</t>
  </si>
  <si>
    <t>SI01</t>
  </si>
  <si>
    <t>SI02</t>
  </si>
  <si>
    <t>SI03</t>
  </si>
  <si>
    <t>SI04</t>
  </si>
  <si>
    <t>Both</t>
  </si>
  <si>
    <t>SI05</t>
  </si>
  <si>
    <t>SI06</t>
  </si>
  <si>
    <t>SI08</t>
  </si>
  <si>
    <t>SI09</t>
  </si>
  <si>
    <t>SI10</t>
  </si>
  <si>
    <t>SI11</t>
  </si>
  <si>
    <t>SI12</t>
  </si>
  <si>
    <t>SI13</t>
  </si>
  <si>
    <t>SI14</t>
  </si>
  <si>
    <t>SI15</t>
  </si>
  <si>
    <t>SI18</t>
  </si>
  <si>
    <t>SI19</t>
  </si>
  <si>
    <t>SI20</t>
  </si>
  <si>
    <t>SI22</t>
  </si>
  <si>
    <t>SI23</t>
  </si>
  <si>
    <t>SI27</t>
  </si>
  <si>
    <t>SI28</t>
  </si>
  <si>
    <t>SI29</t>
  </si>
  <si>
    <t>SI30</t>
  </si>
  <si>
    <t>SI31</t>
  </si>
  <si>
    <t>SI33</t>
  </si>
  <si>
    <t>SI37</t>
  </si>
  <si>
    <t>SI38</t>
  </si>
  <si>
    <t>VI02</t>
  </si>
  <si>
    <t>VI04</t>
  </si>
  <si>
    <t>VI05</t>
  </si>
  <si>
    <t>VI06</t>
  </si>
  <si>
    <t>VI07</t>
  </si>
  <si>
    <t>VI08</t>
  </si>
  <si>
    <t>VI09</t>
  </si>
  <si>
    <t>VI10</t>
  </si>
  <si>
    <t>VI11</t>
  </si>
  <si>
    <t>VI12</t>
  </si>
  <si>
    <t>VI13</t>
  </si>
  <si>
    <t>VI14</t>
  </si>
  <si>
    <t>VI15</t>
  </si>
  <si>
    <t>WBBio_CB_RR</t>
  </si>
  <si>
    <t>WBBio_LM_RR</t>
  </si>
  <si>
    <t>WBBio_LM_ST_1</t>
  </si>
  <si>
    <t>WBBio_LM_ST_2</t>
  </si>
  <si>
    <t>WBBio_NE_ST_1</t>
  </si>
  <si>
    <t>WBBio_NE_ST_2</t>
  </si>
  <si>
    <t>WBBio_NE_ST_3</t>
  </si>
  <si>
    <t>WBBio_NW_ST</t>
  </si>
  <si>
    <t>WBBio_SP_RR</t>
  </si>
  <si>
    <t>WBBio_SP_ST</t>
  </si>
  <si>
    <t>WBBio_WPR_PL</t>
  </si>
  <si>
    <t>Knight - Fourth</t>
  </si>
  <si>
    <t>Municipal Solid Waste</t>
  </si>
  <si>
    <t>Number of Turbines - WIND</t>
  </si>
  <si>
    <t>ATG (ha)</t>
  </si>
  <si>
    <t>Notes</t>
  </si>
  <si>
    <t>Terrestrial % of Summed Score</t>
  </si>
  <si>
    <t>Freshwater % of Summed Score</t>
  </si>
  <si>
    <t>Scaled Summed Score</t>
  </si>
  <si>
    <t>Linear Features (km)</t>
  </si>
  <si>
    <t>Terrestrial Proportion of Scaled Score</t>
  </si>
  <si>
    <t>Freshwater Proportion of Scaled Score</t>
  </si>
  <si>
    <t>Linear Area (ha)</t>
  </si>
  <si>
    <t>ATG/Linear Ratio</t>
  </si>
  <si>
    <t>In 2021?</t>
  </si>
  <si>
    <t>y</t>
  </si>
  <si>
    <t>Batt_VI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</si>
</sst>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" fontId="5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0" fillId="0" borderId="1" xfId="1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</cellXfs>
  <cellStyles count="3">
    <cellStyle name="Comma" xfId="1" builtinId="3"/>
    <cellStyle name="Normal" xfId="0" builtinId="0"/>
    <cellStyle name="Normal 2 2" xfId="2" xr:uid="{4C9ABCE0-DE0E-40CC-9FE3-15F4DD800425}"/>
  </cellStyles>
  <dxfs count="46"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color theme="2" tint="-0.24994659260841701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border outline="0"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'All projects'!$AC$1</c:f>
              <c:strCache>
                <c:ptCount val="1"/>
                <c:pt idx="0">
                  <c:v>Terrestrial Proportion of Scaled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projects'!$A$2:$A$197</c:f>
              <c:strCache>
                <c:ptCount val="196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Bookhout 2</c:v>
                </c:pt>
                <c:pt idx="20">
                  <c:v>Canoe Creek - Valemount</c:v>
                </c:pt>
                <c:pt idx="21">
                  <c:v>Chemainus_River-8hr</c:v>
                </c:pt>
                <c:pt idx="22">
                  <c:v>Clarke Lake</c:v>
                </c:pt>
                <c:pt idx="23">
                  <c:v>Elaho_River-8hr</c:v>
                </c:pt>
                <c:pt idx="24">
                  <c:v>Freda_Creek-8hr</c:v>
                </c:pt>
                <c:pt idx="25">
                  <c:v>Hirsch - storage for 16 hrs of generation</c:v>
                </c:pt>
                <c:pt idx="26">
                  <c:v>Jedney Area</c:v>
                </c:pt>
                <c:pt idx="27">
                  <c:v>Kenyon - Stave</c:v>
                </c:pt>
                <c:pt idx="28">
                  <c:v>Kinskuch_River-8hr</c:v>
                </c:pt>
                <c:pt idx="29">
                  <c:v>Knight - Fourth</c:v>
                </c:pt>
                <c:pt idx="30">
                  <c:v>Lakelse Lake</c:v>
                </c:pt>
                <c:pt idx="31">
                  <c:v>Lower Falls - storage for 16 hrs of generation</c:v>
                </c:pt>
                <c:pt idx="32">
                  <c:v>Meager Creek</c:v>
                </c:pt>
                <c:pt idx="33">
                  <c:v>More_Creek-8hr</c:v>
                </c:pt>
                <c:pt idx="34">
                  <c:v>MSW 1</c:v>
                </c:pt>
                <c:pt idx="35">
                  <c:v>MSW 2</c:v>
                </c:pt>
                <c:pt idx="36">
                  <c:v>MSW 3</c:v>
                </c:pt>
                <c:pt idx="37">
                  <c:v>Mt. Cayley</c:v>
                </c:pt>
                <c:pt idx="38">
                  <c:v>Nahatlatch_River-8hr</c:v>
                </c:pt>
                <c:pt idx="39">
                  <c:v>Nass_River-8hr</c:v>
                </c:pt>
                <c:pt idx="40">
                  <c:v>NC01</c:v>
                </c:pt>
                <c:pt idx="41">
                  <c:v>NC02</c:v>
                </c:pt>
                <c:pt idx="42">
                  <c:v>NC05</c:v>
                </c:pt>
                <c:pt idx="43">
                  <c:v>NC06</c:v>
                </c:pt>
                <c:pt idx="44">
                  <c:v>NC07</c:v>
                </c:pt>
                <c:pt idx="45">
                  <c:v>NC08</c:v>
                </c:pt>
                <c:pt idx="46">
                  <c:v>NC09</c:v>
                </c:pt>
                <c:pt idx="47">
                  <c:v>NC10</c:v>
                </c:pt>
                <c:pt idx="48">
                  <c:v>NC11</c:v>
                </c:pt>
                <c:pt idx="49">
                  <c:v>NC12</c:v>
                </c:pt>
                <c:pt idx="50">
                  <c:v>NC13</c:v>
                </c:pt>
                <c:pt idx="51">
                  <c:v>Nimpkish_River_B-8hr</c:v>
                </c:pt>
                <c:pt idx="52">
                  <c:v>PC01</c:v>
                </c:pt>
                <c:pt idx="53">
                  <c:v>PC02</c:v>
                </c:pt>
                <c:pt idx="54">
                  <c:v>PC04</c:v>
                </c:pt>
                <c:pt idx="55">
                  <c:v>PC05</c:v>
                </c:pt>
                <c:pt idx="56">
                  <c:v>PC06</c:v>
                </c:pt>
                <c:pt idx="57">
                  <c:v>PC07</c:v>
                </c:pt>
                <c:pt idx="58">
                  <c:v>PC08</c:v>
                </c:pt>
                <c:pt idx="59">
                  <c:v>PC09</c:v>
                </c:pt>
                <c:pt idx="60">
                  <c:v>PC10</c:v>
                </c:pt>
                <c:pt idx="61">
                  <c:v>PC11</c:v>
                </c:pt>
                <c:pt idx="62">
                  <c:v>PC12</c:v>
                </c:pt>
                <c:pt idx="63">
                  <c:v>PC13</c:v>
                </c:pt>
                <c:pt idx="64">
                  <c:v>PC14</c:v>
                </c:pt>
                <c:pt idx="65">
                  <c:v>PC15</c:v>
                </c:pt>
                <c:pt idx="66">
                  <c:v>PC16</c:v>
                </c:pt>
                <c:pt idx="67">
                  <c:v>PC17</c:v>
                </c:pt>
                <c:pt idx="68">
                  <c:v>PC18</c:v>
                </c:pt>
                <c:pt idx="69">
                  <c:v>PC19</c:v>
                </c:pt>
                <c:pt idx="70">
                  <c:v>PC20</c:v>
                </c:pt>
                <c:pt idx="71">
                  <c:v>PC21</c:v>
                </c:pt>
                <c:pt idx="72">
                  <c:v>PC22</c:v>
                </c:pt>
                <c:pt idx="73">
                  <c:v>PC23</c:v>
                </c:pt>
                <c:pt idx="74">
                  <c:v>PC24</c:v>
                </c:pt>
                <c:pt idx="75">
                  <c:v>PC25</c:v>
                </c:pt>
                <c:pt idx="76">
                  <c:v>PC26</c:v>
                </c:pt>
                <c:pt idx="77">
                  <c:v>PC27</c:v>
                </c:pt>
                <c:pt idx="78">
                  <c:v>PC28</c:v>
                </c:pt>
                <c:pt idx="79">
                  <c:v>PC29</c:v>
                </c:pt>
                <c:pt idx="80">
                  <c:v>PC32</c:v>
                </c:pt>
                <c:pt idx="81">
                  <c:v>PC34</c:v>
                </c:pt>
                <c:pt idx="82">
                  <c:v>PC36</c:v>
                </c:pt>
                <c:pt idx="83">
                  <c:v>PC37</c:v>
                </c:pt>
                <c:pt idx="84">
                  <c:v>PC38</c:v>
                </c:pt>
                <c:pt idx="85">
                  <c:v>PC39</c:v>
                </c:pt>
                <c:pt idx="86">
                  <c:v>PC40</c:v>
                </c:pt>
                <c:pt idx="87">
                  <c:v>PC41</c:v>
                </c:pt>
                <c:pt idx="88">
                  <c:v>PC42</c:v>
                </c:pt>
                <c:pt idx="89">
                  <c:v>PC43</c:v>
                </c:pt>
                <c:pt idx="90">
                  <c:v>PC46</c:v>
                </c:pt>
                <c:pt idx="91">
                  <c:v>PC47</c:v>
                </c:pt>
                <c:pt idx="92">
                  <c:v>PC48</c:v>
                </c:pt>
                <c:pt idx="93">
                  <c:v>Pebble Creek</c:v>
                </c:pt>
                <c:pt idx="94">
                  <c:v>Quimper - Bulson</c:v>
                </c:pt>
                <c:pt idx="95">
                  <c:v>ROR_5018</c:v>
                </c:pt>
                <c:pt idx="96">
                  <c:v>ROR_5101</c:v>
                </c:pt>
                <c:pt idx="97">
                  <c:v>ROR_5332</c:v>
                </c:pt>
                <c:pt idx="98">
                  <c:v>SI01</c:v>
                </c:pt>
                <c:pt idx="99">
                  <c:v>SI02</c:v>
                </c:pt>
                <c:pt idx="100">
                  <c:v>SI03</c:v>
                </c:pt>
                <c:pt idx="101">
                  <c:v>SI04</c:v>
                </c:pt>
                <c:pt idx="102">
                  <c:v>SI05</c:v>
                </c:pt>
                <c:pt idx="103">
                  <c:v>SI06</c:v>
                </c:pt>
                <c:pt idx="104">
                  <c:v>SI08</c:v>
                </c:pt>
                <c:pt idx="105">
                  <c:v>SI09</c:v>
                </c:pt>
                <c:pt idx="106">
                  <c:v>SI10</c:v>
                </c:pt>
                <c:pt idx="107">
                  <c:v>SI11</c:v>
                </c:pt>
                <c:pt idx="108">
                  <c:v>SI12</c:v>
                </c:pt>
                <c:pt idx="109">
                  <c:v>SI13</c:v>
                </c:pt>
                <c:pt idx="110">
                  <c:v>SI14</c:v>
                </c:pt>
                <c:pt idx="111">
                  <c:v>SI15</c:v>
                </c:pt>
                <c:pt idx="112">
                  <c:v>SI18</c:v>
                </c:pt>
                <c:pt idx="113">
                  <c:v>SI19</c:v>
                </c:pt>
                <c:pt idx="114">
                  <c:v>SI20</c:v>
                </c:pt>
                <c:pt idx="115">
                  <c:v>SI22</c:v>
                </c:pt>
                <c:pt idx="116">
                  <c:v>SI23</c:v>
                </c:pt>
                <c:pt idx="117">
                  <c:v>SI27</c:v>
                </c:pt>
                <c:pt idx="118">
                  <c:v>SI28</c:v>
                </c:pt>
                <c:pt idx="119">
                  <c:v>SI29</c:v>
                </c:pt>
                <c:pt idx="120">
                  <c:v>SI30</c:v>
                </c:pt>
                <c:pt idx="121">
                  <c:v>SI31</c:v>
                </c:pt>
                <c:pt idx="122">
                  <c:v>SI33</c:v>
                </c:pt>
                <c:pt idx="123">
                  <c:v>SI37</c:v>
                </c:pt>
                <c:pt idx="124">
                  <c:v>SI38</c:v>
                </c:pt>
                <c:pt idx="125">
                  <c:v>Silverhope_Creek-8hr</c:v>
                </c:pt>
                <c:pt idx="126">
                  <c:v>Siwash_Creek-8hr</c:v>
                </c:pt>
                <c:pt idx="127">
                  <c:v>Sleeman - storage for 16 hrs of generation</c:v>
                </c:pt>
                <c:pt idx="128">
                  <c:v>Sloquet Creek</c:v>
                </c:pt>
                <c:pt idx="129">
                  <c:v>Solar35274</c:v>
                </c:pt>
                <c:pt idx="130">
                  <c:v>Solar35279</c:v>
                </c:pt>
                <c:pt idx="131">
                  <c:v>Solar36063</c:v>
                </c:pt>
                <c:pt idx="132">
                  <c:v>Solar36070</c:v>
                </c:pt>
                <c:pt idx="133">
                  <c:v>Solar36073</c:v>
                </c:pt>
                <c:pt idx="134">
                  <c:v>Solar36074</c:v>
                </c:pt>
                <c:pt idx="135">
                  <c:v>Solar36893</c:v>
                </c:pt>
                <c:pt idx="136">
                  <c:v>Solar36894</c:v>
                </c:pt>
                <c:pt idx="137">
                  <c:v>Solar37703</c:v>
                </c:pt>
                <c:pt idx="138">
                  <c:v>Solar37705</c:v>
                </c:pt>
                <c:pt idx="139">
                  <c:v>Solar37706</c:v>
                </c:pt>
                <c:pt idx="140">
                  <c:v>Solar37707</c:v>
                </c:pt>
                <c:pt idx="141">
                  <c:v>Solar37708</c:v>
                </c:pt>
                <c:pt idx="142">
                  <c:v>Solar38465</c:v>
                </c:pt>
                <c:pt idx="143">
                  <c:v>Solar62049</c:v>
                </c:pt>
                <c:pt idx="144">
                  <c:v>Solar65978</c:v>
                </c:pt>
                <c:pt idx="145">
                  <c:v>Solar67498</c:v>
                </c:pt>
                <c:pt idx="146">
                  <c:v>Solar69283</c:v>
                </c:pt>
                <c:pt idx="147">
                  <c:v>Solar69284</c:v>
                </c:pt>
                <c:pt idx="148">
                  <c:v>Solar70163</c:v>
                </c:pt>
                <c:pt idx="149">
                  <c:v>Solar70164</c:v>
                </c:pt>
                <c:pt idx="150">
                  <c:v>Solar70167</c:v>
                </c:pt>
                <c:pt idx="151">
                  <c:v>Solar70982</c:v>
                </c:pt>
                <c:pt idx="152">
                  <c:v>Solar70986</c:v>
                </c:pt>
                <c:pt idx="153">
                  <c:v>Solar70988</c:v>
                </c:pt>
                <c:pt idx="154">
                  <c:v>Solar70989</c:v>
                </c:pt>
                <c:pt idx="155">
                  <c:v>Solar70993</c:v>
                </c:pt>
                <c:pt idx="156">
                  <c:v>Solar71004</c:v>
                </c:pt>
                <c:pt idx="157">
                  <c:v>Solar71774</c:v>
                </c:pt>
                <c:pt idx="158">
                  <c:v>Solar72534</c:v>
                </c:pt>
                <c:pt idx="159">
                  <c:v>Solar72543</c:v>
                </c:pt>
                <c:pt idx="160">
                  <c:v>Solar73988</c:v>
                </c:pt>
                <c:pt idx="161">
                  <c:v>Solar76979</c:v>
                </c:pt>
                <c:pt idx="162">
                  <c:v>Solar78421</c:v>
                </c:pt>
                <c:pt idx="163">
                  <c:v>Solar79910</c:v>
                </c:pt>
                <c:pt idx="164">
                  <c:v>South_Creek-8hr</c:v>
                </c:pt>
                <c:pt idx="165">
                  <c:v>Spuzzum_Creek-8hr</c:v>
                </c:pt>
                <c:pt idx="166">
                  <c:v>Squamish_River_B-8hr</c:v>
                </c:pt>
                <c:pt idx="167">
                  <c:v>Upper Clore - Storage for 16 hrs of generation</c:v>
                </c:pt>
                <c:pt idx="168">
                  <c:v>Upper Deserted - Un-named</c:v>
                </c:pt>
                <c:pt idx="169">
                  <c:v>Upper Misery - Lower Misery</c:v>
                </c:pt>
                <c:pt idx="170">
                  <c:v>Upper Vancouver - Lower Vancouver</c:v>
                </c:pt>
                <c:pt idx="171">
                  <c:v>VI02</c:v>
                </c:pt>
                <c:pt idx="172">
                  <c:v>VI04</c:v>
                </c:pt>
                <c:pt idx="173">
                  <c:v>VI05</c:v>
                </c:pt>
                <c:pt idx="174">
                  <c:v>VI06</c:v>
                </c:pt>
                <c:pt idx="175">
                  <c:v>VI07</c:v>
                </c:pt>
                <c:pt idx="176">
                  <c:v>VI08</c:v>
                </c:pt>
                <c:pt idx="177">
                  <c:v>VI09</c:v>
                </c:pt>
                <c:pt idx="178">
                  <c:v>VI10</c:v>
                </c:pt>
                <c:pt idx="179">
                  <c:v>VI11</c:v>
                </c:pt>
                <c:pt idx="180">
                  <c:v>VI12</c:v>
                </c:pt>
                <c:pt idx="181">
                  <c:v>VI13</c:v>
                </c:pt>
                <c:pt idx="182">
                  <c:v>VI14</c:v>
                </c:pt>
                <c:pt idx="183">
                  <c:v>VI15</c:v>
                </c:pt>
                <c:pt idx="184">
                  <c:v>WBBio_CB_RR</c:v>
                </c:pt>
                <c:pt idx="185">
                  <c:v>WBBio_LM_RR</c:v>
                </c:pt>
                <c:pt idx="186">
                  <c:v>WBBio_LM_ST_1</c:v>
                </c:pt>
                <c:pt idx="187">
                  <c:v>WBBio_LM_ST_2</c:v>
                </c:pt>
                <c:pt idx="188">
                  <c:v>WBBio_NE_ST_1</c:v>
                </c:pt>
                <c:pt idx="189">
                  <c:v>WBBio_NE_ST_2</c:v>
                </c:pt>
                <c:pt idx="190">
                  <c:v>WBBio_NE_ST_3</c:v>
                </c:pt>
                <c:pt idx="191">
                  <c:v>WBBio_NW_ST</c:v>
                </c:pt>
                <c:pt idx="192">
                  <c:v>WBBio_SP_RR</c:v>
                </c:pt>
                <c:pt idx="193">
                  <c:v>WBBio_SP_ST</c:v>
                </c:pt>
                <c:pt idx="194">
                  <c:v>WBBio_WPR_PL</c:v>
                </c:pt>
                <c:pt idx="195">
                  <c:v>Zymoetz_River-8hr</c:v>
                </c:pt>
              </c:strCache>
            </c:strRef>
          </c:cat>
          <c:val>
            <c:numRef>
              <c:f>'All projects'!$AC$2:$AC$197</c:f>
              <c:numCache>
                <c:formatCode>0.0000</c:formatCode>
                <c:ptCount val="196"/>
                <c:pt idx="0">
                  <c:v>3.7655363879529634E-2</c:v>
                </c:pt>
                <c:pt idx="1">
                  <c:v>4.9818978131950929E-2</c:v>
                </c:pt>
                <c:pt idx="2">
                  <c:v>3.7897498589969489E-3</c:v>
                </c:pt>
                <c:pt idx="3">
                  <c:v>0.23959960119044865</c:v>
                </c:pt>
                <c:pt idx="4">
                  <c:v>0.28809671553846378</c:v>
                </c:pt>
                <c:pt idx="5">
                  <c:v>0.41806736284617824</c:v>
                </c:pt>
                <c:pt idx="6">
                  <c:v>0.26158482339359512</c:v>
                </c:pt>
                <c:pt idx="7">
                  <c:v>0.18261618949655886</c:v>
                </c:pt>
                <c:pt idx="8">
                  <c:v>0.23432358102090353</c:v>
                </c:pt>
                <c:pt idx="9">
                  <c:v>0.26688674898617976</c:v>
                </c:pt>
                <c:pt idx="10">
                  <c:v>5.8950799259074239E-2</c:v>
                </c:pt>
                <c:pt idx="11">
                  <c:v>0.16442869623821924</c:v>
                </c:pt>
                <c:pt idx="12">
                  <c:v>0.27758074351541456</c:v>
                </c:pt>
                <c:pt idx="13">
                  <c:v>0.15863449672854424</c:v>
                </c:pt>
                <c:pt idx="14">
                  <c:v>5.7669531516185646E-2</c:v>
                </c:pt>
                <c:pt idx="15">
                  <c:v>0.11216239816181131</c:v>
                </c:pt>
                <c:pt idx="16">
                  <c:v>0.49413565811296273</c:v>
                </c:pt>
                <c:pt idx="17">
                  <c:v>0.32291651948707573</c:v>
                </c:pt>
                <c:pt idx="18">
                  <c:v>0.19170632598840712</c:v>
                </c:pt>
                <c:pt idx="19">
                  <c:v>4.4190970027492275E-2</c:v>
                </c:pt>
                <c:pt idx="20">
                  <c:v>2.9944773118075113E-2</c:v>
                </c:pt>
                <c:pt idx="21">
                  <c:v>1.0632522504624672E-3</c:v>
                </c:pt>
                <c:pt idx="22">
                  <c:v>0.26199835748147687</c:v>
                </c:pt>
                <c:pt idx="23">
                  <c:v>6.4044635230887853E-2</c:v>
                </c:pt>
                <c:pt idx="24">
                  <c:v>1.9729757226285033E-2</c:v>
                </c:pt>
                <c:pt idx="25">
                  <c:v>0.11942034989301459</c:v>
                </c:pt>
                <c:pt idx="26">
                  <c:v>0.2348751016016043</c:v>
                </c:pt>
                <c:pt idx="27">
                  <c:v>6.7734743637403866E-2</c:v>
                </c:pt>
                <c:pt idx="28">
                  <c:v>0.13686962702702105</c:v>
                </c:pt>
                <c:pt idx="29">
                  <c:v>9.0100115910153558E-2</c:v>
                </c:pt>
                <c:pt idx="30">
                  <c:v>2.4395192723014499E-2</c:v>
                </c:pt>
                <c:pt idx="31">
                  <c:v>0.19797141167946913</c:v>
                </c:pt>
                <c:pt idx="32">
                  <c:v>0.16582057789579177</c:v>
                </c:pt>
                <c:pt idx="33">
                  <c:v>3.7526948985397185E-2</c:v>
                </c:pt>
                <c:pt idx="34">
                  <c:v>7.2590178876639939E-3</c:v>
                </c:pt>
                <c:pt idx="35">
                  <c:v>1.181185743485102E-2</c:v>
                </c:pt>
                <c:pt idx="36">
                  <c:v>7.7266069771138479E-2</c:v>
                </c:pt>
                <c:pt idx="37">
                  <c:v>0.14420835161431078</c:v>
                </c:pt>
                <c:pt idx="38">
                  <c:v>0.14613791675260143</c:v>
                </c:pt>
                <c:pt idx="39">
                  <c:v>8.0846609028510208E-2</c:v>
                </c:pt>
                <c:pt idx="40">
                  <c:v>0.27772170122517525</c:v>
                </c:pt>
                <c:pt idx="41">
                  <c:v>6.7037306602028557E-2</c:v>
                </c:pt>
                <c:pt idx="42">
                  <c:v>0.29278036954852726</c:v>
                </c:pt>
                <c:pt idx="43">
                  <c:v>0.38370303297593034</c:v>
                </c:pt>
                <c:pt idx="44">
                  <c:v>4.4369006829019272E-2</c:v>
                </c:pt>
                <c:pt idx="45">
                  <c:v>3.126971398239712E-2</c:v>
                </c:pt>
                <c:pt idx="46">
                  <c:v>5.2045093699632228E-2</c:v>
                </c:pt>
                <c:pt idx="47">
                  <c:v>4.9860129451007915E-2</c:v>
                </c:pt>
                <c:pt idx="48">
                  <c:v>6.3334119171150324E-2</c:v>
                </c:pt>
                <c:pt idx="49">
                  <c:v>8.8252337318903321E-2</c:v>
                </c:pt>
                <c:pt idx="50">
                  <c:v>1.2241042219782769E-2</c:v>
                </c:pt>
                <c:pt idx="51">
                  <c:v>4.025930607507929E-3</c:v>
                </c:pt>
                <c:pt idx="52">
                  <c:v>0.259497069602113</c:v>
                </c:pt>
                <c:pt idx="53">
                  <c:v>0.24086665673630731</c:v>
                </c:pt>
                <c:pt idx="54">
                  <c:v>0.18774159014056385</c:v>
                </c:pt>
                <c:pt idx="55">
                  <c:v>0.1662443435732413</c:v>
                </c:pt>
                <c:pt idx="56">
                  <c:v>0.1625736664465979</c:v>
                </c:pt>
                <c:pt idx="57">
                  <c:v>0.17498301621502207</c:v>
                </c:pt>
                <c:pt idx="58">
                  <c:v>8.2756220383972304E-2</c:v>
                </c:pt>
                <c:pt idx="59">
                  <c:v>0.15005677829154546</c:v>
                </c:pt>
                <c:pt idx="60">
                  <c:v>0.18611764895142094</c:v>
                </c:pt>
                <c:pt idx="61">
                  <c:v>0.25553083540933264</c:v>
                </c:pt>
                <c:pt idx="62">
                  <c:v>0.11017097578622757</c:v>
                </c:pt>
                <c:pt idx="63">
                  <c:v>0.19726159475472974</c:v>
                </c:pt>
                <c:pt idx="64">
                  <c:v>3.7658456688399219E-2</c:v>
                </c:pt>
                <c:pt idx="65">
                  <c:v>3.0475120126978963E-2</c:v>
                </c:pt>
                <c:pt idx="66">
                  <c:v>8.1459928459026817E-2</c:v>
                </c:pt>
                <c:pt idx="67">
                  <c:v>0.15565460031416328</c:v>
                </c:pt>
                <c:pt idx="68">
                  <c:v>2.1343629954048614E-2</c:v>
                </c:pt>
                <c:pt idx="69">
                  <c:v>0.13154838599036928</c:v>
                </c:pt>
                <c:pt idx="70">
                  <c:v>7.5814337731372819E-2</c:v>
                </c:pt>
                <c:pt idx="71">
                  <c:v>0.15501620030604402</c:v>
                </c:pt>
                <c:pt idx="72">
                  <c:v>0.28090224920703444</c:v>
                </c:pt>
                <c:pt idx="73">
                  <c:v>0.11890978475911168</c:v>
                </c:pt>
                <c:pt idx="74">
                  <c:v>0.11372907143340481</c:v>
                </c:pt>
                <c:pt idx="75">
                  <c:v>6.5224033217782681E-2</c:v>
                </c:pt>
                <c:pt idx="76">
                  <c:v>0.13019720733396042</c:v>
                </c:pt>
                <c:pt idx="77">
                  <c:v>3.4565345492561655E-2</c:v>
                </c:pt>
                <c:pt idx="78">
                  <c:v>0.12080710104385189</c:v>
                </c:pt>
                <c:pt idx="79">
                  <c:v>1.1261908588233392E-2</c:v>
                </c:pt>
                <c:pt idx="80">
                  <c:v>3.8015640026317454E-3</c:v>
                </c:pt>
                <c:pt idx="81">
                  <c:v>4.3694283913031429E-2</c:v>
                </c:pt>
                <c:pt idx="82">
                  <c:v>0.12338282504637316</c:v>
                </c:pt>
                <c:pt idx="83">
                  <c:v>0.10199108528693013</c:v>
                </c:pt>
                <c:pt idx="84">
                  <c:v>3.6355652522817139E-2</c:v>
                </c:pt>
                <c:pt idx="85">
                  <c:v>0.10775119086441527</c:v>
                </c:pt>
                <c:pt idx="86">
                  <c:v>7.5160166638197815E-2</c:v>
                </c:pt>
                <c:pt idx="87">
                  <c:v>5.5690643030294563E-2</c:v>
                </c:pt>
                <c:pt idx="88">
                  <c:v>3.5579978659446551E-2</c:v>
                </c:pt>
                <c:pt idx="89">
                  <c:v>4.6965130611378365E-2</c:v>
                </c:pt>
                <c:pt idx="90">
                  <c:v>1.0821235666552683E-2</c:v>
                </c:pt>
                <c:pt idx="91">
                  <c:v>0.20670393366432308</c:v>
                </c:pt>
                <c:pt idx="92">
                  <c:v>6.1681492259388168E-2</c:v>
                </c:pt>
                <c:pt idx="93">
                  <c:v>0.16523780758586373</c:v>
                </c:pt>
                <c:pt idx="94">
                  <c:v>0.15532045061118802</c:v>
                </c:pt>
                <c:pt idx="95">
                  <c:v>2.2896608445538119E-2</c:v>
                </c:pt>
                <c:pt idx="96">
                  <c:v>7.2141962422442932E-2</c:v>
                </c:pt>
                <c:pt idx="97">
                  <c:v>8.1808094199356477E-3</c:v>
                </c:pt>
                <c:pt idx="98">
                  <c:v>0.14242391572166702</c:v>
                </c:pt>
                <c:pt idx="99">
                  <c:v>0.1410918409048558</c:v>
                </c:pt>
                <c:pt idx="100">
                  <c:v>0.14024380259751357</c:v>
                </c:pt>
                <c:pt idx="101">
                  <c:v>6.8186683868163359E-2</c:v>
                </c:pt>
                <c:pt idx="102">
                  <c:v>2.8211189215859529E-2</c:v>
                </c:pt>
                <c:pt idx="103">
                  <c:v>5.2875024248591827E-2</c:v>
                </c:pt>
                <c:pt idx="104">
                  <c:v>6.8353825287803149E-2</c:v>
                </c:pt>
                <c:pt idx="105">
                  <c:v>8.5695298001840142E-2</c:v>
                </c:pt>
                <c:pt idx="106">
                  <c:v>0.10345281547929992</c:v>
                </c:pt>
                <c:pt idx="107">
                  <c:v>1.8050683365426853E-2</c:v>
                </c:pt>
                <c:pt idx="108">
                  <c:v>8.9127041823886019E-2</c:v>
                </c:pt>
                <c:pt idx="109">
                  <c:v>0.26716021325056816</c:v>
                </c:pt>
                <c:pt idx="110">
                  <c:v>0.11000172601613079</c:v>
                </c:pt>
                <c:pt idx="111">
                  <c:v>0.1817115059632291</c:v>
                </c:pt>
                <c:pt idx="112">
                  <c:v>0.15559486246803125</c:v>
                </c:pt>
                <c:pt idx="113">
                  <c:v>4.7646287776369367E-2</c:v>
                </c:pt>
                <c:pt idx="114">
                  <c:v>6.6318475220783074E-2</c:v>
                </c:pt>
                <c:pt idx="115">
                  <c:v>1.0798986741404311E-2</c:v>
                </c:pt>
                <c:pt idx="116">
                  <c:v>5.8997664919695533E-2</c:v>
                </c:pt>
                <c:pt idx="117">
                  <c:v>0.10249956140248291</c:v>
                </c:pt>
                <c:pt idx="118">
                  <c:v>7.7828698061517904E-2</c:v>
                </c:pt>
                <c:pt idx="119">
                  <c:v>8.4643288084195092E-2</c:v>
                </c:pt>
                <c:pt idx="120">
                  <c:v>8.7088355701385983E-2</c:v>
                </c:pt>
                <c:pt idx="121">
                  <c:v>0.21765754003849716</c:v>
                </c:pt>
                <c:pt idx="122">
                  <c:v>0.18933336133154652</c:v>
                </c:pt>
                <c:pt idx="123">
                  <c:v>3.0849611451553974E-2</c:v>
                </c:pt>
                <c:pt idx="124">
                  <c:v>0.10432368694014318</c:v>
                </c:pt>
                <c:pt idx="125">
                  <c:v>4.3172556243740015E-2</c:v>
                </c:pt>
                <c:pt idx="126">
                  <c:v>5.2344917581575813E-2</c:v>
                </c:pt>
                <c:pt idx="127">
                  <c:v>0.17217226709208749</c:v>
                </c:pt>
                <c:pt idx="128">
                  <c:v>1.5019706475701205E-2</c:v>
                </c:pt>
                <c:pt idx="129">
                  <c:v>4.3362015590799288E-2</c:v>
                </c:pt>
                <c:pt idx="130">
                  <c:v>3.3664286464550705E-2</c:v>
                </c:pt>
                <c:pt idx="131">
                  <c:v>0.11892748614161419</c:v>
                </c:pt>
                <c:pt idx="132">
                  <c:v>4.2692203454381329E-2</c:v>
                </c:pt>
                <c:pt idx="133">
                  <c:v>5.129173322956735E-2</c:v>
                </c:pt>
                <c:pt idx="134">
                  <c:v>8.1974092280645797E-2</c:v>
                </c:pt>
                <c:pt idx="135">
                  <c:v>6.1439134607677665E-2</c:v>
                </c:pt>
                <c:pt idx="136">
                  <c:v>2.7466580939495937E-2</c:v>
                </c:pt>
                <c:pt idx="137">
                  <c:v>4.7400307259222563E-2</c:v>
                </c:pt>
                <c:pt idx="138">
                  <c:v>3.2645180736066606E-2</c:v>
                </c:pt>
                <c:pt idx="139">
                  <c:v>5.1816872565987396E-2</c:v>
                </c:pt>
                <c:pt idx="140">
                  <c:v>0.1796449509602801</c:v>
                </c:pt>
                <c:pt idx="141">
                  <c:v>0.15806875183215854</c:v>
                </c:pt>
                <c:pt idx="142">
                  <c:v>6.8211238286842654E-2</c:v>
                </c:pt>
                <c:pt idx="143">
                  <c:v>6.8707109489264825E-2</c:v>
                </c:pt>
                <c:pt idx="144">
                  <c:v>0.10531412504195774</c:v>
                </c:pt>
                <c:pt idx="145">
                  <c:v>6.5035357707592736E-2</c:v>
                </c:pt>
                <c:pt idx="146">
                  <c:v>7.0330900051515599E-2</c:v>
                </c:pt>
                <c:pt idx="147">
                  <c:v>6.3552562353014E-2</c:v>
                </c:pt>
                <c:pt idx="148">
                  <c:v>6.5882768895963909E-2</c:v>
                </c:pt>
                <c:pt idx="149">
                  <c:v>0.13516327908537409</c:v>
                </c:pt>
                <c:pt idx="150">
                  <c:v>0.13697384634393028</c:v>
                </c:pt>
                <c:pt idx="151">
                  <c:v>8.6881038387846943E-2</c:v>
                </c:pt>
                <c:pt idx="152">
                  <c:v>0.17692844294507121</c:v>
                </c:pt>
                <c:pt idx="153">
                  <c:v>0.13995188965996661</c:v>
                </c:pt>
                <c:pt idx="154">
                  <c:v>0.16795797979544647</c:v>
                </c:pt>
                <c:pt idx="155">
                  <c:v>0.26703852060175487</c:v>
                </c:pt>
                <c:pt idx="156">
                  <c:v>6.2660488681937049E-2</c:v>
                </c:pt>
                <c:pt idx="157">
                  <c:v>0.10805556851749154</c:v>
                </c:pt>
                <c:pt idx="158">
                  <c:v>9.5241252951218588E-2</c:v>
                </c:pt>
                <c:pt idx="159">
                  <c:v>0.13522016523850738</c:v>
                </c:pt>
                <c:pt idx="160">
                  <c:v>7.0749988626677779E-2</c:v>
                </c:pt>
                <c:pt idx="161">
                  <c:v>2.2739093610187361E-2</c:v>
                </c:pt>
                <c:pt idx="162">
                  <c:v>4.668603932318887E-2</c:v>
                </c:pt>
                <c:pt idx="163">
                  <c:v>8.7600334032004706E-2</c:v>
                </c:pt>
                <c:pt idx="164">
                  <c:v>0.12170995296995978</c:v>
                </c:pt>
                <c:pt idx="165">
                  <c:v>2.4984698839624606E-3</c:v>
                </c:pt>
                <c:pt idx="166">
                  <c:v>5.9814862776695239E-2</c:v>
                </c:pt>
                <c:pt idx="167">
                  <c:v>0.11548236516450452</c:v>
                </c:pt>
                <c:pt idx="168">
                  <c:v>0.10265115459619277</c:v>
                </c:pt>
                <c:pt idx="169">
                  <c:v>5.9836869182332532E-2</c:v>
                </c:pt>
                <c:pt idx="170">
                  <c:v>9.6411485285415696E-2</c:v>
                </c:pt>
                <c:pt idx="171">
                  <c:v>0.17299407319294097</c:v>
                </c:pt>
                <c:pt idx="172">
                  <c:v>0.11966018288550585</c:v>
                </c:pt>
                <c:pt idx="173">
                  <c:v>0.16421546595622419</c:v>
                </c:pt>
                <c:pt idx="174">
                  <c:v>0.12679180909608184</c:v>
                </c:pt>
                <c:pt idx="175">
                  <c:v>0.10532072861711327</c:v>
                </c:pt>
                <c:pt idx="176">
                  <c:v>2.204531776531831E-2</c:v>
                </c:pt>
                <c:pt idx="177">
                  <c:v>0.15367948945007057</c:v>
                </c:pt>
                <c:pt idx="178">
                  <c:v>2.2333880057495557E-2</c:v>
                </c:pt>
                <c:pt idx="179">
                  <c:v>1.2455203609099774E-2</c:v>
                </c:pt>
                <c:pt idx="180">
                  <c:v>1.2214639403087221E-2</c:v>
                </c:pt>
                <c:pt idx="181">
                  <c:v>1.0122464664087177E-2</c:v>
                </c:pt>
                <c:pt idx="182">
                  <c:v>1.8639254705433251E-2</c:v>
                </c:pt>
                <c:pt idx="183">
                  <c:v>4.4233064131573886E-2</c:v>
                </c:pt>
                <c:pt idx="184">
                  <c:v>0.11798650395220425</c:v>
                </c:pt>
                <c:pt idx="185">
                  <c:v>1.8600859974003656E-2</c:v>
                </c:pt>
                <c:pt idx="186">
                  <c:v>1.8600859974003656E-2</c:v>
                </c:pt>
                <c:pt idx="187">
                  <c:v>1.8600859974003656E-2</c:v>
                </c:pt>
                <c:pt idx="188">
                  <c:v>0.30110867584859974</c:v>
                </c:pt>
                <c:pt idx="189">
                  <c:v>0.30110867584859974</c:v>
                </c:pt>
                <c:pt idx="190">
                  <c:v>0.30110867584859974</c:v>
                </c:pt>
                <c:pt idx="191">
                  <c:v>0.1046758688799652</c:v>
                </c:pt>
                <c:pt idx="192">
                  <c:v>1.1382526886819033E-5</c:v>
                </c:pt>
                <c:pt idx="193">
                  <c:v>1.1382526886819033E-5</c:v>
                </c:pt>
                <c:pt idx="194">
                  <c:v>5.0813817994551794E-3</c:v>
                </c:pt>
                <c:pt idx="195">
                  <c:v>6.1618765390880539E-3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6-4B82-B141-BEC30190A93D}"/>
            </c:ext>
          </c:extLst>
        </c:ser>
        <c:ser>
          <c:idx val="1"/>
          <c:order val="1"/>
          <c:tx>
            <c:strRef>
              <c:f>'All projects'!$AD$1</c:f>
              <c:strCache>
                <c:ptCount val="1"/>
                <c:pt idx="0">
                  <c:v>Freshwater Proportion of Scaled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projects'!$A$2:$A$197</c:f>
              <c:strCache>
                <c:ptCount val="196"/>
                <c:pt idx="0">
                  <c:v>Anudol_Creek_A-8hr</c:v>
                </c:pt>
                <c:pt idx="1">
                  <c:v>Ball_Creek-8hr</c:v>
                </c:pt>
                <c:pt idx="2">
                  <c:v>Batt_VI</c:v>
                </c:pt>
                <c:pt idx="3">
                  <c:v>BC08</c:v>
                </c:pt>
                <c:pt idx="4">
                  <c:v>BC09</c:v>
                </c:pt>
                <c:pt idx="5">
                  <c:v>BC10</c:v>
                </c:pt>
                <c:pt idx="6">
                  <c:v>BC11</c:v>
                </c:pt>
                <c:pt idx="7">
                  <c:v>BC13</c:v>
                </c:pt>
                <c:pt idx="8">
                  <c:v>BC15</c:v>
                </c:pt>
                <c:pt idx="9">
                  <c:v>BC17</c:v>
                </c:pt>
                <c:pt idx="10">
                  <c:v>BC18</c:v>
                </c:pt>
                <c:pt idx="11">
                  <c:v>BC19</c:v>
                </c:pt>
                <c:pt idx="12">
                  <c:v>BC20</c:v>
                </c:pt>
                <c:pt idx="13">
                  <c:v>BC21</c:v>
                </c:pt>
                <c:pt idx="14">
                  <c:v>BC22</c:v>
                </c:pt>
                <c:pt idx="15">
                  <c:v>BC23</c:v>
                </c:pt>
                <c:pt idx="16">
                  <c:v>BC24</c:v>
                </c:pt>
                <c:pt idx="17">
                  <c:v>BC25</c:v>
                </c:pt>
                <c:pt idx="18">
                  <c:v>BC26</c:v>
                </c:pt>
                <c:pt idx="19">
                  <c:v>Bookhout 2</c:v>
                </c:pt>
                <c:pt idx="20">
                  <c:v>Canoe Creek - Valemount</c:v>
                </c:pt>
                <c:pt idx="21">
                  <c:v>Chemainus_River-8hr</c:v>
                </c:pt>
                <c:pt idx="22">
                  <c:v>Clarke Lake</c:v>
                </c:pt>
                <c:pt idx="23">
                  <c:v>Elaho_River-8hr</c:v>
                </c:pt>
                <c:pt idx="24">
                  <c:v>Freda_Creek-8hr</c:v>
                </c:pt>
                <c:pt idx="25">
                  <c:v>Hirsch - storage for 16 hrs of generation</c:v>
                </c:pt>
                <c:pt idx="26">
                  <c:v>Jedney Area</c:v>
                </c:pt>
                <c:pt idx="27">
                  <c:v>Kenyon - Stave</c:v>
                </c:pt>
                <c:pt idx="28">
                  <c:v>Kinskuch_River-8hr</c:v>
                </c:pt>
                <c:pt idx="29">
                  <c:v>Knight - Fourth</c:v>
                </c:pt>
                <c:pt idx="30">
                  <c:v>Lakelse Lake</c:v>
                </c:pt>
                <c:pt idx="31">
                  <c:v>Lower Falls - storage for 16 hrs of generation</c:v>
                </c:pt>
                <c:pt idx="32">
                  <c:v>Meager Creek</c:v>
                </c:pt>
                <c:pt idx="33">
                  <c:v>More_Creek-8hr</c:v>
                </c:pt>
                <c:pt idx="34">
                  <c:v>MSW 1</c:v>
                </c:pt>
                <c:pt idx="35">
                  <c:v>MSW 2</c:v>
                </c:pt>
                <c:pt idx="36">
                  <c:v>MSW 3</c:v>
                </c:pt>
                <c:pt idx="37">
                  <c:v>Mt. Cayley</c:v>
                </c:pt>
                <c:pt idx="38">
                  <c:v>Nahatlatch_River-8hr</c:v>
                </c:pt>
                <c:pt idx="39">
                  <c:v>Nass_River-8hr</c:v>
                </c:pt>
                <c:pt idx="40">
                  <c:v>NC01</c:v>
                </c:pt>
                <c:pt idx="41">
                  <c:v>NC02</c:v>
                </c:pt>
                <c:pt idx="42">
                  <c:v>NC05</c:v>
                </c:pt>
                <c:pt idx="43">
                  <c:v>NC06</c:v>
                </c:pt>
                <c:pt idx="44">
                  <c:v>NC07</c:v>
                </c:pt>
                <c:pt idx="45">
                  <c:v>NC08</c:v>
                </c:pt>
                <c:pt idx="46">
                  <c:v>NC09</c:v>
                </c:pt>
                <c:pt idx="47">
                  <c:v>NC10</c:v>
                </c:pt>
                <c:pt idx="48">
                  <c:v>NC11</c:v>
                </c:pt>
                <c:pt idx="49">
                  <c:v>NC12</c:v>
                </c:pt>
                <c:pt idx="50">
                  <c:v>NC13</c:v>
                </c:pt>
                <c:pt idx="51">
                  <c:v>Nimpkish_River_B-8hr</c:v>
                </c:pt>
                <c:pt idx="52">
                  <c:v>PC01</c:v>
                </c:pt>
                <c:pt idx="53">
                  <c:v>PC02</c:v>
                </c:pt>
                <c:pt idx="54">
                  <c:v>PC04</c:v>
                </c:pt>
                <c:pt idx="55">
                  <c:v>PC05</c:v>
                </c:pt>
                <c:pt idx="56">
                  <c:v>PC06</c:v>
                </c:pt>
                <c:pt idx="57">
                  <c:v>PC07</c:v>
                </c:pt>
                <c:pt idx="58">
                  <c:v>PC08</c:v>
                </c:pt>
                <c:pt idx="59">
                  <c:v>PC09</c:v>
                </c:pt>
                <c:pt idx="60">
                  <c:v>PC10</c:v>
                </c:pt>
                <c:pt idx="61">
                  <c:v>PC11</c:v>
                </c:pt>
                <c:pt idx="62">
                  <c:v>PC12</c:v>
                </c:pt>
                <c:pt idx="63">
                  <c:v>PC13</c:v>
                </c:pt>
                <c:pt idx="64">
                  <c:v>PC14</c:v>
                </c:pt>
                <c:pt idx="65">
                  <c:v>PC15</c:v>
                </c:pt>
                <c:pt idx="66">
                  <c:v>PC16</c:v>
                </c:pt>
                <c:pt idx="67">
                  <c:v>PC17</c:v>
                </c:pt>
                <c:pt idx="68">
                  <c:v>PC18</c:v>
                </c:pt>
                <c:pt idx="69">
                  <c:v>PC19</c:v>
                </c:pt>
                <c:pt idx="70">
                  <c:v>PC20</c:v>
                </c:pt>
                <c:pt idx="71">
                  <c:v>PC21</c:v>
                </c:pt>
                <c:pt idx="72">
                  <c:v>PC22</c:v>
                </c:pt>
                <c:pt idx="73">
                  <c:v>PC23</c:v>
                </c:pt>
                <c:pt idx="74">
                  <c:v>PC24</c:v>
                </c:pt>
                <c:pt idx="75">
                  <c:v>PC25</c:v>
                </c:pt>
                <c:pt idx="76">
                  <c:v>PC26</c:v>
                </c:pt>
                <c:pt idx="77">
                  <c:v>PC27</c:v>
                </c:pt>
                <c:pt idx="78">
                  <c:v>PC28</c:v>
                </c:pt>
                <c:pt idx="79">
                  <c:v>PC29</c:v>
                </c:pt>
                <c:pt idx="80">
                  <c:v>PC32</c:v>
                </c:pt>
                <c:pt idx="81">
                  <c:v>PC34</c:v>
                </c:pt>
                <c:pt idx="82">
                  <c:v>PC36</c:v>
                </c:pt>
                <c:pt idx="83">
                  <c:v>PC37</c:v>
                </c:pt>
                <c:pt idx="84">
                  <c:v>PC38</c:v>
                </c:pt>
                <c:pt idx="85">
                  <c:v>PC39</c:v>
                </c:pt>
                <c:pt idx="86">
                  <c:v>PC40</c:v>
                </c:pt>
                <c:pt idx="87">
                  <c:v>PC41</c:v>
                </c:pt>
                <c:pt idx="88">
                  <c:v>PC42</c:v>
                </c:pt>
                <c:pt idx="89">
                  <c:v>PC43</c:v>
                </c:pt>
                <c:pt idx="90">
                  <c:v>PC46</c:v>
                </c:pt>
                <c:pt idx="91">
                  <c:v>PC47</c:v>
                </c:pt>
                <c:pt idx="92">
                  <c:v>PC48</c:v>
                </c:pt>
                <c:pt idx="93">
                  <c:v>Pebble Creek</c:v>
                </c:pt>
                <c:pt idx="94">
                  <c:v>Quimper - Bulson</c:v>
                </c:pt>
                <c:pt idx="95">
                  <c:v>ROR_5018</c:v>
                </c:pt>
                <c:pt idx="96">
                  <c:v>ROR_5101</c:v>
                </c:pt>
                <c:pt idx="97">
                  <c:v>ROR_5332</c:v>
                </c:pt>
                <c:pt idx="98">
                  <c:v>SI01</c:v>
                </c:pt>
                <c:pt idx="99">
                  <c:v>SI02</c:v>
                </c:pt>
                <c:pt idx="100">
                  <c:v>SI03</c:v>
                </c:pt>
                <c:pt idx="101">
                  <c:v>SI04</c:v>
                </c:pt>
                <c:pt idx="102">
                  <c:v>SI05</c:v>
                </c:pt>
                <c:pt idx="103">
                  <c:v>SI06</c:v>
                </c:pt>
                <c:pt idx="104">
                  <c:v>SI08</c:v>
                </c:pt>
                <c:pt idx="105">
                  <c:v>SI09</c:v>
                </c:pt>
                <c:pt idx="106">
                  <c:v>SI10</c:v>
                </c:pt>
                <c:pt idx="107">
                  <c:v>SI11</c:v>
                </c:pt>
                <c:pt idx="108">
                  <c:v>SI12</c:v>
                </c:pt>
                <c:pt idx="109">
                  <c:v>SI13</c:v>
                </c:pt>
                <c:pt idx="110">
                  <c:v>SI14</c:v>
                </c:pt>
                <c:pt idx="111">
                  <c:v>SI15</c:v>
                </c:pt>
                <c:pt idx="112">
                  <c:v>SI18</c:v>
                </c:pt>
                <c:pt idx="113">
                  <c:v>SI19</c:v>
                </c:pt>
                <c:pt idx="114">
                  <c:v>SI20</c:v>
                </c:pt>
                <c:pt idx="115">
                  <c:v>SI22</c:v>
                </c:pt>
                <c:pt idx="116">
                  <c:v>SI23</c:v>
                </c:pt>
                <c:pt idx="117">
                  <c:v>SI27</c:v>
                </c:pt>
                <c:pt idx="118">
                  <c:v>SI28</c:v>
                </c:pt>
                <c:pt idx="119">
                  <c:v>SI29</c:v>
                </c:pt>
                <c:pt idx="120">
                  <c:v>SI30</c:v>
                </c:pt>
                <c:pt idx="121">
                  <c:v>SI31</c:v>
                </c:pt>
                <c:pt idx="122">
                  <c:v>SI33</c:v>
                </c:pt>
                <c:pt idx="123">
                  <c:v>SI37</c:v>
                </c:pt>
                <c:pt idx="124">
                  <c:v>SI38</c:v>
                </c:pt>
                <c:pt idx="125">
                  <c:v>Silverhope_Creek-8hr</c:v>
                </c:pt>
                <c:pt idx="126">
                  <c:v>Siwash_Creek-8hr</c:v>
                </c:pt>
                <c:pt idx="127">
                  <c:v>Sleeman - storage for 16 hrs of generation</c:v>
                </c:pt>
                <c:pt idx="128">
                  <c:v>Sloquet Creek</c:v>
                </c:pt>
                <c:pt idx="129">
                  <c:v>Solar35274</c:v>
                </c:pt>
                <c:pt idx="130">
                  <c:v>Solar35279</c:v>
                </c:pt>
                <c:pt idx="131">
                  <c:v>Solar36063</c:v>
                </c:pt>
                <c:pt idx="132">
                  <c:v>Solar36070</c:v>
                </c:pt>
                <c:pt idx="133">
                  <c:v>Solar36073</c:v>
                </c:pt>
                <c:pt idx="134">
                  <c:v>Solar36074</c:v>
                </c:pt>
                <c:pt idx="135">
                  <c:v>Solar36893</c:v>
                </c:pt>
                <c:pt idx="136">
                  <c:v>Solar36894</c:v>
                </c:pt>
                <c:pt idx="137">
                  <c:v>Solar37703</c:v>
                </c:pt>
                <c:pt idx="138">
                  <c:v>Solar37705</c:v>
                </c:pt>
                <c:pt idx="139">
                  <c:v>Solar37706</c:v>
                </c:pt>
                <c:pt idx="140">
                  <c:v>Solar37707</c:v>
                </c:pt>
                <c:pt idx="141">
                  <c:v>Solar37708</c:v>
                </c:pt>
                <c:pt idx="142">
                  <c:v>Solar38465</c:v>
                </c:pt>
                <c:pt idx="143">
                  <c:v>Solar62049</c:v>
                </c:pt>
                <c:pt idx="144">
                  <c:v>Solar65978</c:v>
                </c:pt>
                <c:pt idx="145">
                  <c:v>Solar67498</c:v>
                </c:pt>
                <c:pt idx="146">
                  <c:v>Solar69283</c:v>
                </c:pt>
                <c:pt idx="147">
                  <c:v>Solar69284</c:v>
                </c:pt>
                <c:pt idx="148">
                  <c:v>Solar70163</c:v>
                </c:pt>
                <c:pt idx="149">
                  <c:v>Solar70164</c:v>
                </c:pt>
                <c:pt idx="150">
                  <c:v>Solar70167</c:v>
                </c:pt>
                <c:pt idx="151">
                  <c:v>Solar70982</c:v>
                </c:pt>
                <c:pt idx="152">
                  <c:v>Solar70986</c:v>
                </c:pt>
                <c:pt idx="153">
                  <c:v>Solar70988</c:v>
                </c:pt>
                <c:pt idx="154">
                  <c:v>Solar70989</c:v>
                </c:pt>
                <c:pt idx="155">
                  <c:v>Solar70993</c:v>
                </c:pt>
                <c:pt idx="156">
                  <c:v>Solar71004</c:v>
                </c:pt>
                <c:pt idx="157">
                  <c:v>Solar71774</c:v>
                </c:pt>
                <c:pt idx="158">
                  <c:v>Solar72534</c:v>
                </c:pt>
                <c:pt idx="159">
                  <c:v>Solar72543</c:v>
                </c:pt>
                <c:pt idx="160">
                  <c:v>Solar73988</c:v>
                </c:pt>
                <c:pt idx="161">
                  <c:v>Solar76979</c:v>
                </c:pt>
                <c:pt idx="162">
                  <c:v>Solar78421</c:v>
                </c:pt>
                <c:pt idx="163">
                  <c:v>Solar79910</c:v>
                </c:pt>
                <c:pt idx="164">
                  <c:v>South_Creek-8hr</c:v>
                </c:pt>
                <c:pt idx="165">
                  <c:v>Spuzzum_Creek-8hr</c:v>
                </c:pt>
                <c:pt idx="166">
                  <c:v>Squamish_River_B-8hr</c:v>
                </c:pt>
                <c:pt idx="167">
                  <c:v>Upper Clore - Storage for 16 hrs of generation</c:v>
                </c:pt>
                <c:pt idx="168">
                  <c:v>Upper Deserted - Un-named</c:v>
                </c:pt>
                <c:pt idx="169">
                  <c:v>Upper Misery - Lower Misery</c:v>
                </c:pt>
                <c:pt idx="170">
                  <c:v>Upper Vancouver - Lower Vancouver</c:v>
                </c:pt>
                <c:pt idx="171">
                  <c:v>VI02</c:v>
                </c:pt>
                <c:pt idx="172">
                  <c:v>VI04</c:v>
                </c:pt>
                <c:pt idx="173">
                  <c:v>VI05</c:v>
                </c:pt>
                <c:pt idx="174">
                  <c:v>VI06</c:v>
                </c:pt>
                <c:pt idx="175">
                  <c:v>VI07</c:v>
                </c:pt>
                <c:pt idx="176">
                  <c:v>VI08</c:v>
                </c:pt>
                <c:pt idx="177">
                  <c:v>VI09</c:v>
                </c:pt>
                <c:pt idx="178">
                  <c:v>VI10</c:v>
                </c:pt>
                <c:pt idx="179">
                  <c:v>VI11</c:v>
                </c:pt>
                <c:pt idx="180">
                  <c:v>VI12</c:v>
                </c:pt>
                <c:pt idx="181">
                  <c:v>VI13</c:v>
                </c:pt>
                <c:pt idx="182">
                  <c:v>VI14</c:v>
                </c:pt>
                <c:pt idx="183">
                  <c:v>VI15</c:v>
                </c:pt>
                <c:pt idx="184">
                  <c:v>WBBio_CB_RR</c:v>
                </c:pt>
                <c:pt idx="185">
                  <c:v>WBBio_LM_RR</c:v>
                </c:pt>
                <c:pt idx="186">
                  <c:v>WBBio_LM_ST_1</c:v>
                </c:pt>
                <c:pt idx="187">
                  <c:v>WBBio_LM_ST_2</c:v>
                </c:pt>
                <c:pt idx="188">
                  <c:v>WBBio_NE_ST_1</c:v>
                </c:pt>
                <c:pt idx="189">
                  <c:v>WBBio_NE_ST_2</c:v>
                </c:pt>
                <c:pt idx="190">
                  <c:v>WBBio_NE_ST_3</c:v>
                </c:pt>
                <c:pt idx="191">
                  <c:v>WBBio_NW_ST</c:v>
                </c:pt>
                <c:pt idx="192">
                  <c:v>WBBio_SP_RR</c:v>
                </c:pt>
                <c:pt idx="193">
                  <c:v>WBBio_SP_ST</c:v>
                </c:pt>
                <c:pt idx="194">
                  <c:v>WBBio_WPR_PL</c:v>
                </c:pt>
                <c:pt idx="195">
                  <c:v>Zymoetz_River-8hr</c:v>
                </c:pt>
              </c:strCache>
            </c:strRef>
          </c:cat>
          <c:val>
            <c:numRef>
              <c:f>'All projects'!$AD$2:$AD$197</c:f>
              <c:numCache>
                <c:formatCode>0.0000</c:formatCode>
                <c:ptCount val="196"/>
                <c:pt idx="0">
                  <c:v>0.12960257698961816</c:v>
                </c:pt>
                <c:pt idx="1">
                  <c:v>7.5705896111423004E-2</c:v>
                </c:pt>
                <c:pt idx="2">
                  <c:v>9.6687372638981845E-4</c:v>
                </c:pt>
                <c:pt idx="3">
                  <c:v>0.38407326513909068</c:v>
                </c:pt>
                <c:pt idx="4">
                  <c:v>0.38868556614316546</c:v>
                </c:pt>
                <c:pt idx="5">
                  <c:v>0.46407488808279235</c:v>
                </c:pt>
                <c:pt idx="6">
                  <c:v>0.37028343559657362</c:v>
                </c:pt>
                <c:pt idx="7">
                  <c:v>0.34124258965097004</c:v>
                </c:pt>
                <c:pt idx="8">
                  <c:v>0.31472663216326668</c:v>
                </c:pt>
                <c:pt idx="9">
                  <c:v>0.36423077233437312</c:v>
                </c:pt>
                <c:pt idx="10">
                  <c:v>0.11270944064289104</c:v>
                </c:pt>
                <c:pt idx="11">
                  <c:v>0.1864557957696274</c:v>
                </c:pt>
                <c:pt idx="12">
                  <c:v>0.24281874268414161</c:v>
                </c:pt>
                <c:pt idx="13">
                  <c:v>0.40622687268869173</c:v>
                </c:pt>
                <c:pt idx="14">
                  <c:v>0.26596284315307489</c:v>
                </c:pt>
                <c:pt idx="15">
                  <c:v>0.19349950831374968</c:v>
                </c:pt>
                <c:pt idx="16">
                  <c:v>0.34983610042044416</c:v>
                </c:pt>
                <c:pt idx="17">
                  <c:v>0.21456370562840951</c:v>
                </c:pt>
                <c:pt idx="18">
                  <c:v>0.2259634109834632</c:v>
                </c:pt>
                <c:pt idx="19">
                  <c:v>4.7852381015321119E-2</c:v>
                </c:pt>
                <c:pt idx="20">
                  <c:v>1.3396801216986147E-3</c:v>
                </c:pt>
                <c:pt idx="21">
                  <c:v>4.1207205753293107E-3</c:v>
                </c:pt>
                <c:pt idx="22">
                  <c:v>0.25572779858283445</c:v>
                </c:pt>
                <c:pt idx="23">
                  <c:v>0.16452027353532778</c:v>
                </c:pt>
                <c:pt idx="24">
                  <c:v>4.2443857698008583E-2</c:v>
                </c:pt>
                <c:pt idx="25">
                  <c:v>0.12194989198929435</c:v>
                </c:pt>
                <c:pt idx="26">
                  <c:v>0.14411301938557919</c:v>
                </c:pt>
                <c:pt idx="27">
                  <c:v>0.12128172621465863</c:v>
                </c:pt>
                <c:pt idx="28">
                  <c:v>0.14428774503877304</c:v>
                </c:pt>
                <c:pt idx="29">
                  <c:v>0.13853448846375241</c:v>
                </c:pt>
                <c:pt idx="30">
                  <c:v>4.1323965842724242E-2</c:v>
                </c:pt>
                <c:pt idx="31">
                  <c:v>0.17299480079468987</c:v>
                </c:pt>
                <c:pt idx="32">
                  <c:v>0.18113120850752365</c:v>
                </c:pt>
                <c:pt idx="33">
                  <c:v>7.2572112880898043E-2</c:v>
                </c:pt>
                <c:pt idx="34">
                  <c:v>2.4244329509427634E-2</c:v>
                </c:pt>
                <c:pt idx="35">
                  <c:v>1.0901740995481288E-2</c:v>
                </c:pt>
                <c:pt idx="36">
                  <c:v>3.5454226182055275E-3</c:v>
                </c:pt>
                <c:pt idx="37">
                  <c:v>0.28229973860958113</c:v>
                </c:pt>
                <c:pt idx="38">
                  <c:v>0.11456524784253591</c:v>
                </c:pt>
                <c:pt idx="39">
                  <c:v>0.13658909713761774</c:v>
                </c:pt>
                <c:pt idx="40">
                  <c:v>0.72227829877482463</c:v>
                </c:pt>
                <c:pt idx="41">
                  <c:v>0.25484750013317659</c:v>
                </c:pt>
                <c:pt idx="42">
                  <c:v>0.41312782279201993</c:v>
                </c:pt>
                <c:pt idx="43">
                  <c:v>0.42958552595524063</c:v>
                </c:pt>
                <c:pt idx="44">
                  <c:v>0.10878101504308253</c:v>
                </c:pt>
                <c:pt idx="45">
                  <c:v>0.12206837217700975</c:v>
                </c:pt>
                <c:pt idx="46">
                  <c:v>0.19222573835219581</c:v>
                </c:pt>
                <c:pt idx="47">
                  <c:v>5.1833218722608626E-2</c:v>
                </c:pt>
                <c:pt idx="48">
                  <c:v>5.6946997980664833E-2</c:v>
                </c:pt>
                <c:pt idx="49">
                  <c:v>0.13880823609748302</c:v>
                </c:pt>
                <c:pt idx="50">
                  <c:v>6.6570429938764353E-3</c:v>
                </c:pt>
                <c:pt idx="51">
                  <c:v>2.0904241338721492E-2</c:v>
                </c:pt>
                <c:pt idx="52">
                  <c:v>0.23239040181798321</c:v>
                </c:pt>
                <c:pt idx="53">
                  <c:v>0.20006423192686354</c:v>
                </c:pt>
                <c:pt idx="54">
                  <c:v>7.3777924209103118E-2</c:v>
                </c:pt>
                <c:pt idx="55">
                  <c:v>5.1939337292627959E-2</c:v>
                </c:pt>
                <c:pt idx="56">
                  <c:v>5.3406733408120854E-2</c:v>
                </c:pt>
                <c:pt idx="57">
                  <c:v>6.7042832220445825E-2</c:v>
                </c:pt>
                <c:pt idx="58">
                  <c:v>2.6671677908921779E-2</c:v>
                </c:pt>
                <c:pt idx="59">
                  <c:v>9.7450334668698721E-2</c:v>
                </c:pt>
                <c:pt idx="60">
                  <c:v>0.13689644995576777</c:v>
                </c:pt>
                <c:pt idx="61">
                  <c:v>0.21120304851827251</c:v>
                </c:pt>
                <c:pt idx="62">
                  <c:v>5.8437893015143023E-2</c:v>
                </c:pt>
                <c:pt idx="63">
                  <c:v>0.18637468752769895</c:v>
                </c:pt>
                <c:pt idx="64">
                  <c:v>5.9549080177582391E-2</c:v>
                </c:pt>
                <c:pt idx="65">
                  <c:v>4.9003880853484658E-2</c:v>
                </c:pt>
                <c:pt idx="66">
                  <c:v>9.7809873561521501E-2</c:v>
                </c:pt>
                <c:pt idx="67">
                  <c:v>0.15440086109882231</c:v>
                </c:pt>
                <c:pt idx="68">
                  <c:v>1.4362184137820016E-2</c:v>
                </c:pt>
                <c:pt idx="69">
                  <c:v>0.16525671005595047</c:v>
                </c:pt>
                <c:pt idx="70">
                  <c:v>2.0576701975652378E-2</c:v>
                </c:pt>
                <c:pt idx="71">
                  <c:v>0.16850395193632525</c:v>
                </c:pt>
                <c:pt idx="72">
                  <c:v>0.14272722294645554</c:v>
                </c:pt>
                <c:pt idx="73">
                  <c:v>6.2133724123431329E-2</c:v>
                </c:pt>
                <c:pt idx="74">
                  <c:v>6.614138816932616E-2</c:v>
                </c:pt>
                <c:pt idx="75">
                  <c:v>5.8610878398114657E-2</c:v>
                </c:pt>
                <c:pt idx="76">
                  <c:v>0.12681946793710711</c:v>
                </c:pt>
                <c:pt idx="77">
                  <c:v>9.5755159756591816E-3</c:v>
                </c:pt>
                <c:pt idx="78">
                  <c:v>0.11753883716316513</c:v>
                </c:pt>
                <c:pt idx="79">
                  <c:v>3.0398463343871088E-3</c:v>
                </c:pt>
                <c:pt idx="80">
                  <c:v>5.7301440986999045E-3</c:v>
                </c:pt>
                <c:pt idx="81">
                  <c:v>1.2553084549683615E-2</c:v>
                </c:pt>
                <c:pt idx="82">
                  <c:v>6.4658534302283032E-3</c:v>
                </c:pt>
                <c:pt idx="83">
                  <c:v>9.0194706079410242E-2</c:v>
                </c:pt>
                <c:pt idx="84">
                  <c:v>2.0111215263585547E-2</c:v>
                </c:pt>
                <c:pt idx="85">
                  <c:v>9.39087410809121E-2</c:v>
                </c:pt>
                <c:pt idx="86">
                  <c:v>4.9833156619103765E-2</c:v>
                </c:pt>
                <c:pt idx="87">
                  <c:v>5.2253057979103262E-2</c:v>
                </c:pt>
                <c:pt idx="88">
                  <c:v>2.1381465648326329E-2</c:v>
                </c:pt>
                <c:pt idx="89">
                  <c:v>2.3072288555476949E-2</c:v>
                </c:pt>
                <c:pt idx="90">
                  <c:v>5.4741218073680164E-3</c:v>
                </c:pt>
                <c:pt idx="91">
                  <c:v>0.20712285116782822</c:v>
                </c:pt>
                <c:pt idx="92">
                  <c:v>8.3536662545358204E-3</c:v>
                </c:pt>
                <c:pt idx="93">
                  <c:v>0.33490858042465638</c:v>
                </c:pt>
                <c:pt idx="94">
                  <c:v>0.10735625917917012</c:v>
                </c:pt>
                <c:pt idx="95">
                  <c:v>9.5461599494494308E-3</c:v>
                </c:pt>
                <c:pt idx="96">
                  <c:v>0.24136678378982299</c:v>
                </c:pt>
                <c:pt idx="97">
                  <c:v>6.8904081000484892E-3</c:v>
                </c:pt>
                <c:pt idx="98">
                  <c:v>0.25419001901860622</c:v>
                </c:pt>
                <c:pt idx="99">
                  <c:v>0.17047530907530892</c:v>
                </c:pt>
                <c:pt idx="100">
                  <c:v>0.11175040947366213</c:v>
                </c:pt>
                <c:pt idx="101">
                  <c:v>5.4203640748342746E-2</c:v>
                </c:pt>
                <c:pt idx="102">
                  <c:v>2.4883166391808122E-2</c:v>
                </c:pt>
                <c:pt idx="103">
                  <c:v>6.1286193783444583E-2</c:v>
                </c:pt>
                <c:pt idx="104">
                  <c:v>4.1391898622219668E-2</c:v>
                </c:pt>
                <c:pt idx="105">
                  <c:v>4.6409416780648603E-2</c:v>
                </c:pt>
                <c:pt idx="106">
                  <c:v>8.3001425493298406E-2</c:v>
                </c:pt>
                <c:pt idx="107">
                  <c:v>7.1056244874790703E-2</c:v>
                </c:pt>
                <c:pt idx="108">
                  <c:v>2.4186762610248616E-2</c:v>
                </c:pt>
                <c:pt idx="109">
                  <c:v>0.26203261163992408</c:v>
                </c:pt>
                <c:pt idx="110">
                  <c:v>4.1607471029107695E-2</c:v>
                </c:pt>
                <c:pt idx="111">
                  <c:v>0.15345510943429375</c:v>
                </c:pt>
                <c:pt idx="112">
                  <c:v>0.14832159618562266</c:v>
                </c:pt>
                <c:pt idx="113">
                  <c:v>5.9390101649582756E-2</c:v>
                </c:pt>
                <c:pt idx="114">
                  <c:v>5.797687272419387E-2</c:v>
                </c:pt>
                <c:pt idx="115">
                  <c:v>1.9609253886144599E-2</c:v>
                </c:pt>
                <c:pt idx="116">
                  <c:v>0.14463636138512018</c:v>
                </c:pt>
                <c:pt idx="117">
                  <c:v>0.14376009307310111</c:v>
                </c:pt>
                <c:pt idx="118">
                  <c:v>0.15903485127497557</c:v>
                </c:pt>
                <c:pt idx="119">
                  <c:v>0.10539971789235077</c:v>
                </c:pt>
                <c:pt idx="120">
                  <c:v>9.8509350054336892E-2</c:v>
                </c:pt>
                <c:pt idx="121">
                  <c:v>3.1343864143838197E-2</c:v>
                </c:pt>
                <c:pt idx="122">
                  <c:v>7.0931418046520686E-2</c:v>
                </c:pt>
                <c:pt idx="123">
                  <c:v>1.2360198479231475E-2</c:v>
                </c:pt>
                <c:pt idx="124">
                  <c:v>1.1139152054206736E-2</c:v>
                </c:pt>
                <c:pt idx="125">
                  <c:v>5.5098908845056707E-2</c:v>
                </c:pt>
                <c:pt idx="126">
                  <c:v>4.9139004533705191E-2</c:v>
                </c:pt>
                <c:pt idx="127">
                  <c:v>0.14167362294938582</c:v>
                </c:pt>
                <c:pt idx="128">
                  <c:v>2.1743647467182395E-2</c:v>
                </c:pt>
                <c:pt idx="129">
                  <c:v>2.2904607907582589E-2</c:v>
                </c:pt>
                <c:pt idx="130">
                  <c:v>3.9110560379169601E-2</c:v>
                </c:pt>
                <c:pt idx="131">
                  <c:v>5.5639722382103164E-2</c:v>
                </c:pt>
                <c:pt idx="132">
                  <c:v>3.4488017385065191E-2</c:v>
                </c:pt>
                <c:pt idx="133">
                  <c:v>3.9032396098268973E-2</c:v>
                </c:pt>
                <c:pt idx="134">
                  <c:v>5.4145940594670282E-2</c:v>
                </c:pt>
                <c:pt idx="135">
                  <c:v>2.6747158603382899E-2</c:v>
                </c:pt>
                <c:pt idx="136">
                  <c:v>2.4524730308212631E-2</c:v>
                </c:pt>
                <c:pt idx="137">
                  <c:v>2.3992888849785881E-2</c:v>
                </c:pt>
                <c:pt idx="138">
                  <c:v>2.9157879833592578E-2</c:v>
                </c:pt>
                <c:pt idx="139">
                  <c:v>1.1345489364525164E-2</c:v>
                </c:pt>
                <c:pt idx="140">
                  <c:v>0.10310570499347164</c:v>
                </c:pt>
                <c:pt idx="141">
                  <c:v>6.661810064939859E-2</c:v>
                </c:pt>
                <c:pt idx="142">
                  <c:v>3.0165237751572746E-2</c:v>
                </c:pt>
                <c:pt idx="143">
                  <c:v>5.8378012607697746E-2</c:v>
                </c:pt>
                <c:pt idx="144">
                  <c:v>6.5785339004130763E-2</c:v>
                </c:pt>
                <c:pt idx="145">
                  <c:v>5.2738283719606267E-2</c:v>
                </c:pt>
                <c:pt idx="146">
                  <c:v>2.0270101109801472E-2</c:v>
                </c:pt>
                <c:pt idx="147">
                  <c:v>2.4092219103224909E-2</c:v>
                </c:pt>
                <c:pt idx="148">
                  <c:v>2.8653510770039581E-2</c:v>
                </c:pt>
                <c:pt idx="149">
                  <c:v>6.3701844097225138E-2</c:v>
                </c:pt>
                <c:pt idx="150">
                  <c:v>4.2206747931469689E-2</c:v>
                </c:pt>
                <c:pt idx="151">
                  <c:v>0.13036701902019815</c:v>
                </c:pt>
                <c:pt idx="152">
                  <c:v>7.5583734864604332E-2</c:v>
                </c:pt>
                <c:pt idx="153">
                  <c:v>6.4251169172509073E-2</c:v>
                </c:pt>
                <c:pt idx="154">
                  <c:v>7.4034720294229875E-2</c:v>
                </c:pt>
                <c:pt idx="155">
                  <c:v>0.10561359453124766</c:v>
                </c:pt>
                <c:pt idx="156">
                  <c:v>9.9095308513114346E-5</c:v>
                </c:pt>
                <c:pt idx="157">
                  <c:v>0.10440461432357477</c:v>
                </c:pt>
                <c:pt idx="158">
                  <c:v>4.9390369580344901E-2</c:v>
                </c:pt>
                <c:pt idx="159">
                  <c:v>7.9552280377738153E-3</c:v>
                </c:pt>
                <c:pt idx="160">
                  <c:v>1.2274628887581806E-2</c:v>
                </c:pt>
                <c:pt idx="161">
                  <c:v>1.6110231751359273E-2</c:v>
                </c:pt>
                <c:pt idx="162">
                  <c:v>2.4206017682533752E-2</c:v>
                </c:pt>
                <c:pt idx="163">
                  <c:v>1.1459088632497824E-2</c:v>
                </c:pt>
                <c:pt idx="164">
                  <c:v>0.17421469821941965</c:v>
                </c:pt>
                <c:pt idx="165">
                  <c:v>4.7580335267108668E-3</c:v>
                </c:pt>
                <c:pt idx="166">
                  <c:v>0.16548864861219728</c:v>
                </c:pt>
                <c:pt idx="167">
                  <c:v>9.9894070541566016E-2</c:v>
                </c:pt>
                <c:pt idx="168">
                  <c:v>0.20273245282262645</c:v>
                </c:pt>
                <c:pt idx="169">
                  <c:v>7.6987794664477194E-2</c:v>
                </c:pt>
                <c:pt idx="170">
                  <c:v>9.215648724527177E-2</c:v>
                </c:pt>
                <c:pt idx="171">
                  <c:v>0.43467474344075796</c:v>
                </c:pt>
                <c:pt idx="172">
                  <c:v>0.35781076622428326</c:v>
                </c:pt>
                <c:pt idx="173">
                  <c:v>0.3838782626398578</c:v>
                </c:pt>
                <c:pt idx="174">
                  <c:v>0.35319898251854737</c:v>
                </c:pt>
                <c:pt idx="175">
                  <c:v>0.26492265628295447</c:v>
                </c:pt>
                <c:pt idx="176">
                  <c:v>4.1769100007179497E-2</c:v>
                </c:pt>
                <c:pt idx="177">
                  <c:v>0.32907581160638671</c:v>
                </c:pt>
                <c:pt idx="178">
                  <c:v>9.8196676613237277E-2</c:v>
                </c:pt>
                <c:pt idx="179">
                  <c:v>2.2938795916943453E-2</c:v>
                </c:pt>
                <c:pt idx="180">
                  <c:v>2.4795917758897779E-2</c:v>
                </c:pt>
                <c:pt idx="181">
                  <c:v>3.3478674828092907E-2</c:v>
                </c:pt>
                <c:pt idx="182">
                  <c:v>2.0857584184407901E-2</c:v>
                </c:pt>
                <c:pt idx="183">
                  <c:v>3.9128213457742575E-2</c:v>
                </c:pt>
                <c:pt idx="184">
                  <c:v>8.8946207578729716E-2</c:v>
                </c:pt>
                <c:pt idx="185">
                  <c:v>9.9025801161345336E-3</c:v>
                </c:pt>
                <c:pt idx="186">
                  <c:v>9.9025801161345336E-3</c:v>
                </c:pt>
                <c:pt idx="187">
                  <c:v>9.9025801161345336E-3</c:v>
                </c:pt>
                <c:pt idx="188">
                  <c:v>0.27106463172897866</c:v>
                </c:pt>
                <c:pt idx="189">
                  <c:v>0.27106463172897866</c:v>
                </c:pt>
                <c:pt idx="190">
                  <c:v>0.27106463172897866</c:v>
                </c:pt>
                <c:pt idx="191">
                  <c:v>0.36196786231762318</c:v>
                </c:pt>
                <c:pt idx="192">
                  <c:v>1.3981813755261317E-6</c:v>
                </c:pt>
                <c:pt idx="193">
                  <c:v>1.3981813755261317E-6</c:v>
                </c:pt>
                <c:pt idx="194">
                  <c:v>6.6272034514806826E-3</c:v>
                </c:pt>
                <c:pt idx="195">
                  <c:v>4.3512446017009786E-2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6-4B82-B141-BEC30190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1229408"/>
        <c:axId val="221225568"/>
      </c:barChart>
      <c:catAx>
        <c:axId val="22122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5568"/>
        <c:crosses val="autoZero"/>
        <c:auto val="1"/>
        <c:lblAlgn val="ctr"/>
        <c:lblOffset val="100"/>
        <c:noMultiLvlLbl val="0"/>
      </c:catAx>
      <c:valAx>
        <c:axId val="2212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71718</xdr:colOff>
      <xdr:row>67</xdr:row>
      <xdr:rowOff>87086</xdr:rowOff>
    </xdr:from>
    <xdr:to>
      <xdr:col>39</xdr:col>
      <xdr:colOff>376518</xdr:colOff>
      <xdr:row>105</xdr:row>
      <xdr:rowOff>35858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AA6F38-538E-6A9F-A2C6-3D9120F0E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87D282-B447-4764-A9C5-BD326D24376D}" name="Table1" displayName="Table1" ref="A1:AE197" totalsRowShown="0" headerRowDxfId="45" dataDxfId="44" tableBorderDxfId="43">
  <autoFilter ref="A1:AE197" xr:uid="{7487D282-B447-4764-A9C5-BD326D24376D}"/>
  <sortState xmlns:xlrd2="http://schemas.microsoft.com/office/spreadsheetml/2017/richdata2" ref="A2:AE197">
    <sortCondition ref="A1:A197"/>
  </sortState>
  <tableColumns count="31">
    <tableColumn id="1" xr3:uid="{DAAD63E8-A842-434A-9E5F-23C179FCC6A5}" name="BC Hydro Names" dataDxfId="42"/>
    <tableColumn id="2" xr3:uid="{78DE7446-6DB5-4474-A9F0-6027A2E91A72}" name="Project Type" dataDxfId="41"/>
    <tableColumn id="3" xr3:uid="{86B5DED2-C44D-4900-80B0-72FD8A073162}" name="Region" dataDxfId="40"/>
    <tableColumn id="24" xr3:uid="{5C9A4829-A635-417D-99D7-5930371D2B0F}" name="In 2021?" dataDxfId="39"/>
    <tableColumn id="4" xr3:uid="{A5B63A59-D607-4B2C-9E2E-4BA726C588E8}" name="Latitude" dataDxfId="38"/>
    <tableColumn id="5" xr3:uid="{12B40F59-FA4D-42DB-BBAE-3C068151F3A7}" name="Longitude" dataDxfId="37"/>
    <tableColumn id="6" xr3:uid="{FB631301-F7A8-4F01-8A25-0AC44C05120D}" name="Installed Capacity (MW)" dataDxfId="36"/>
    <tableColumn id="7" xr3:uid="{450C8D47-6576-4DF4-8F8E-12D6EAECF3C4}" name="Dependable Generating Capacity (MW)" dataDxfId="35"/>
    <tableColumn id="8" xr3:uid="{ADB136BC-A8BF-4007-A88B-D80A12F0CF4E}" name="Effective Load-Carrying Capacity (MW)" dataDxfId="34"/>
    <tableColumn id="10" xr3:uid="{1BF6A5A1-CA05-4A0D-AB75-AC2A58D024E9}" name="Annual Firm Energy (GWh/yr)" dataDxfId="33"/>
    <tableColumn id="11" xr3:uid="{F80D1D4D-23A0-41B6-9E43-703178D7EC62}" name="UEC ($/MWh)" dataDxfId="32"/>
    <tableColumn id="12" xr3:uid="{F22D587B-9306-483E-ABFE-275918EDC782}" name="UCC ($/kW-yr)" dataDxfId="31"/>
    <tableColumn id="13" xr3:uid="{07A1EE1D-5689-45FA-A022-73422F5C8B88}" name="R1 Length (km)" dataDxfId="30"/>
    <tableColumn id="14" xr3:uid="{77106FD0-3E49-415B-8200-E55C32812EA9}" name="T1 Length (km)" dataDxfId="29"/>
    <tableColumn id="30" xr3:uid="{13D389FF-9114-433E-9443-8C05957BB7A0}" name="Linear Features (km)" dataDxfId="28">
      <calculatedColumnFormula>Table1[[#This Row],[R1 Length (km)]]+Table1[[#This Row],[T1 Length (km)]]</calculatedColumnFormula>
    </tableColumn>
    <tableColumn id="15" xr3:uid="{9C17B7DD-1C68-493A-ACF3-1F346727F440}" name="Line Voltage" dataDxfId="27"/>
    <tableColumn id="23" xr3:uid="{9523C191-202F-49D1-A00B-898F1C90B775}" name="Linear Area (ha)" dataDxfId="26">
      <calculatedColumnFormula>(Table1[[#This Row],[Linear Features (km)]]*0.4)*100</calculatedColumnFormula>
    </tableColumn>
    <tableColumn id="9" xr3:uid="{1AC91F17-0C60-405B-BFD1-C9F2FE6D06AD}" name="ATG (ha)" dataDxfId="25" dataCellStyle="Comma"/>
    <tableColumn id="31" xr3:uid="{7D3E405E-BA45-4E21-80D9-24E29B087A6E}" name="ATG/Linear Ratio" dataDxfId="24" dataCellStyle="Comma">
      <calculatedColumnFormula>Table1[[#This Row],[ATG (ha)]]/Table1[[#This Row],[Linear Area (ha)]]</calculatedColumnFormula>
    </tableColumn>
    <tableColumn id="17" xr3:uid="{81D99563-16B5-4625-9A76-95CC11F25013}" name="Plateau or Ridgeline - WIND" dataDxfId="23"/>
    <tableColumn id="16" xr3:uid="{F0179228-D88A-43CD-BCC3-D320BAD9A3EC}" name="Number of Turbines - WIND" dataDxfId="22" dataCellStyle="Comma"/>
    <tableColumn id="18" xr3:uid="{BD1F6288-65C7-49DD-AF15-5D96B4B6A259}" name="Footprint of Plant (ha) - SOLAR" dataDxfId="21" dataCellStyle="Comma"/>
    <tableColumn id="19" xr3:uid="{C270132B-9BD7-47D4-9629-60E0B9CD8CB5}" name="Footprint of Panels (ha) - SOLAR" dataDxfId="20" dataCellStyle="Comma"/>
    <tableColumn id="20" xr3:uid="{AD2CE6A5-4859-4EBD-A0CA-7B55EBCEEFD8}" name="Raw Terrestrial Score" dataDxfId="19"/>
    <tableColumn id="26" xr3:uid="{3EB508D6-4830-4E53-927E-AC9ED404856D}" name="Terrestrial % of Summed Score" dataDxfId="18">
      <calculatedColumnFormula>Table1[[#This Row],[Raw Terrestrial Score]]/Table1[[#This Row],[Summed Raw Scores]]</calculatedColumnFormula>
    </tableColumn>
    <tableColumn id="21" xr3:uid="{70D7E5C1-7F6D-4FDF-A711-BA80729BB28F}" name="Raw Freshwater Score" dataDxfId="17"/>
    <tableColumn id="27" xr3:uid="{5D2D2130-2F0B-42B9-A126-21C68F62BA79}" name="Freshwater % of Summed Score" dataDxfId="16">
      <calculatedColumnFormula>Table1[[#This Row],[Raw Freshwater Score]]/Table1[[#This Row],[Summed Raw Scores]]</calculatedColumnFormula>
    </tableColumn>
    <tableColumn id="22" xr3:uid="{663C1351-B6C8-4221-9ECD-FE5987E748FB}" name="Summed Raw Scores" dataDxfId="15">
      <calculatedColumnFormula>Table1[[#This Row],[Raw Terrestrial Score]]+Table1[[#This Row],[Raw Freshwater Score]]</calculatedColumnFormula>
    </tableColumn>
    <tableColumn id="28" xr3:uid="{8DD49517-7DAA-4FEE-9826-0C6758C2CEA0}" name="Terrestrial Proportion of Scaled Score" dataDxfId="14">
      <calculatedColumnFormula>Table1[[#This Row],[Terrestrial % of Summed Score]]*Table1[[#This Row],[Scaled Summed Score]]</calculatedColumnFormula>
    </tableColumn>
    <tableColumn id="29" xr3:uid="{1C47B4E4-6C3B-4B14-8A66-E129FC0A9D27}" name="Freshwater Proportion of Scaled Score" dataDxfId="13">
      <calculatedColumnFormula>Table1[[#This Row],[Freshwater % of Summed Score]]*Table1[[#This Row],[Scaled Summed Score]]</calculatedColumnFormula>
    </tableColumn>
    <tableColumn id="25" xr3:uid="{A7AC6D2B-83E7-4B7E-B674-14C716453015}" name="Scaled Summed Score" dataDxfId="12">
      <calculatedColumnFormula>Table1[[#This Row],[Summed Raw Scores]]/MAX(Table1[Summed Raw Scores])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97"/>
  <sheetViews>
    <sheetView tabSelected="1" zoomScale="81" zoomScaleNormal="90" workbookViewId="0">
      <pane xSplit="1" ySplit="1" topLeftCell="V104" activePane="bottomRight" state="frozen"/>
      <selection pane="topRight" activeCell="B1" sqref="B1"/>
      <selection pane="bottomLeft" activeCell="A2" sqref="A2"/>
      <selection pane="bottomRight" activeCell="Z113" sqref="Z113"/>
    </sheetView>
  </sheetViews>
  <sheetFormatPr defaultRowHeight="14.4" x14ac:dyDescent="0.3"/>
  <cols>
    <col min="1" max="1" width="41.6640625" style="25" bestFit="1" customWidth="1"/>
    <col min="2" max="2" width="20.88671875" bestFit="1" customWidth="1"/>
    <col min="3" max="4" width="16.44140625" customWidth="1"/>
    <col min="5" max="5" width="14.6640625" style="20" customWidth="1"/>
    <col min="6" max="6" width="16.109375" style="20" customWidth="1"/>
    <col min="7" max="7" width="14.6640625" style="26" customWidth="1"/>
    <col min="8" max="8" width="20" customWidth="1"/>
    <col min="9" max="9" width="20.109375" style="20" customWidth="1"/>
    <col min="10" max="10" width="17.88671875" style="26" customWidth="1"/>
    <col min="11" max="11" width="14.6640625" style="26" customWidth="1"/>
    <col min="12" max="12" width="15.21875" style="20" customWidth="1"/>
    <col min="13" max="13" width="15.6640625" style="20" customWidth="1"/>
    <col min="14" max="15" width="15.5546875" style="20" customWidth="1"/>
    <col min="16" max="16" width="13.21875" style="25" customWidth="1"/>
    <col min="17" max="17" width="17.44140625" style="20" bestFit="1" customWidth="1"/>
    <col min="18" max="18" width="14.6640625" bestFit="1" customWidth="1"/>
    <col min="19" max="19" width="17.21875" style="27" bestFit="1" customWidth="1"/>
    <col min="20" max="20" width="21.6640625" bestFit="1" customWidth="1"/>
    <col min="21" max="21" width="23" style="20" customWidth="1"/>
    <col min="22" max="22" width="24.109375" style="20" customWidth="1"/>
    <col min="23" max="23" width="13.88671875" style="20" bestFit="1" customWidth="1"/>
    <col min="24" max="24" width="20.5546875" style="28" bestFit="1" customWidth="1"/>
    <col min="25" max="25" width="20.5546875" style="28" customWidth="1"/>
    <col min="26" max="26" width="21.21875" style="29" customWidth="1"/>
    <col min="27" max="27" width="21.21875" style="28" customWidth="1"/>
    <col min="28" max="28" width="20.33203125" style="28" customWidth="1"/>
    <col min="29" max="30" width="20.33203125" style="27" customWidth="1"/>
    <col min="31" max="31" width="18" style="27" bestFit="1" customWidth="1"/>
    <col min="32" max="32" width="14.6640625" style="20" customWidth="1"/>
  </cols>
  <sheetData>
    <row r="1" spans="1:32" ht="43.2" x14ac:dyDescent="0.3">
      <c r="A1" s="1" t="s">
        <v>0</v>
      </c>
      <c r="B1" s="1" t="s">
        <v>1</v>
      </c>
      <c r="C1" s="1" t="s">
        <v>2</v>
      </c>
      <c r="D1" s="1" t="s">
        <v>249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244</v>
      </c>
      <c r="P1" s="1" t="s">
        <v>13</v>
      </c>
      <c r="Q1" s="2" t="s">
        <v>247</v>
      </c>
      <c r="R1" s="2" t="s">
        <v>239</v>
      </c>
      <c r="S1" s="3" t="s">
        <v>248</v>
      </c>
      <c r="T1" s="1" t="s">
        <v>14</v>
      </c>
      <c r="U1" s="1" t="s">
        <v>238</v>
      </c>
      <c r="V1" s="2" t="s">
        <v>15</v>
      </c>
      <c r="W1" s="2" t="s">
        <v>16</v>
      </c>
      <c r="X1" s="4" t="s">
        <v>17</v>
      </c>
      <c r="Y1" s="4" t="s">
        <v>241</v>
      </c>
      <c r="Z1" s="4" t="s">
        <v>18</v>
      </c>
      <c r="AA1" s="4" t="s">
        <v>242</v>
      </c>
      <c r="AB1" s="4" t="s">
        <v>19</v>
      </c>
      <c r="AC1" s="3" t="s">
        <v>245</v>
      </c>
      <c r="AD1" s="3" t="s">
        <v>246</v>
      </c>
      <c r="AE1" s="3" t="s">
        <v>243</v>
      </c>
      <c r="AF1" s="2" t="s">
        <v>240</v>
      </c>
    </row>
    <row r="2" spans="1:32" x14ac:dyDescent="0.3">
      <c r="A2" s="5" t="s">
        <v>96</v>
      </c>
      <c r="B2" s="5" t="s">
        <v>97</v>
      </c>
      <c r="C2" s="5" t="s">
        <v>30</v>
      </c>
      <c r="D2" s="5" t="s">
        <v>250</v>
      </c>
      <c r="E2" s="6">
        <v>55.12</v>
      </c>
      <c r="F2" s="6">
        <v>-129.53</v>
      </c>
      <c r="G2" s="6">
        <v>160</v>
      </c>
      <c r="H2" s="6">
        <v>40</v>
      </c>
      <c r="I2" s="6">
        <v>3</v>
      </c>
      <c r="J2" s="6">
        <v>345</v>
      </c>
      <c r="K2" s="6">
        <v>92.74</v>
      </c>
      <c r="L2" s="6" t="s">
        <v>22</v>
      </c>
      <c r="M2" s="6">
        <v>6.1449999999999996</v>
      </c>
      <c r="N2" s="6">
        <v>41.758800000000001</v>
      </c>
      <c r="O2" s="6">
        <f>Table1[[#This Row],[R1 Length (km)]]+Table1[[#This Row],[T1 Length (km)]]</f>
        <v>47.903800000000004</v>
      </c>
      <c r="P2" s="5">
        <v>69</v>
      </c>
      <c r="Q2" s="6">
        <f>(Table1[[#This Row],[Linear Features (km)]]*0.4)*100</f>
        <v>1916.1520000000003</v>
      </c>
      <c r="R2" s="7">
        <v>56.9</v>
      </c>
      <c r="S2" s="8">
        <f>Table1[[#This Row],[ATG (ha)]]/Table1[[#This Row],[Linear Area (ha)]]</f>
        <v>2.9694930256054838E-2</v>
      </c>
      <c r="T2" s="9" t="s">
        <v>22</v>
      </c>
      <c r="U2" s="9" t="s">
        <v>22</v>
      </c>
      <c r="V2" s="7" t="s">
        <v>22</v>
      </c>
      <c r="W2" s="7" t="s">
        <v>22</v>
      </c>
      <c r="X2" s="11">
        <v>189.947558946908</v>
      </c>
      <c r="Y2" s="10">
        <f>Table1[[#This Row],[Raw Terrestrial Score]]/Table1[[#This Row],[Summed Raw Scores]]</f>
        <v>0.22513348953033474</v>
      </c>
      <c r="Z2" s="11">
        <v>653.76325166225399</v>
      </c>
      <c r="AA2" s="10">
        <f>Table1[[#This Row],[Raw Freshwater Score]]/Table1[[#This Row],[Summed Raw Scores]]</f>
        <v>0.77486651046966526</v>
      </c>
      <c r="AB2" s="10">
        <f>Table1[[#This Row],[Raw Terrestrial Score]]+Table1[[#This Row],[Raw Freshwater Score]]</f>
        <v>843.71081060916197</v>
      </c>
      <c r="AC2" s="12">
        <f>Table1[[#This Row],[Terrestrial % of Summed Score]]*Table1[[#This Row],[Scaled Summed Score]]</f>
        <v>3.7655363879529634E-2</v>
      </c>
      <c r="AD2" s="12">
        <f>Table1[[#This Row],[Freshwater % of Summed Score]]*Table1[[#This Row],[Scaled Summed Score]]</f>
        <v>0.12960257698961816</v>
      </c>
      <c r="AE2" s="12">
        <f>Table1[[#This Row],[Summed Raw Scores]]/MAX(Table1[Summed Raw Scores])</f>
        <v>0.1672579408691478</v>
      </c>
      <c r="AF2" s="7"/>
    </row>
    <row r="3" spans="1:32" x14ac:dyDescent="0.3">
      <c r="A3" s="5" t="s">
        <v>98</v>
      </c>
      <c r="B3" s="5" t="s">
        <v>97</v>
      </c>
      <c r="C3" s="5" t="s">
        <v>30</v>
      </c>
      <c r="D3" s="5" t="s">
        <v>250</v>
      </c>
      <c r="E3" s="6">
        <v>57.26</v>
      </c>
      <c r="F3" s="6">
        <v>-130.32</v>
      </c>
      <c r="G3" s="6">
        <v>43.2</v>
      </c>
      <c r="H3" s="6">
        <v>40</v>
      </c>
      <c r="I3" s="6">
        <v>2</v>
      </c>
      <c r="J3" s="6">
        <v>46</v>
      </c>
      <c r="K3" s="6">
        <v>363.72</v>
      </c>
      <c r="L3" s="6" t="s">
        <v>22</v>
      </c>
      <c r="M3" s="6">
        <f>3797.0562748453/1000</f>
        <v>3.7970562748452998</v>
      </c>
      <c r="N3" s="6">
        <v>36.497100000000003</v>
      </c>
      <c r="O3" s="6">
        <f>Table1[[#This Row],[R1 Length (km)]]+Table1[[#This Row],[T1 Length (km)]]</f>
        <v>40.294156274845307</v>
      </c>
      <c r="P3" s="5">
        <v>69</v>
      </c>
      <c r="Q3" s="6">
        <f>(Table1[[#This Row],[Linear Features (km)]]*0.4)*100</f>
        <v>1611.7662509938125</v>
      </c>
      <c r="R3" s="7">
        <v>139.30000000000001</v>
      </c>
      <c r="S3" s="8">
        <f>Table1[[#This Row],[ATG (ha)]]/Table1[[#This Row],[Linear Area (ha)]]</f>
        <v>8.6426924446462286E-2</v>
      </c>
      <c r="T3" s="9" t="s">
        <v>22</v>
      </c>
      <c r="U3" s="9" t="s">
        <v>22</v>
      </c>
      <c r="V3" s="7" t="s">
        <v>22</v>
      </c>
      <c r="W3" s="7" t="s">
        <v>22</v>
      </c>
      <c r="X3" s="11">
        <v>251.30532042309599</v>
      </c>
      <c r="Y3" s="10">
        <f>Table1[[#This Row],[Raw Terrestrial Score]]/Table1[[#This Row],[Summed Raw Scores]]</f>
        <v>0.39688530605782074</v>
      </c>
      <c r="Z3" s="11">
        <v>381.88849297165899</v>
      </c>
      <c r="AA3" s="10">
        <f>Table1[[#This Row],[Raw Freshwater Score]]/Table1[[#This Row],[Summed Raw Scores]]</f>
        <v>0.6031146939421792</v>
      </c>
      <c r="AB3" s="10">
        <f>Table1[[#This Row],[Raw Terrestrial Score]]+Table1[[#This Row],[Raw Freshwater Score]]</f>
        <v>633.19381339475501</v>
      </c>
      <c r="AC3" s="12">
        <f>Table1[[#This Row],[Terrestrial % of Summed Score]]*Table1[[#This Row],[Scaled Summed Score]]</f>
        <v>4.9818978131950929E-2</v>
      </c>
      <c r="AD3" s="12">
        <f>Table1[[#This Row],[Freshwater % of Summed Score]]*Table1[[#This Row],[Scaled Summed Score]]</f>
        <v>7.5705896111423004E-2</v>
      </c>
      <c r="AE3" s="12">
        <f>Table1[[#This Row],[Summed Raw Scores]]/MAX(Table1[Summed Raw Scores])</f>
        <v>0.12552487424337394</v>
      </c>
      <c r="AF3" s="7"/>
    </row>
    <row r="4" spans="1:32" x14ac:dyDescent="0.3">
      <c r="A4" s="5" t="s">
        <v>251</v>
      </c>
      <c r="B4" s="5" t="s">
        <v>20</v>
      </c>
      <c r="C4" s="5" t="s">
        <v>21</v>
      </c>
      <c r="D4" s="5" t="s">
        <v>250</v>
      </c>
      <c r="E4" s="13">
        <v>48.494855999999999</v>
      </c>
      <c r="F4" s="13">
        <v>-123.42505199999999</v>
      </c>
      <c r="G4" s="6">
        <v>50</v>
      </c>
      <c r="H4" s="6" t="s">
        <v>22</v>
      </c>
      <c r="I4" s="6">
        <v>40</v>
      </c>
      <c r="J4" s="5" t="s">
        <v>22</v>
      </c>
      <c r="K4" s="5" t="s">
        <v>22</v>
      </c>
      <c r="L4" s="14">
        <v>250.36602238805969</v>
      </c>
      <c r="M4" s="13">
        <v>0</v>
      </c>
      <c r="N4" s="7">
        <v>0.6</v>
      </c>
      <c r="O4" s="7">
        <f>Table1[[#This Row],[R1 Length (km)]]+Table1[[#This Row],[T1 Length (km)]]</f>
        <v>0.6</v>
      </c>
      <c r="P4" s="9">
        <v>69</v>
      </c>
      <c r="Q4" s="7">
        <f>(Table1[[#This Row],[Linear Features (km)]]*0.4)*100</f>
        <v>24</v>
      </c>
      <c r="R4" s="7">
        <v>0.3</v>
      </c>
      <c r="S4" s="8">
        <f>Table1[[#This Row],[ATG (ha)]]/Table1[[#This Row],[Linear Area (ha)]]</f>
        <v>1.2499999999999999E-2</v>
      </c>
      <c r="T4" s="9" t="s">
        <v>22</v>
      </c>
      <c r="U4" s="9" t="s">
        <v>22</v>
      </c>
      <c r="V4" s="9" t="s">
        <v>22</v>
      </c>
      <c r="W4" s="9" t="s">
        <v>22</v>
      </c>
      <c r="X4" s="11">
        <v>19.116897583007798</v>
      </c>
      <c r="Y4" s="10">
        <f>Table1[[#This Row],[Raw Terrestrial Score]]/Table1[[#This Row],[Summed Raw Scores]]</f>
        <v>0.79673108266118964</v>
      </c>
      <c r="Z4" s="11">
        <v>4.8772680759429896</v>
      </c>
      <c r="AA4" s="10">
        <f>Table1[[#This Row],[Raw Freshwater Score]]/Table1[[#This Row],[Summed Raw Scores]]</f>
        <v>0.20326891733881033</v>
      </c>
      <c r="AB4" s="10">
        <f>Table1[[#This Row],[Raw Terrestrial Score]]+Table1[[#This Row],[Raw Freshwater Score]]</f>
        <v>23.994165658950788</v>
      </c>
      <c r="AC4" s="12">
        <f>Table1[[#This Row],[Terrestrial % of Summed Score]]*Table1[[#This Row],[Scaled Summed Score]]</f>
        <v>3.7897498589969489E-3</v>
      </c>
      <c r="AD4" s="12">
        <f>Table1[[#This Row],[Freshwater % of Summed Score]]*Table1[[#This Row],[Scaled Summed Score]]</f>
        <v>9.6687372638981845E-4</v>
      </c>
      <c r="AE4" s="12">
        <f>Table1[[#This Row],[Summed Raw Scores]]/MAX(Table1[Summed Raw Scores])</f>
        <v>4.7566235853867675E-3</v>
      </c>
      <c r="AF4" s="7"/>
    </row>
    <row r="5" spans="1:32" x14ac:dyDescent="0.3">
      <c r="A5" s="5" t="s">
        <v>113</v>
      </c>
      <c r="B5" s="5" t="s">
        <v>114</v>
      </c>
      <c r="C5" s="5" t="s">
        <v>30</v>
      </c>
      <c r="D5" s="5"/>
      <c r="E5" s="6">
        <v>58.373600000000003</v>
      </c>
      <c r="F5" s="6">
        <v>-131.53800000000001</v>
      </c>
      <c r="G5" s="6">
        <v>160</v>
      </c>
      <c r="H5" s="5" t="s">
        <v>22</v>
      </c>
      <c r="I5" s="6">
        <v>38.4</v>
      </c>
      <c r="J5" s="6">
        <v>526.72127999999998</v>
      </c>
      <c r="K5" s="6">
        <v>102.84130249951509</v>
      </c>
      <c r="L5" s="6" t="s">
        <v>22</v>
      </c>
      <c r="M5" s="6">
        <v>72.276757812499994</v>
      </c>
      <c r="N5" s="6">
        <v>192.94692187499999</v>
      </c>
      <c r="O5" s="6">
        <f>Table1[[#This Row],[R1 Length (km)]]+Table1[[#This Row],[T1 Length (km)]]</f>
        <v>265.22367968749995</v>
      </c>
      <c r="P5" s="5">
        <v>230</v>
      </c>
      <c r="Q5" s="6">
        <f>(Table1[[#This Row],[Linear Features (km)]]*0.4)*100</f>
        <v>10608.947187499998</v>
      </c>
      <c r="R5" s="7">
        <f>((PI()*(45^2))*Table1[[#This Row],[Number of Turbines - WIND]])/10000</f>
        <v>44.532075864635317</v>
      </c>
      <c r="S5" s="8">
        <f>Table1[[#This Row],[ATG (ha)]]/Table1[[#This Row],[Linear Area (ha)]]</f>
        <v>4.1975961495128635E-3</v>
      </c>
      <c r="T5" s="5" t="s">
        <v>115</v>
      </c>
      <c r="U5" s="5">
        <f>26+44</f>
        <v>70</v>
      </c>
      <c r="V5" s="7" t="s">
        <v>22</v>
      </c>
      <c r="W5" s="7" t="s">
        <v>22</v>
      </c>
      <c r="X5" s="11">
        <f>970.155676074326+85.18148+153.2917</f>
        <v>1208.628856074326</v>
      </c>
      <c r="Y5" s="10">
        <f>Table1[[#This Row],[Raw Terrestrial Score]]/Table1[[#This Row],[Summed Raw Scores]]</f>
        <v>0.38417512469405368</v>
      </c>
      <c r="Z5" s="11">
        <f>1813.99249122851+41.67958+81.73529</f>
        <v>1937.4073612285101</v>
      </c>
      <c r="AA5" s="10">
        <f>Table1[[#This Row],[Raw Freshwater Score]]/Table1[[#This Row],[Summed Raw Scores]]</f>
        <v>0.61582487530594632</v>
      </c>
      <c r="AB5" s="10">
        <f>Table1[[#This Row],[Raw Terrestrial Score]]+Table1[[#This Row],[Raw Freshwater Score]]</f>
        <v>3146.0362173028361</v>
      </c>
      <c r="AC5" s="12">
        <f>Table1[[#This Row],[Terrestrial % of Summed Score]]*Table1[[#This Row],[Scaled Summed Score]]</f>
        <v>0.23959960119044865</v>
      </c>
      <c r="AD5" s="12">
        <f>Table1[[#This Row],[Freshwater % of Summed Score]]*Table1[[#This Row],[Scaled Summed Score]]</f>
        <v>0.38407326513909068</v>
      </c>
      <c r="AE5" s="12">
        <f>Table1[[#This Row],[Summed Raw Scores]]/MAX(Table1[Summed Raw Scores])</f>
        <v>0.62367286632953933</v>
      </c>
      <c r="AF5" s="7"/>
    </row>
    <row r="6" spans="1:32" x14ac:dyDescent="0.3">
      <c r="A6" s="5" t="s">
        <v>116</v>
      </c>
      <c r="B6" s="5" t="s">
        <v>114</v>
      </c>
      <c r="C6" s="5" t="s">
        <v>30</v>
      </c>
      <c r="D6" s="5"/>
      <c r="E6" s="6">
        <v>58.516399999999997</v>
      </c>
      <c r="F6" s="6">
        <v>-131.28</v>
      </c>
      <c r="G6" s="6">
        <v>145</v>
      </c>
      <c r="H6" s="5" t="s">
        <v>22</v>
      </c>
      <c r="I6" s="6">
        <v>34.799999999999997</v>
      </c>
      <c r="J6" s="6">
        <v>477.34116000000006</v>
      </c>
      <c r="K6" s="6">
        <v>110.96678109296646</v>
      </c>
      <c r="L6" s="6" t="s">
        <v>22</v>
      </c>
      <c r="M6" s="6">
        <v>72.276757812499994</v>
      </c>
      <c r="N6" s="6">
        <v>192.94692187499999</v>
      </c>
      <c r="O6" s="6">
        <f>Table1[[#This Row],[R1 Length (km)]]+Table1[[#This Row],[T1 Length (km)]]</f>
        <v>265.22367968749995</v>
      </c>
      <c r="P6" s="5">
        <v>230</v>
      </c>
      <c r="Q6" s="6">
        <f>(Table1[[#This Row],[Linear Features (km)]]*0.4)*100</f>
        <v>10608.947187499998</v>
      </c>
      <c r="R6" s="7">
        <f>((PI()*(45^2))*Table1[[#This Row],[Number of Turbines - WIND]])/10000</f>
        <v>40.078868278171782</v>
      </c>
      <c r="S6" s="8">
        <f>Table1[[#This Row],[ATG (ha)]]/Table1[[#This Row],[Linear Area (ha)]]</f>
        <v>3.777836534561577E-3</v>
      </c>
      <c r="T6" s="5" t="s">
        <v>115</v>
      </c>
      <c r="U6" s="5">
        <f>13+50</f>
        <v>63</v>
      </c>
      <c r="V6" s="7" t="s">
        <v>22</v>
      </c>
      <c r="W6" s="7" t="s">
        <v>22</v>
      </c>
      <c r="X6" s="11">
        <f>1256.14557749778+24.13443+172.9862</f>
        <v>1453.2662074977802</v>
      </c>
      <c r="Y6" s="10">
        <f>Table1[[#This Row],[Raw Terrestrial Score]]/Table1[[#This Row],[Summed Raw Scores]]</f>
        <v>0.42568596036914241</v>
      </c>
      <c r="Z6" s="11">
        <f>1835.13273049891+14.98448+110.5563</f>
        <v>1960.67351049891</v>
      </c>
      <c r="AA6" s="10">
        <f>Table1[[#This Row],[Raw Freshwater Score]]/Table1[[#This Row],[Summed Raw Scores]]</f>
        <v>0.5743140396308577</v>
      </c>
      <c r="AB6" s="10">
        <f>Table1[[#This Row],[Raw Terrestrial Score]]+Table1[[#This Row],[Raw Freshwater Score]]</f>
        <v>3413.93971799669</v>
      </c>
      <c r="AC6" s="12">
        <f>Table1[[#This Row],[Terrestrial % of Summed Score]]*Table1[[#This Row],[Scaled Summed Score]]</f>
        <v>0.28809671553846378</v>
      </c>
      <c r="AD6" s="12">
        <f>Table1[[#This Row],[Freshwater % of Summed Score]]*Table1[[#This Row],[Scaled Summed Score]]</f>
        <v>0.38868556614316546</v>
      </c>
      <c r="AE6" s="12">
        <f>Table1[[#This Row],[Summed Raw Scores]]/MAX(Table1[Summed Raw Scores])</f>
        <v>0.67678228168162913</v>
      </c>
      <c r="AF6" s="7"/>
    </row>
    <row r="7" spans="1:32" x14ac:dyDescent="0.3">
      <c r="A7" s="5" t="s">
        <v>117</v>
      </c>
      <c r="B7" s="5" t="s">
        <v>114</v>
      </c>
      <c r="C7" s="5" t="s">
        <v>30</v>
      </c>
      <c r="D7" s="5"/>
      <c r="E7" s="6">
        <v>59.016599999999997</v>
      </c>
      <c r="F7" s="6">
        <v>-131.26</v>
      </c>
      <c r="G7" s="6">
        <v>165</v>
      </c>
      <c r="H7" s="5" t="s">
        <v>22</v>
      </c>
      <c r="I7" s="6">
        <v>39.6</v>
      </c>
      <c r="J7" s="6">
        <v>507.91356000000002</v>
      </c>
      <c r="K7" s="6">
        <v>125.28558797417327</v>
      </c>
      <c r="L7" s="6" t="s">
        <v>22</v>
      </c>
      <c r="M7" s="6">
        <v>54.375484374999999</v>
      </c>
      <c r="N7" s="6">
        <v>203.42195312499999</v>
      </c>
      <c r="O7" s="6">
        <f>Table1[[#This Row],[R1 Length (km)]]+Table1[[#This Row],[T1 Length (km)]]</f>
        <v>257.7974375</v>
      </c>
      <c r="P7" s="5">
        <v>230</v>
      </c>
      <c r="Q7" s="6">
        <f>(Table1[[#This Row],[Linear Features (km)]]*0.4)*100</f>
        <v>10311.897500000001</v>
      </c>
      <c r="R7" s="7">
        <f>((PI()*(45^2))*Table1[[#This Row],[Number of Turbines - WIND]])/10000</f>
        <v>45.168248376987243</v>
      </c>
      <c r="S7" s="8">
        <f>Table1[[#This Row],[ATG (ha)]]/Table1[[#This Row],[Linear Area (ha)]]</f>
        <v>4.3802072680597572E-3</v>
      </c>
      <c r="T7" s="5" t="s">
        <v>115</v>
      </c>
      <c r="U7" s="5">
        <f>20+20+13+18</f>
        <v>71</v>
      </c>
      <c r="V7" s="7" t="s">
        <v>22</v>
      </c>
      <c r="W7" s="7" t="s">
        <v>22</v>
      </c>
      <c r="X7" s="11">
        <f>1930.52464174759+47.79806+47.3175+31.52629+51.71965</f>
        <v>2108.88614174759</v>
      </c>
      <c r="Y7" s="10">
        <f>Table1[[#This Row],[Raw Terrestrial Score]]/Table1[[#This Row],[Summed Raw Scores]]</f>
        <v>0.47392284226939352</v>
      </c>
      <c r="Z7" s="11">
        <f>2238.75061545894+30.95354+7.496851+48.43141+15.33267</f>
        <v>2340.9650864589398</v>
      </c>
      <c r="AA7" s="10">
        <f>Table1[[#This Row],[Raw Freshwater Score]]/Table1[[#This Row],[Summed Raw Scores]]</f>
        <v>0.52607715773060659</v>
      </c>
      <c r="AB7" s="10">
        <f>Table1[[#This Row],[Raw Terrestrial Score]]+Table1[[#This Row],[Raw Freshwater Score]]</f>
        <v>4449.8512282065294</v>
      </c>
      <c r="AC7" s="12">
        <f>Table1[[#This Row],[Terrestrial % of Summed Score]]*Table1[[#This Row],[Scaled Summed Score]]</f>
        <v>0.41806736284617824</v>
      </c>
      <c r="AD7" s="12">
        <f>Table1[[#This Row],[Freshwater % of Summed Score]]*Table1[[#This Row],[Scaled Summed Score]]</f>
        <v>0.46407488808279235</v>
      </c>
      <c r="AE7" s="12">
        <f>Table1[[#This Row],[Summed Raw Scores]]/MAX(Table1[Summed Raw Scores])</f>
        <v>0.88214225092897047</v>
      </c>
      <c r="AF7" s="7"/>
    </row>
    <row r="8" spans="1:32" x14ac:dyDescent="0.3">
      <c r="A8" s="5" t="s">
        <v>118</v>
      </c>
      <c r="B8" s="5" t="s">
        <v>114</v>
      </c>
      <c r="C8" s="5" t="s">
        <v>30</v>
      </c>
      <c r="D8" s="5"/>
      <c r="E8" s="6">
        <v>58.9375</v>
      </c>
      <c r="F8" s="6">
        <v>-130.54900000000001</v>
      </c>
      <c r="G8" s="6">
        <v>150</v>
      </c>
      <c r="H8" s="5" t="s">
        <v>22</v>
      </c>
      <c r="I8" s="6">
        <v>36</v>
      </c>
      <c r="J8" s="6">
        <v>424.94760000000002</v>
      </c>
      <c r="K8" s="6">
        <v>129.55618024565354</v>
      </c>
      <c r="L8" s="6" t="s">
        <v>22</v>
      </c>
      <c r="M8" s="6">
        <v>125.70841406300001</v>
      </c>
      <c r="N8" s="6">
        <v>260.41310937499998</v>
      </c>
      <c r="O8" s="6">
        <f>Table1[[#This Row],[R1 Length (km)]]+Table1[[#This Row],[T1 Length (km)]]</f>
        <v>386.121523438</v>
      </c>
      <c r="P8" s="5">
        <v>230</v>
      </c>
      <c r="Q8" s="6">
        <f>(Table1[[#This Row],[Linear Features (km)]]*0.4)*100</f>
        <v>15444.860937520003</v>
      </c>
      <c r="R8" s="7">
        <f>((PI()*(45^2))*Table1[[#This Row],[Number of Turbines - WIND]])/10000</f>
        <v>41.987385815227583</v>
      </c>
      <c r="S8" s="8">
        <f>Table1[[#This Row],[ATG (ha)]]/Table1[[#This Row],[Linear Area (ha)]]</f>
        <v>2.7185344034550783E-3</v>
      </c>
      <c r="T8" s="5" t="s">
        <v>115</v>
      </c>
      <c r="U8" s="5">
        <f>35+31</f>
        <v>66</v>
      </c>
      <c r="V8" s="7" t="s">
        <v>22</v>
      </c>
      <c r="W8" s="7" t="s">
        <v>22</v>
      </c>
      <c r="X8" s="11">
        <f>1204.21486449894+85.10223+30.21334</f>
        <v>1319.5304344989399</v>
      </c>
      <c r="Y8" s="10">
        <f>Table1[[#This Row],[Raw Terrestrial Score]]/Table1[[#This Row],[Summed Raw Scores]]</f>
        <v>0.41398633286573289</v>
      </c>
      <c r="Z8" s="11">
        <f>1800.23993937951+40.13851+27.46792</f>
        <v>1867.84636937951</v>
      </c>
      <c r="AA8" s="10">
        <f>Table1[[#This Row],[Raw Freshwater Score]]/Table1[[#This Row],[Summed Raw Scores]]</f>
        <v>0.58601366713426706</v>
      </c>
      <c r="AB8" s="10">
        <f>Table1[[#This Row],[Raw Terrestrial Score]]+Table1[[#This Row],[Raw Freshwater Score]]</f>
        <v>3187.3768038784501</v>
      </c>
      <c r="AC8" s="12">
        <f>Table1[[#This Row],[Terrestrial % of Summed Score]]*Table1[[#This Row],[Scaled Summed Score]]</f>
        <v>0.26158482339359512</v>
      </c>
      <c r="AD8" s="12">
        <f>Table1[[#This Row],[Freshwater % of Summed Score]]*Table1[[#This Row],[Scaled Summed Score]]</f>
        <v>0.37028343559657362</v>
      </c>
      <c r="AE8" s="12">
        <f>Table1[[#This Row],[Summed Raw Scores]]/MAX(Table1[Summed Raw Scores])</f>
        <v>0.63186825899016874</v>
      </c>
      <c r="AF8" s="7"/>
    </row>
    <row r="9" spans="1:32" x14ac:dyDescent="0.3">
      <c r="A9" s="5" t="s">
        <v>119</v>
      </c>
      <c r="B9" s="5" t="s">
        <v>114</v>
      </c>
      <c r="C9" s="5" t="s">
        <v>30</v>
      </c>
      <c r="D9" s="5"/>
      <c r="E9" s="6">
        <v>58.5032</v>
      </c>
      <c r="F9" s="6">
        <v>-130.44200000000001</v>
      </c>
      <c r="G9" s="6">
        <v>160</v>
      </c>
      <c r="H9" s="5" t="s">
        <v>22</v>
      </c>
      <c r="I9" s="6">
        <v>38.4</v>
      </c>
      <c r="J9" s="6">
        <v>526.72127999999998</v>
      </c>
      <c r="K9" s="6">
        <v>97.630343521356849</v>
      </c>
      <c r="L9" s="6" t="s">
        <v>22</v>
      </c>
      <c r="M9" s="6">
        <v>43.094367187499998</v>
      </c>
      <c r="N9" s="6">
        <v>265.36450000000002</v>
      </c>
      <c r="O9" s="6">
        <f>Table1[[#This Row],[R1 Length (km)]]+Table1[[#This Row],[T1 Length (km)]]</f>
        <v>308.4588671875</v>
      </c>
      <c r="P9" s="5">
        <v>230</v>
      </c>
      <c r="Q9" s="6">
        <f>(Table1[[#This Row],[Linear Features (km)]]*0.4)*100</f>
        <v>12338.354687500001</v>
      </c>
      <c r="R9" s="7">
        <f>((PI()*(45^2))*Table1[[#This Row],[Number of Turbines - WIND]])/10000</f>
        <v>44.532075864635317</v>
      </c>
      <c r="S9" s="8">
        <f>Table1[[#This Row],[ATG (ha)]]/Table1[[#This Row],[Linear Area (ha)]]</f>
        <v>3.6092393996219616E-3</v>
      </c>
      <c r="T9" s="5" t="s">
        <v>115</v>
      </c>
      <c r="U9" s="5">
        <f>29+41</f>
        <v>70</v>
      </c>
      <c r="V9" s="7" t="s">
        <v>22</v>
      </c>
      <c r="W9" s="7" t="s">
        <v>22</v>
      </c>
      <c r="X9" s="11">
        <f>758.893757431768+97.43461+64.85512</f>
        <v>921.18348743176807</v>
      </c>
      <c r="Y9" s="10">
        <f>Table1[[#This Row],[Raw Terrestrial Score]]/Table1[[#This Row],[Summed Raw Scores]]</f>
        <v>0.34859812752155972</v>
      </c>
      <c r="Z9" s="11">
        <f>1678.28551964089+21.64306+21.42504</f>
        <v>1721.3536196408902</v>
      </c>
      <c r="AA9" s="10">
        <f>Table1[[#This Row],[Raw Freshwater Score]]/Table1[[#This Row],[Summed Raw Scores]]</f>
        <v>0.65140187247844028</v>
      </c>
      <c r="AB9" s="10">
        <f>Table1[[#This Row],[Raw Terrestrial Score]]+Table1[[#This Row],[Raw Freshwater Score]]</f>
        <v>2642.5371070726583</v>
      </c>
      <c r="AC9" s="12">
        <f>Table1[[#This Row],[Terrestrial % of Summed Score]]*Table1[[#This Row],[Scaled Summed Score]]</f>
        <v>0.18261618949655886</v>
      </c>
      <c r="AD9" s="12">
        <f>Table1[[#This Row],[Freshwater % of Summed Score]]*Table1[[#This Row],[Scaled Summed Score]]</f>
        <v>0.34124258965097004</v>
      </c>
      <c r="AE9" s="12">
        <f>Table1[[#This Row],[Summed Raw Scores]]/MAX(Table1[Summed Raw Scores])</f>
        <v>0.52385877914752887</v>
      </c>
      <c r="AF9" s="7"/>
    </row>
    <row r="10" spans="1:32" x14ac:dyDescent="0.3">
      <c r="A10" s="5" t="s">
        <v>120</v>
      </c>
      <c r="B10" s="5" t="s">
        <v>114</v>
      </c>
      <c r="C10" s="5" t="s">
        <v>27</v>
      </c>
      <c r="D10" s="5"/>
      <c r="E10" s="6">
        <v>59.872</v>
      </c>
      <c r="F10" s="6">
        <v>-125.95399999999999</v>
      </c>
      <c r="G10" s="6">
        <v>230</v>
      </c>
      <c r="H10" s="5" t="s">
        <v>22</v>
      </c>
      <c r="I10" s="6">
        <v>55.199999999999996</v>
      </c>
      <c r="J10" s="6">
        <v>677.57723999999996</v>
      </c>
      <c r="K10" s="6">
        <v>133.41293737782709</v>
      </c>
      <c r="L10" s="6" t="s">
        <v>22</v>
      </c>
      <c r="M10" s="6">
        <v>18.295330078100001</v>
      </c>
      <c r="N10" s="6">
        <v>244.59537499999999</v>
      </c>
      <c r="O10" s="6">
        <f>Table1[[#This Row],[R1 Length (km)]]+Table1[[#This Row],[T1 Length (km)]]</f>
        <v>262.89070507809998</v>
      </c>
      <c r="P10" s="5">
        <v>130</v>
      </c>
      <c r="Q10" s="6">
        <f>(Table1[[#This Row],[Linear Features (km)]]*0.4)*100</f>
        <v>10515.628203123999</v>
      </c>
      <c r="R10" s="7">
        <f>((PI()*(45^2))*Table1[[#This Row],[Number of Turbines - WIND]])/10000</f>
        <v>64.253423747545241</v>
      </c>
      <c r="S10" s="8">
        <f>Table1[[#This Row],[ATG (ha)]]/Table1[[#This Row],[Linear Area (ha)]]</f>
        <v>6.1102791489391697E-3</v>
      </c>
      <c r="T10" s="5" t="s">
        <v>115</v>
      </c>
      <c r="U10" s="5">
        <v>101</v>
      </c>
      <c r="V10" s="7" t="s">
        <v>22</v>
      </c>
      <c r="W10" s="7" t="s">
        <v>22</v>
      </c>
      <c r="X10" s="11">
        <f>1103.73925226741+78.27541</f>
        <v>1182.0146622674099</v>
      </c>
      <c r="Y10" s="10">
        <f>Table1[[#This Row],[Raw Terrestrial Score]]/Table1[[#This Row],[Summed Raw Scores]]</f>
        <v>0.42677987439794213</v>
      </c>
      <c r="Z10" s="11">
        <f>1478.01683955174+109.5805</f>
        <v>1587.5973395517401</v>
      </c>
      <c r="AA10" s="10">
        <f>Table1[[#This Row],[Raw Freshwater Score]]/Table1[[#This Row],[Summed Raw Scores]]</f>
        <v>0.57322012560205782</v>
      </c>
      <c r="AB10" s="10">
        <f>Table1[[#This Row],[Raw Terrestrial Score]]+Table1[[#This Row],[Raw Freshwater Score]]</f>
        <v>2769.61200181915</v>
      </c>
      <c r="AC10" s="12">
        <f>Table1[[#This Row],[Terrestrial % of Summed Score]]*Table1[[#This Row],[Scaled Summed Score]]</f>
        <v>0.23432358102090353</v>
      </c>
      <c r="AD10" s="12">
        <f>Table1[[#This Row],[Freshwater % of Summed Score]]*Table1[[#This Row],[Scaled Summed Score]]</f>
        <v>0.31472663216326668</v>
      </c>
      <c r="AE10" s="12">
        <f>Table1[[#This Row],[Summed Raw Scores]]/MAX(Table1[Summed Raw Scores])</f>
        <v>0.54905021318417024</v>
      </c>
      <c r="AF10" s="7"/>
    </row>
    <row r="11" spans="1:32" x14ac:dyDescent="0.3">
      <c r="A11" s="5" t="s">
        <v>121</v>
      </c>
      <c r="B11" s="5" t="s">
        <v>114</v>
      </c>
      <c r="C11" s="5" t="s">
        <v>27</v>
      </c>
      <c r="D11" s="5"/>
      <c r="E11" s="6">
        <v>59.7913</v>
      </c>
      <c r="F11" s="6">
        <v>-125.352</v>
      </c>
      <c r="G11" s="6">
        <v>290</v>
      </c>
      <c r="H11" s="5" t="s">
        <v>22</v>
      </c>
      <c r="I11" s="6">
        <v>69.599999999999994</v>
      </c>
      <c r="J11" s="6">
        <v>892.69655999999998</v>
      </c>
      <c r="K11" s="6">
        <v>112.49687077743719</v>
      </c>
      <c r="L11" s="6" t="s">
        <v>22</v>
      </c>
      <c r="M11" s="6">
        <v>30.673519531300002</v>
      </c>
      <c r="N11" s="6">
        <v>572.73781250000002</v>
      </c>
      <c r="O11" s="6">
        <f>Table1[[#This Row],[R1 Length (km)]]+Table1[[#This Row],[T1 Length (km)]]</f>
        <v>603.41133203130005</v>
      </c>
      <c r="P11" s="5">
        <v>230</v>
      </c>
      <c r="Q11" s="6">
        <f>(Table1[[#This Row],[Linear Features (km)]]*0.4)*100</f>
        <v>24136.453281252001</v>
      </c>
      <c r="R11" s="7">
        <f>((PI()*(45^2))*Table1[[#This Row],[Number of Turbines - WIND]])/10000</f>
        <v>80.157736556343565</v>
      </c>
      <c r="S11" s="8">
        <f>Table1[[#This Row],[ATG (ha)]]/Table1[[#This Row],[Linear Area (ha)]]</f>
        <v>3.3210238315588029E-3</v>
      </c>
      <c r="T11" s="5" t="s">
        <v>115</v>
      </c>
      <c r="U11" s="5">
        <v>126</v>
      </c>
      <c r="V11" s="7" t="s">
        <v>22</v>
      </c>
      <c r="W11" s="7" t="s">
        <v>22</v>
      </c>
      <c r="X11" s="11">
        <f>1212.64904482476+95.93623+37.69003</f>
        <v>1346.27530482476</v>
      </c>
      <c r="Y11" s="10">
        <f>Table1[[#This Row],[Raw Terrestrial Score]]/Table1[[#This Row],[Summed Raw Scores]]</f>
        <v>0.42287963805496137</v>
      </c>
      <c r="Z11" s="11">
        <f>1757.78448105231+79.53002</f>
        <v>1837.3145010523099</v>
      </c>
      <c r="AA11" s="10">
        <f>Table1[[#This Row],[Raw Freshwater Score]]/Table1[[#This Row],[Summed Raw Scores]]</f>
        <v>0.57712036194503868</v>
      </c>
      <c r="AB11" s="10">
        <f>Table1[[#This Row],[Raw Terrestrial Score]]+Table1[[#This Row],[Raw Freshwater Score]]</f>
        <v>3183.5898058770699</v>
      </c>
      <c r="AC11" s="12">
        <f>Table1[[#This Row],[Terrestrial % of Summed Score]]*Table1[[#This Row],[Scaled Summed Score]]</f>
        <v>0.26688674898617976</v>
      </c>
      <c r="AD11" s="12">
        <f>Table1[[#This Row],[Freshwater % of Summed Score]]*Table1[[#This Row],[Scaled Summed Score]]</f>
        <v>0.36423077233437312</v>
      </c>
      <c r="AE11" s="12">
        <f>Table1[[#This Row],[Summed Raw Scores]]/MAX(Table1[Summed Raw Scores])</f>
        <v>0.63111752132055288</v>
      </c>
      <c r="AF11" s="7"/>
    </row>
    <row r="12" spans="1:32" x14ac:dyDescent="0.3">
      <c r="A12" s="5" t="s">
        <v>122</v>
      </c>
      <c r="B12" s="5" t="s">
        <v>114</v>
      </c>
      <c r="C12" s="5" t="s">
        <v>30</v>
      </c>
      <c r="D12" s="5" t="s">
        <v>250</v>
      </c>
      <c r="E12" s="6">
        <v>54.712200000000003</v>
      </c>
      <c r="F12" s="6">
        <v>-126.67100000000001</v>
      </c>
      <c r="G12" s="6">
        <v>170</v>
      </c>
      <c r="H12" s="5" t="s">
        <v>22</v>
      </c>
      <c r="I12" s="6">
        <v>40.799999999999997</v>
      </c>
      <c r="J12" s="6">
        <v>481.60728</v>
      </c>
      <c r="K12" s="6">
        <v>78.565597635227192</v>
      </c>
      <c r="L12" s="6" t="s">
        <v>22</v>
      </c>
      <c r="M12" s="6">
        <v>94.627750000000006</v>
      </c>
      <c r="N12" s="6">
        <v>535.23418749999996</v>
      </c>
      <c r="O12" s="6">
        <f>Table1[[#This Row],[R1 Length (km)]]+Table1[[#This Row],[T1 Length (km)]]</f>
        <v>629.86193749999995</v>
      </c>
      <c r="P12" s="5">
        <v>230</v>
      </c>
      <c r="Q12" s="6">
        <f>(Table1[[#This Row],[Linear Features (km)]]*0.4)*100</f>
        <v>25194.477500000001</v>
      </c>
      <c r="R12" s="7">
        <f>((PI()*(45^2))*Table1[[#This Row],[Number of Turbines - WIND]])/10000</f>
        <v>46.44059340169111</v>
      </c>
      <c r="S12" s="8">
        <f>Table1[[#This Row],[ATG (ha)]]/Table1[[#This Row],[Linear Area (ha)]]</f>
        <v>1.8432846405205708E-3</v>
      </c>
      <c r="T12" s="5" t="s">
        <v>115</v>
      </c>
      <c r="U12" s="5">
        <v>73</v>
      </c>
      <c r="V12" s="7" t="s">
        <v>22</v>
      </c>
      <c r="W12" s="7" t="s">
        <v>22</v>
      </c>
      <c r="X12" s="11">
        <f>259.679567942396+37.69003</f>
        <v>297.36959794239596</v>
      </c>
      <c r="Y12" s="10">
        <f>Table1[[#This Row],[Raw Terrestrial Score]]/Table1[[#This Row],[Summed Raw Scores]]</f>
        <v>0.34341557073869222</v>
      </c>
      <c r="Z12" s="11">
        <f>340.129634454846+228.4184</f>
        <v>568.54803445484595</v>
      </c>
      <c r="AA12" s="10">
        <f>Table1[[#This Row],[Raw Freshwater Score]]/Table1[[#This Row],[Summed Raw Scores]]</f>
        <v>0.65658442926130767</v>
      </c>
      <c r="AB12" s="10">
        <f>Table1[[#This Row],[Raw Terrestrial Score]]+Table1[[#This Row],[Raw Freshwater Score]]</f>
        <v>865.91763239724196</v>
      </c>
      <c r="AC12" s="12">
        <f>Table1[[#This Row],[Terrestrial % of Summed Score]]*Table1[[#This Row],[Scaled Summed Score]]</f>
        <v>5.8950799259074239E-2</v>
      </c>
      <c r="AD12" s="12">
        <f>Table1[[#This Row],[Freshwater % of Summed Score]]*Table1[[#This Row],[Scaled Summed Score]]</f>
        <v>0.11270944064289104</v>
      </c>
      <c r="AE12" s="12">
        <f>Table1[[#This Row],[Summed Raw Scores]]/MAX(Table1[Summed Raw Scores])</f>
        <v>0.1716602399019653</v>
      </c>
      <c r="AF12" s="7"/>
    </row>
    <row r="13" spans="1:32" x14ac:dyDescent="0.3">
      <c r="A13" s="5" t="s">
        <v>123</v>
      </c>
      <c r="B13" s="5" t="s">
        <v>114</v>
      </c>
      <c r="C13" s="5" t="s">
        <v>30</v>
      </c>
      <c r="D13" s="5" t="s">
        <v>250</v>
      </c>
      <c r="E13" s="6">
        <v>54.700099999999999</v>
      </c>
      <c r="F13" s="6">
        <v>-127.529</v>
      </c>
      <c r="G13" s="6">
        <v>105</v>
      </c>
      <c r="H13" s="5" t="s">
        <v>22</v>
      </c>
      <c r="I13" s="6">
        <v>25.2</v>
      </c>
      <c r="J13" s="6">
        <v>309.32873999999998</v>
      </c>
      <c r="K13" s="6">
        <v>79.891535204200608</v>
      </c>
      <c r="L13" s="6" t="s">
        <v>22</v>
      </c>
      <c r="M13" s="6">
        <v>1.0899495849600001</v>
      </c>
      <c r="N13" s="6">
        <v>24.509544921875001</v>
      </c>
      <c r="O13" s="6">
        <f>Table1[[#This Row],[R1 Length (km)]]+Table1[[#This Row],[T1 Length (km)]]</f>
        <v>25.599494506835001</v>
      </c>
      <c r="P13" s="5">
        <v>230</v>
      </c>
      <c r="Q13" s="6">
        <f>(Table1[[#This Row],[Linear Features (km)]]*0.4)*100</f>
        <v>1023.9797802734001</v>
      </c>
      <c r="R13" s="7">
        <f>((PI()*(45^2))*Table1[[#This Row],[Number of Turbines - WIND]])/10000</f>
        <v>28.627763055836986</v>
      </c>
      <c r="S13" s="8">
        <f>Table1[[#This Row],[ATG (ha)]]/Table1[[#This Row],[Linear Area (ha)]]</f>
        <v>2.7957351900243031E-2</v>
      </c>
      <c r="T13" s="5" t="s">
        <v>115</v>
      </c>
      <c r="U13" s="5">
        <v>45</v>
      </c>
      <c r="V13" s="7" t="s">
        <v>22</v>
      </c>
      <c r="W13" s="7" t="s">
        <v>22</v>
      </c>
      <c r="X13" s="11">
        <f>779.659056045115+49.78</f>
        <v>829.43905604511497</v>
      </c>
      <c r="Y13" s="10">
        <f>Table1[[#This Row],[Raw Terrestrial Score]]/Table1[[#This Row],[Summed Raw Scores]]</f>
        <v>0.4686120361071478</v>
      </c>
      <c r="Z13" s="11">
        <f>798.136879175901+142.415</f>
        <v>940.55187917590092</v>
      </c>
      <c r="AA13" s="10">
        <f>Table1[[#This Row],[Raw Freshwater Score]]/Table1[[#This Row],[Summed Raw Scores]]</f>
        <v>0.53138796389285226</v>
      </c>
      <c r="AB13" s="10">
        <f>Table1[[#This Row],[Raw Terrestrial Score]]+Table1[[#This Row],[Raw Freshwater Score]]</f>
        <v>1769.9909352210159</v>
      </c>
      <c r="AC13" s="12">
        <f>Table1[[#This Row],[Terrestrial % of Summed Score]]*Table1[[#This Row],[Scaled Summed Score]]</f>
        <v>0.16442869623821924</v>
      </c>
      <c r="AD13" s="12">
        <f>Table1[[#This Row],[Freshwater % of Summed Score]]*Table1[[#This Row],[Scaled Summed Score]]</f>
        <v>0.1864557957696274</v>
      </c>
      <c r="AE13" s="12">
        <f>Table1[[#This Row],[Summed Raw Scores]]/MAX(Table1[Summed Raw Scores])</f>
        <v>0.3508844920078466</v>
      </c>
      <c r="AF13" s="7"/>
    </row>
    <row r="14" spans="1:32" x14ac:dyDescent="0.3">
      <c r="A14" s="5" t="s">
        <v>124</v>
      </c>
      <c r="B14" s="5" t="s">
        <v>114</v>
      </c>
      <c r="C14" s="5" t="s">
        <v>30</v>
      </c>
      <c r="D14" s="5" t="s">
        <v>250</v>
      </c>
      <c r="E14" s="6">
        <v>54.531500000000001</v>
      </c>
      <c r="F14" s="6">
        <v>-127.35899999999999</v>
      </c>
      <c r="G14" s="6">
        <v>105</v>
      </c>
      <c r="H14" s="5" t="s">
        <v>22</v>
      </c>
      <c r="I14" s="6">
        <v>25.2</v>
      </c>
      <c r="J14" s="6">
        <v>323.21771999999999</v>
      </c>
      <c r="K14" s="6">
        <v>76.87076421151724</v>
      </c>
      <c r="L14" s="6" t="s">
        <v>22</v>
      </c>
      <c r="M14" s="6">
        <v>1.80710681152</v>
      </c>
      <c r="N14" s="6">
        <v>27.706601562500001</v>
      </c>
      <c r="O14" s="6">
        <f>Table1[[#This Row],[R1 Length (km)]]+Table1[[#This Row],[T1 Length (km)]]</f>
        <v>29.513708374020002</v>
      </c>
      <c r="P14" s="5">
        <v>130</v>
      </c>
      <c r="Q14" s="6">
        <f>(Table1[[#This Row],[Linear Features (km)]]*0.4)*100</f>
        <v>1180.5483349608003</v>
      </c>
      <c r="R14" s="7">
        <f>((PI()*(45^2))*Table1[[#This Row],[Number of Turbines - WIND]])/10000</f>
        <v>28.627763055836986</v>
      </c>
      <c r="S14" s="8">
        <f>Table1[[#This Row],[ATG (ha)]]/Table1[[#This Row],[Linear Area (ha)]]</f>
        <v>2.4249547611100195E-2</v>
      </c>
      <c r="T14" s="5" t="s">
        <v>115</v>
      </c>
      <c r="U14" s="5">
        <v>45</v>
      </c>
      <c r="V14" s="7" t="s">
        <v>22</v>
      </c>
      <c r="W14" s="7" t="s">
        <v>22</v>
      </c>
      <c r="X14" s="11">
        <f>1051.76106178761+348.4587</f>
        <v>1400.21976178761</v>
      </c>
      <c r="Y14" s="10">
        <f>Table1[[#This Row],[Raw Terrestrial Score]]/Table1[[#This Row],[Summed Raw Scores]]</f>
        <v>0.53339934199891093</v>
      </c>
      <c r="Z14" s="11">
        <f>899.291894376278+325.5755</f>
        <v>1224.8673943762781</v>
      </c>
      <c r="AA14" s="10">
        <f>Table1[[#This Row],[Raw Freshwater Score]]/Table1[[#This Row],[Summed Raw Scores]]</f>
        <v>0.46660065800108919</v>
      </c>
      <c r="AB14" s="10">
        <f>Table1[[#This Row],[Raw Terrestrial Score]]+Table1[[#This Row],[Raw Freshwater Score]]</f>
        <v>2625.0871561638878</v>
      </c>
      <c r="AC14" s="12">
        <f>Table1[[#This Row],[Terrestrial % of Summed Score]]*Table1[[#This Row],[Scaled Summed Score]]</f>
        <v>0.27758074351541456</v>
      </c>
      <c r="AD14" s="12">
        <f>Table1[[#This Row],[Freshwater % of Summed Score]]*Table1[[#This Row],[Scaled Summed Score]]</f>
        <v>0.24281874268414161</v>
      </c>
      <c r="AE14" s="12">
        <f>Table1[[#This Row],[Summed Raw Scores]]/MAX(Table1[Summed Raw Scores])</f>
        <v>0.52039948619955612</v>
      </c>
      <c r="AF14" s="7"/>
    </row>
    <row r="15" spans="1:32" x14ac:dyDescent="0.3">
      <c r="A15" s="5" t="s">
        <v>125</v>
      </c>
      <c r="B15" s="5" t="s">
        <v>114</v>
      </c>
      <c r="C15" s="5" t="s">
        <v>30</v>
      </c>
      <c r="D15" s="5" t="s">
        <v>250</v>
      </c>
      <c r="E15" s="6">
        <v>54.953699999999998</v>
      </c>
      <c r="F15" s="6">
        <v>-125.59099999999999</v>
      </c>
      <c r="G15" s="6">
        <v>220</v>
      </c>
      <c r="H15" s="5" t="s">
        <v>22</v>
      </c>
      <c r="I15" s="6">
        <v>52.8</v>
      </c>
      <c r="J15" s="6">
        <v>648.11735999999996</v>
      </c>
      <c r="K15" s="6">
        <v>83.829652025682037</v>
      </c>
      <c r="L15" s="6" t="s">
        <v>22</v>
      </c>
      <c r="M15" s="6">
        <v>0.241421356201</v>
      </c>
      <c r="N15" s="6">
        <v>32.540412109374998</v>
      </c>
      <c r="O15" s="6">
        <f>Table1[[#This Row],[R1 Length (km)]]+Table1[[#This Row],[T1 Length (km)]]</f>
        <v>32.781833465576</v>
      </c>
      <c r="P15" s="5">
        <v>130</v>
      </c>
      <c r="Q15" s="6">
        <f>(Table1[[#This Row],[Linear Features (km)]]*0.4)*100</f>
        <v>1311.27333862304</v>
      </c>
      <c r="R15" s="7">
        <f>((PI()*(45^2))*Table1[[#This Row],[Number of Turbines - WIND]])/10000</f>
        <v>60.43638867343364</v>
      </c>
      <c r="S15" s="8">
        <f>Table1[[#This Row],[ATG (ha)]]/Table1[[#This Row],[Linear Area (ha)]]</f>
        <v>4.6089847854984621E-2</v>
      </c>
      <c r="T15" s="5" t="s">
        <v>115</v>
      </c>
      <c r="U15" s="5">
        <v>95</v>
      </c>
      <c r="V15" s="7" t="s">
        <v>22</v>
      </c>
      <c r="W15" s="7" t="s">
        <v>22</v>
      </c>
      <c r="X15" s="11">
        <f>607.869074318558+192.3419</f>
        <v>800.21097431855799</v>
      </c>
      <c r="Y15" s="10">
        <f>Table1[[#This Row],[Raw Terrestrial Score]]/Table1[[#This Row],[Summed Raw Scores]]</f>
        <v>0.28083792823751869</v>
      </c>
      <c r="Z15" s="11">
        <f>1462.79273751378+586.3656</f>
        <v>2049.1583375137798</v>
      </c>
      <c r="AA15" s="10">
        <f>Table1[[#This Row],[Raw Freshwater Score]]/Table1[[#This Row],[Summed Raw Scores]]</f>
        <v>0.71916207176248137</v>
      </c>
      <c r="AB15" s="10">
        <f>Table1[[#This Row],[Raw Terrestrial Score]]+Table1[[#This Row],[Raw Freshwater Score]]</f>
        <v>2849.3693118323376</v>
      </c>
      <c r="AC15" s="12">
        <f>Table1[[#This Row],[Terrestrial % of Summed Score]]*Table1[[#This Row],[Scaled Summed Score]]</f>
        <v>0.15863449672854424</v>
      </c>
      <c r="AD15" s="12">
        <f>Table1[[#This Row],[Freshwater % of Summed Score]]*Table1[[#This Row],[Scaled Summed Score]]</f>
        <v>0.40622687268869173</v>
      </c>
      <c r="AE15" s="12">
        <f>Table1[[#This Row],[Summed Raw Scores]]/MAX(Table1[Summed Raw Scores])</f>
        <v>0.56486136941723597</v>
      </c>
      <c r="AF15" s="7"/>
    </row>
    <row r="16" spans="1:32" x14ac:dyDescent="0.3">
      <c r="A16" s="5" t="s">
        <v>126</v>
      </c>
      <c r="B16" s="5" t="s">
        <v>114</v>
      </c>
      <c r="C16" s="5" t="s">
        <v>30</v>
      </c>
      <c r="D16" s="5" t="s">
        <v>250</v>
      </c>
      <c r="E16" s="6">
        <v>54.610999999999997</v>
      </c>
      <c r="F16" s="6">
        <v>-126.136</v>
      </c>
      <c r="G16" s="6">
        <v>260</v>
      </c>
      <c r="H16" s="5" t="s">
        <v>22</v>
      </c>
      <c r="I16" s="6">
        <v>62.4</v>
      </c>
      <c r="J16" s="6">
        <v>765.95687999999996</v>
      </c>
      <c r="K16" s="6">
        <v>74.242169125861622</v>
      </c>
      <c r="L16" s="6" t="s">
        <v>22</v>
      </c>
      <c r="M16" s="6">
        <v>3.5213208007799999</v>
      </c>
      <c r="N16" s="6">
        <v>98.315343749999997</v>
      </c>
      <c r="O16" s="6">
        <f>Table1[[#This Row],[R1 Length (km)]]+Table1[[#This Row],[T1 Length (km)]]</f>
        <v>101.83666455078</v>
      </c>
      <c r="P16" s="5">
        <v>230</v>
      </c>
      <c r="Q16" s="6">
        <f>(Table1[[#This Row],[Linear Features (km)]]*0.4)*100</f>
        <v>4073.4665820312002</v>
      </c>
      <c r="R16" s="7">
        <f>((PI()*(45^2))*Table1[[#This Row],[Number of Turbines - WIND]])/10000</f>
        <v>71.887493895768429</v>
      </c>
      <c r="S16" s="8">
        <f>Table1[[#This Row],[ATG (ha)]]/Table1[[#This Row],[Linear Area (ha)]]</f>
        <v>1.7647743622809426E-2</v>
      </c>
      <c r="T16" s="5" t="s">
        <v>115</v>
      </c>
      <c r="U16" s="5">
        <v>113</v>
      </c>
      <c r="V16" s="7" t="s">
        <v>22</v>
      </c>
      <c r="W16" s="7" t="s">
        <v>22</v>
      </c>
      <c r="X16" s="11">
        <f>246.785580363125+44.12083</f>
        <v>290.90641036312502</v>
      </c>
      <c r="Y16" s="10">
        <f>Table1[[#This Row],[Raw Terrestrial Score]]/Table1[[#This Row],[Summed Raw Scores]]</f>
        <v>0.17819456899243047</v>
      </c>
      <c r="Z16" s="11">
        <f>873.926782667637+467.688</f>
        <v>1341.614782667637</v>
      </c>
      <c r="AA16" s="10">
        <f>Table1[[#This Row],[Raw Freshwater Score]]/Table1[[#This Row],[Summed Raw Scores]]</f>
        <v>0.82180543100756964</v>
      </c>
      <c r="AB16" s="10">
        <f>Table1[[#This Row],[Raw Terrestrial Score]]+Table1[[#This Row],[Raw Freshwater Score]]</f>
        <v>1632.5211930307619</v>
      </c>
      <c r="AC16" s="12">
        <f>Table1[[#This Row],[Terrestrial % of Summed Score]]*Table1[[#This Row],[Scaled Summed Score]]</f>
        <v>5.7669531516185646E-2</v>
      </c>
      <c r="AD16" s="12">
        <f>Table1[[#This Row],[Freshwater % of Summed Score]]*Table1[[#This Row],[Scaled Summed Score]]</f>
        <v>0.26596284315307489</v>
      </c>
      <c r="AE16" s="12">
        <f>Table1[[#This Row],[Summed Raw Scores]]/MAX(Table1[Summed Raw Scores])</f>
        <v>0.32363237466926048</v>
      </c>
      <c r="AF16" s="7"/>
    </row>
    <row r="17" spans="1:32" x14ac:dyDescent="0.3">
      <c r="A17" s="5" t="s">
        <v>127</v>
      </c>
      <c r="B17" s="5" t="s">
        <v>114</v>
      </c>
      <c r="C17" s="5" t="s">
        <v>30</v>
      </c>
      <c r="D17" s="5" t="s">
        <v>250</v>
      </c>
      <c r="E17" s="6">
        <v>55.331899999999997</v>
      </c>
      <c r="F17" s="6">
        <v>-126.911</v>
      </c>
      <c r="G17" s="6">
        <v>105</v>
      </c>
      <c r="H17" s="5" t="s">
        <v>22</v>
      </c>
      <c r="I17" s="6">
        <v>25.2</v>
      </c>
      <c r="J17" s="6">
        <v>309.32873999999998</v>
      </c>
      <c r="K17" s="6">
        <v>84.230430873324536</v>
      </c>
      <c r="L17" s="6" t="s">
        <v>22</v>
      </c>
      <c r="M17" s="6">
        <v>14.226689453100001</v>
      </c>
      <c r="N17" s="6">
        <v>45.149242187500001</v>
      </c>
      <c r="O17" s="6">
        <f>Table1[[#This Row],[R1 Length (km)]]+Table1[[#This Row],[T1 Length (km)]]</f>
        <v>59.375931640600001</v>
      </c>
      <c r="P17" s="5">
        <v>230</v>
      </c>
      <c r="Q17" s="6">
        <f>(Table1[[#This Row],[Linear Features (km)]]*0.4)*100</f>
        <v>2375.0372656240002</v>
      </c>
      <c r="R17" s="7">
        <f>((PI()*(45^2))*Table1[[#This Row],[Number of Turbines - WIND]])/10000</f>
        <v>28.627763055836986</v>
      </c>
      <c r="S17" s="8">
        <f>Table1[[#This Row],[ATG (ha)]]/Table1[[#This Row],[Linear Area (ha)]]</f>
        <v>1.2053605840292166E-2</v>
      </c>
      <c r="T17" s="5" t="s">
        <v>115</v>
      </c>
      <c r="U17" s="5">
        <v>45</v>
      </c>
      <c r="V17" s="7" t="s">
        <v>22</v>
      </c>
      <c r="W17" s="7" t="s">
        <v>22</v>
      </c>
      <c r="X17" s="11">
        <f>544.760820195079+21.02773</f>
        <v>565.78855019507898</v>
      </c>
      <c r="Y17" s="10">
        <f>Table1[[#This Row],[Raw Terrestrial Score]]/Table1[[#This Row],[Summed Raw Scores]]</f>
        <v>0.36694921998982949</v>
      </c>
      <c r="Z17" s="11">
        <f>834.041166007519+142.0418</f>
        <v>976.08296600751896</v>
      </c>
      <c r="AA17" s="10">
        <f>Table1[[#This Row],[Raw Freshwater Score]]/Table1[[#This Row],[Summed Raw Scores]]</f>
        <v>0.63305078001017057</v>
      </c>
      <c r="AB17" s="10">
        <f>Table1[[#This Row],[Raw Terrestrial Score]]+Table1[[#This Row],[Raw Freshwater Score]]</f>
        <v>1541.8715162025978</v>
      </c>
      <c r="AC17" s="12">
        <f>Table1[[#This Row],[Terrestrial % of Summed Score]]*Table1[[#This Row],[Scaled Summed Score]]</f>
        <v>0.11216239816181131</v>
      </c>
      <c r="AD17" s="12">
        <f>Table1[[#This Row],[Freshwater % of Summed Score]]*Table1[[#This Row],[Scaled Summed Score]]</f>
        <v>0.19349950831374968</v>
      </c>
      <c r="AE17" s="12">
        <f>Table1[[#This Row],[Summed Raw Scores]]/MAX(Table1[Summed Raw Scores])</f>
        <v>0.30566190647556096</v>
      </c>
      <c r="AF17" s="7"/>
    </row>
    <row r="18" spans="1:32" x14ac:dyDescent="0.3">
      <c r="A18" s="5" t="s">
        <v>128</v>
      </c>
      <c r="B18" s="5" t="s">
        <v>114</v>
      </c>
      <c r="C18" s="5" t="s">
        <v>59</v>
      </c>
      <c r="D18" s="5"/>
      <c r="E18" s="6">
        <v>51.829300000000003</v>
      </c>
      <c r="F18" s="6">
        <v>-124.224</v>
      </c>
      <c r="G18" s="6">
        <v>130</v>
      </c>
      <c r="H18" s="5" t="s">
        <v>22</v>
      </c>
      <c r="I18" s="6">
        <v>31.2</v>
      </c>
      <c r="J18" s="6">
        <v>342.32327999999995</v>
      </c>
      <c r="K18" s="6">
        <v>117.50848183458334</v>
      </c>
      <c r="L18" s="6" t="s">
        <v>22</v>
      </c>
      <c r="M18" s="6">
        <v>5.2455844726600001</v>
      </c>
      <c r="N18" s="6">
        <v>48.727921875</v>
      </c>
      <c r="O18" s="6">
        <f>Table1[[#This Row],[R1 Length (km)]]+Table1[[#This Row],[T1 Length (km)]]</f>
        <v>53.973506347659999</v>
      </c>
      <c r="P18" s="5">
        <v>130</v>
      </c>
      <c r="Q18" s="6">
        <f>(Table1[[#This Row],[Linear Features (km)]]*0.4)*100</f>
        <v>2158.9402539063999</v>
      </c>
      <c r="R18" s="7">
        <f>((PI()*(45^2))*Table1[[#This Row],[Number of Turbines - WIND]])/10000</f>
        <v>36.261833204060189</v>
      </c>
      <c r="S18" s="8">
        <f>Table1[[#This Row],[ATG (ha)]]/Table1[[#This Row],[Linear Area (ha)]]</f>
        <v>1.679612631171604E-2</v>
      </c>
      <c r="T18" s="5" t="s">
        <v>115</v>
      </c>
      <c r="U18" s="5">
        <v>57</v>
      </c>
      <c r="V18" s="7" t="s">
        <v>22</v>
      </c>
      <c r="W18" s="7" t="s">
        <v>22</v>
      </c>
      <c r="X18" s="11">
        <f>2144.678909868+347.9238</f>
        <v>2492.6027098680001</v>
      </c>
      <c r="Y18" s="10">
        <f>Table1[[#This Row],[Raw Terrestrial Score]]/Table1[[#This Row],[Summed Raw Scores]]</f>
        <v>0.58548838052547625</v>
      </c>
      <c r="Z18" s="11">
        <f>1625.25986095518+139.4426</f>
        <v>1764.7024609551802</v>
      </c>
      <c r="AA18" s="10">
        <f>Table1[[#This Row],[Raw Freshwater Score]]/Table1[[#This Row],[Summed Raw Scores]]</f>
        <v>0.41451161947452364</v>
      </c>
      <c r="AB18" s="10">
        <f>Table1[[#This Row],[Raw Terrestrial Score]]+Table1[[#This Row],[Raw Freshwater Score]]</f>
        <v>4257.3051708231806</v>
      </c>
      <c r="AC18" s="12">
        <f>Table1[[#This Row],[Terrestrial % of Summed Score]]*Table1[[#This Row],[Scaled Summed Score]]</f>
        <v>0.49413565811296273</v>
      </c>
      <c r="AD18" s="12">
        <f>Table1[[#This Row],[Freshwater % of Summed Score]]*Table1[[#This Row],[Scaled Summed Score]]</f>
        <v>0.34983610042044416</v>
      </c>
      <c r="AE18" s="12">
        <f>Table1[[#This Row],[Summed Raw Scores]]/MAX(Table1[Summed Raw Scores])</f>
        <v>0.843971758533407</v>
      </c>
      <c r="AF18" s="7"/>
    </row>
    <row r="19" spans="1:32" x14ac:dyDescent="0.3">
      <c r="A19" s="5" t="s">
        <v>129</v>
      </c>
      <c r="B19" s="5" t="s">
        <v>114</v>
      </c>
      <c r="C19" s="5" t="s">
        <v>59</v>
      </c>
      <c r="D19" s="5"/>
      <c r="E19" s="6">
        <v>51.5627</v>
      </c>
      <c r="F19" s="6">
        <v>-123.431</v>
      </c>
      <c r="G19" s="6">
        <v>160</v>
      </c>
      <c r="H19" s="5" t="s">
        <v>22</v>
      </c>
      <c r="I19" s="6">
        <v>38.4</v>
      </c>
      <c r="J19" s="6">
        <v>471.35807999999997</v>
      </c>
      <c r="K19" s="6">
        <v>92.683466422761668</v>
      </c>
      <c r="L19" s="6" t="s">
        <v>22</v>
      </c>
      <c r="M19" s="6">
        <v>3.57989916992</v>
      </c>
      <c r="N19" s="6">
        <v>159.10723437499999</v>
      </c>
      <c r="O19" s="6">
        <f>Table1[[#This Row],[R1 Length (km)]]+Table1[[#This Row],[T1 Length (km)]]</f>
        <v>162.68713354491999</v>
      </c>
      <c r="P19" s="5">
        <v>230</v>
      </c>
      <c r="Q19" s="6">
        <f>(Table1[[#This Row],[Linear Features (km)]]*0.4)*100</f>
        <v>6507.4853417967997</v>
      </c>
      <c r="R19" s="7">
        <f>((PI()*(45^2))*Table1[[#This Row],[Number of Turbines - WIND]])/10000</f>
        <v>43.895903352283383</v>
      </c>
      <c r="S19" s="8">
        <f>Table1[[#This Row],[ATG (ha)]]/Table1[[#This Row],[Linear Area (ha)]]</f>
        <v>6.7454479029472793E-3</v>
      </c>
      <c r="T19" s="5" t="s">
        <v>115</v>
      </c>
      <c r="U19" s="5">
        <v>69</v>
      </c>
      <c r="V19" s="7" t="s">
        <v>22</v>
      </c>
      <c r="W19" s="7" t="s">
        <v>22</v>
      </c>
      <c r="X19" s="11">
        <f>1293.73665517569+335.1735</f>
        <v>1628.9101551756899</v>
      </c>
      <c r="Y19" s="10">
        <f>Table1[[#This Row],[Raw Terrestrial Score]]/Table1[[#This Row],[Summed Raw Scores]]</f>
        <v>0.60079702358852838</v>
      </c>
      <c r="Z19" s="11">
        <f>919.626054823399+162.7125</f>
        <v>1082.3385548233991</v>
      </c>
      <c r="AA19" s="10">
        <f>Table1[[#This Row],[Raw Freshwater Score]]/Table1[[#This Row],[Summed Raw Scores]]</f>
        <v>0.39920297641147162</v>
      </c>
      <c r="AB19" s="10">
        <f>Table1[[#This Row],[Raw Terrestrial Score]]+Table1[[#This Row],[Raw Freshwater Score]]</f>
        <v>2711.248709999089</v>
      </c>
      <c r="AC19" s="12">
        <f>Table1[[#This Row],[Terrestrial % of Summed Score]]*Table1[[#This Row],[Scaled Summed Score]]</f>
        <v>0.32291651948707573</v>
      </c>
      <c r="AD19" s="12">
        <f>Table1[[#This Row],[Freshwater % of Summed Score]]*Table1[[#This Row],[Scaled Summed Score]]</f>
        <v>0.21456370562840951</v>
      </c>
      <c r="AE19" s="12">
        <f>Table1[[#This Row],[Summed Raw Scores]]/MAX(Table1[Summed Raw Scores])</f>
        <v>0.53748022511548521</v>
      </c>
      <c r="AF19" s="7"/>
    </row>
    <row r="20" spans="1:32" x14ac:dyDescent="0.3">
      <c r="A20" s="5" t="s">
        <v>130</v>
      </c>
      <c r="B20" s="5" t="s">
        <v>114</v>
      </c>
      <c r="C20" s="5" t="s">
        <v>25</v>
      </c>
      <c r="D20" s="5"/>
      <c r="E20" s="6">
        <v>51.816400000000002</v>
      </c>
      <c r="F20" s="6">
        <v>-120.271</v>
      </c>
      <c r="G20" s="6">
        <v>165</v>
      </c>
      <c r="H20" s="5" t="s">
        <v>22</v>
      </c>
      <c r="I20" s="6">
        <v>39.6</v>
      </c>
      <c r="J20" s="6">
        <v>414.82979999999998</v>
      </c>
      <c r="K20" s="6">
        <v>98.213081982336419</v>
      </c>
      <c r="L20" s="6" t="s">
        <v>22</v>
      </c>
      <c r="M20" s="6">
        <v>2.1313708496099997</v>
      </c>
      <c r="N20" s="6">
        <v>121.614546875</v>
      </c>
      <c r="O20" s="6">
        <f>Table1[[#This Row],[R1 Length (km)]]+Table1[[#This Row],[T1 Length (km)]]</f>
        <v>123.74591772461</v>
      </c>
      <c r="P20" s="5">
        <v>230</v>
      </c>
      <c r="Q20" s="6">
        <f>(Table1[[#This Row],[Linear Features (km)]]*0.4)*100</f>
        <v>4949.8367089844005</v>
      </c>
      <c r="R20" s="7">
        <f>((PI()*(45^2))*Table1[[#This Row],[Number of Turbines - WIND]])/10000</f>
        <v>45.168248376987243</v>
      </c>
      <c r="S20" s="8">
        <f>Table1[[#This Row],[ATG (ha)]]/Table1[[#This Row],[Linear Area (ha)]]</f>
        <v>9.1251996848709764E-3</v>
      </c>
      <c r="T20" s="5" t="s">
        <v>115</v>
      </c>
      <c r="U20" s="5">
        <f>17+24+30</f>
        <v>71</v>
      </c>
      <c r="V20" s="7" t="s">
        <v>22</v>
      </c>
      <c r="W20" s="7" t="s">
        <v>22</v>
      </c>
      <c r="X20" s="11">
        <f>877.047652259469+24.42358+41.3616+24.20466</f>
        <v>967.03749225946899</v>
      </c>
      <c r="Y20" s="10">
        <f>Table1[[#This Row],[Raw Terrestrial Score]]/Table1[[#This Row],[Summed Raw Scores]]</f>
        <v>0.45899022365922187</v>
      </c>
      <c r="Z20" s="11">
        <f>865.222377762198+86.77984+66.69436+121.1463</f>
        <v>1139.842877762198</v>
      </c>
      <c r="AA20" s="10">
        <f>Table1[[#This Row],[Raw Freshwater Score]]/Table1[[#This Row],[Summed Raw Scores]]</f>
        <v>0.54100977634077818</v>
      </c>
      <c r="AB20" s="10">
        <f>Table1[[#This Row],[Raw Terrestrial Score]]+Table1[[#This Row],[Raw Freshwater Score]]</f>
        <v>2106.8803700216667</v>
      </c>
      <c r="AC20" s="12">
        <f>Table1[[#This Row],[Terrestrial % of Summed Score]]*Table1[[#This Row],[Scaled Summed Score]]</f>
        <v>0.19170632598840712</v>
      </c>
      <c r="AD20" s="12">
        <f>Table1[[#This Row],[Freshwater % of Summed Score]]*Table1[[#This Row],[Scaled Summed Score]]</f>
        <v>0.2259634109834632</v>
      </c>
      <c r="AE20" s="12">
        <f>Table1[[#This Row],[Summed Raw Scores]]/MAX(Table1[Summed Raw Scores])</f>
        <v>0.41766973697187032</v>
      </c>
      <c r="AF20" s="7"/>
    </row>
    <row r="21" spans="1:32" x14ac:dyDescent="0.3">
      <c r="A21" s="5" t="s">
        <v>41</v>
      </c>
      <c r="B21" s="5" t="s">
        <v>42</v>
      </c>
      <c r="C21" s="5" t="s">
        <v>21</v>
      </c>
      <c r="D21" s="5" t="s">
        <v>250</v>
      </c>
      <c r="E21" s="13">
        <v>49.326725104700003</v>
      </c>
      <c r="F21" s="13">
        <v>-125.058627449</v>
      </c>
      <c r="G21" s="6">
        <v>1000</v>
      </c>
      <c r="H21" s="5" t="s">
        <v>22</v>
      </c>
      <c r="I21" s="7">
        <v>495</v>
      </c>
      <c r="J21" s="5" t="s">
        <v>22</v>
      </c>
      <c r="K21" s="5" t="s">
        <v>22</v>
      </c>
      <c r="L21" s="14">
        <v>181.76816646464647</v>
      </c>
      <c r="M21" s="6">
        <v>4.14558496094</v>
      </c>
      <c r="N21" s="6">
        <v>78.547015625</v>
      </c>
      <c r="O21" s="6">
        <f>Table1[[#This Row],[R1 Length (km)]]+Table1[[#This Row],[T1 Length (km)]]</f>
        <v>82.692600585939999</v>
      </c>
      <c r="P21" s="5">
        <v>230</v>
      </c>
      <c r="Q21" s="6">
        <f>(Table1[[#This Row],[Linear Features (km)]]*0.4)*100</f>
        <v>3307.7040234376</v>
      </c>
      <c r="R21" s="7">
        <v>46.3</v>
      </c>
      <c r="S21" s="8">
        <f>Table1[[#This Row],[ATG (ha)]]/Table1[[#This Row],[Linear Area (ha)]]</f>
        <v>1.3997624839444299E-2</v>
      </c>
      <c r="T21" s="9" t="s">
        <v>22</v>
      </c>
      <c r="U21" s="9" t="s">
        <v>22</v>
      </c>
      <c r="V21" s="7" t="s">
        <v>22</v>
      </c>
      <c r="W21" s="7" t="s">
        <v>22</v>
      </c>
      <c r="X21" s="11">
        <v>222.91556950751701</v>
      </c>
      <c r="Y21" s="10">
        <f>Table1[[#This Row],[Raw Terrestrial Score]]/Table1[[#This Row],[Summed Raw Scores]]</f>
        <v>0.48011039935885341</v>
      </c>
      <c r="Z21" s="11">
        <v>241.38507843762599</v>
      </c>
      <c r="AA21" s="10">
        <f>Table1[[#This Row],[Raw Freshwater Score]]/Table1[[#This Row],[Summed Raw Scores]]</f>
        <v>0.51988960064114664</v>
      </c>
      <c r="AB21" s="10">
        <f>Table1[[#This Row],[Raw Terrestrial Score]]+Table1[[#This Row],[Raw Freshwater Score]]</f>
        <v>464.300647945143</v>
      </c>
      <c r="AC21" s="12">
        <f>Table1[[#This Row],[Terrestrial % of Summed Score]]*Table1[[#This Row],[Scaled Summed Score]]</f>
        <v>4.4190970027492275E-2</v>
      </c>
      <c r="AD21" s="12">
        <f>Table1[[#This Row],[Freshwater % of Summed Score]]*Table1[[#This Row],[Scaled Summed Score]]</f>
        <v>4.7852381015321119E-2</v>
      </c>
      <c r="AE21" s="12">
        <f>Table1[[#This Row],[Summed Raw Scores]]/MAX(Table1[Summed Raw Scores])</f>
        <v>9.2043351042813387E-2</v>
      </c>
      <c r="AF21" s="7"/>
    </row>
    <row r="22" spans="1:32" x14ac:dyDescent="0.3">
      <c r="A22" s="5" t="s">
        <v>23</v>
      </c>
      <c r="B22" s="5" t="s">
        <v>24</v>
      </c>
      <c r="C22" s="5" t="s">
        <v>25</v>
      </c>
      <c r="D22" s="5" t="s">
        <v>250</v>
      </c>
      <c r="E22" s="15">
        <v>52.673324999999998</v>
      </c>
      <c r="F22" s="15">
        <v>-119.05634499999999</v>
      </c>
      <c r="G22" s="6">
        <v>14.3</v>
      </c>
      <c r="H22" s="6">
        <v>52</v>
      </c>
      <c r="I22" s="6" t="s">
        <v>22</v>
      </c>
      <c r="J22" s="16">
        <v>385.16461135371998</v>
      </c>
      <c r="K22" s="14">
        <v>88.585188657271829</v>
      </c>
      <c r="L22" s="6" t="s">
        <v>22</v>
      </c>
      <c r="M22" s="6">
        <v>0</v>
      </c>
      <c r="N22" s="7">
        <v>21.552185546874998</v>
      </c>
      <c r="O22" s="7">
        <f>Table1[[#This Row],[R1 Length (km)]]+Table1[[#This Row],[T1 Length (km)]]</f>
        <v>21.552185546874998</v>
      </c>
      <c r="P22" s="9">
        <v>25</v>
      </c>
      <c r="Q22" s="7">
        <f>(Table1[[#This Row],[Linear Features (km)]]*0.4)*100</f>
        <v>862.08742187500002</v>
      </c>
      <c r="R22" s="7">
        <v>15.6</v>
      </c>
      <c r="S22" s="8">
        <f>Table1[[#This Row],[ATG (ha)]]/Table1[[#This Row],[Linear Area (ha)]]</f>
        <v>1.8095612584244327E-2</v>
      </c>
      <c r="T22" s="9" t="s">
        <v>22</v>
      </c>
      <c r="U22" s="9" t="s">
        <v>22</v>
      </c>
      <c r="V22" s="7" t="s">
        <v>22</v>
      </c>
      <c r="W22" s="7" t="s">
        <v>22</v>
      </c>
      <c r="X22" s="11">
        <v>151.05249215476201</v>
      </c>
      <c r="Y22" s="10">
        <f>Table1[[#This Row],[Raw Terrestrial Score]]/Table1[[#This Row],[Summed Raw Scores]]</f>
        <v>0.95717744812636196</v>
      </c>
      <c r="Z22" s="11">
        <v>6.7578411856666198</v>
      </c>
      <c r="AA22" s="10">
        <f>Table1[[#This Row],[Raw Freshwater Score]]/Table1[[#This Row],[Summed Raw Scores]]</f>
        <v>4.2822551873638065E-2</v>
      </c>
      <c r="AB22" s="10">
        <f>Table1[[#This Row],[Raw Terrestrial Score]]+Table1[[#This Row],[Raw Freshwater Score]]</f>
        <v>157.81033334042863</v>
      </c>
      <c r="AC22" s="12">
        <f>Table1[[#This Row],[Terrestrial % of Summed Score]]*Table1[[#This Row],[Scaled Summed Score]]</f>
        <v>2.9944773118075113E-2</v>
      </c>
      <c r="AD22" s="12">
        <f>Table1[[#This Row],[Freshwater % of Summed Score]]*Table1[[#This Row],[Scaled Summed Score]]</f>
        <v>1.3396801216986147E-3</v>
      </c>
      <c r="AE22" s="12">
        <f>Table1[[#This Row],[Summed Raw Scores]]/MAX(Table1[Summed Raw Scores])</f>
        <v>3.1284453239773725E-2</v>
      </c>
      <c r="AF22" s="7"/>
    </row>
    <row r="23" spans="1:32" x14ac:dyDescent="0.3">
      <c r="A23" s="5" t="s">
        <v>99</v>
      </c>
      <c r="B23" s="5" t="s">
        <v>97</v>
      </c>
      <c r="C23" s="5" t="s">
        <v>21</v>
      </c>
      <c r="D23" s="5" t="s">
        <v>250</v>
      </c>
      <c r="E23" s="15">
        <v>48.88</v>
      </c>
      <c r="F23" s="15">
        <v>-123.8</v>
      </c>
      <c r="G23" s="6">
        <v>40.1</v>
      </c>
      <c r="H23" s="6">
        <v>40</v>
      </c>
      <c r="I23" s="6">
        <v>21</v>
      </c>
      <c r="J23" s="14">
        <v>113.7</v>
      </c>
      <c r="K23" s="14">
        <v>91.427448071216631</v>
      </c>
      <c r="L23" s="6" t="s">
        <v>22</v>
      </c>
      <c r="M23" s="6">
        <v>0.3</v>
      </c>
      <c r="N23" s="6">
        <v>8</v>
      </c>
      <c r="O23" s="6">
        <f>Table1[[#This Row],[R1 Length (km)]]+Table1[[#This Row],[T1 Length (km)]]</f>
        <v>8.3000000000000007</v>
      </c>
      <c r="P23" s="5">
        <v>69</v>
      </c>
      <c r="Q23" s="6">
        <f>(Table1[[#This Row],[Linear Features (km)]]*0.4)*100</f>
        <v>332</v>
      </c>
      <c r="R23" s="7">
        <v>7.99</v>
      </c>
      <c r="S23" s="8">
        <f>Table1[[#This Row],[ATG (ha)]]/Table1[[#This Row],[Linear Area (ha)]]</f>
        <v>2.4066265060240965E-2</v>
      </c>
      <c r="T23" s="9" t="s">
        <v>22</v>
      </c>
      <c r="U23" s="9" t="s">
        <v>22</v>
      </c>
      <c r="V23" s="7" t="s">
        <v>22</v>
      </c>
      <c r="W23" s="7" t="s">
        <v>22</v>
      </c>
      <c r="X23" s="11">
        <v>5.3634369373321498</v>
      </c>
      <c r="Y23" s="10">
        <f>Table1[[#This Row],[Raw Terrestrial Score]]/Table1[[#This Row],[Summed Raw Scores]]</f>
        <v>0.20510374691249864</v>
      </c>
      <c r="Z23" s="11">
        <v>20.786436080932599</v>
      </c>
      <c r="AA23" s="10">
        <f>Table1[[#This Row],[Raw Freshwater Score]]/Table1[[#This Row],[Summed Raw Scores]]</f>
        <v>0.79489625308750134</v>
      </c>
      <c r="AB23" s="10">
        <f>Table1[[#This Row],[Raw Terrestrial Score]]+Table1[[#This Row],[Raw Freshwater Score]]</f>
        <v>26.149873018264749</v>
      </c>
      <c r="AC23" s="12">
        <f>Table1[[#This Row],[Terrestrial % of Summed Score]]*Table1[[#This Row],[Scaled Summed Score]]</f>
        <v>1.0632522504624672E-3</v>
      </c>
      <c r="AD23" s="12">
        <f>Table1[[#This Row],[Freshwater % of Summed Score]]*Table1[[#This Row],[Scaled Summed Score]]</f>
        <v>4.1207205753293107E-3</v>
      </c>
      <c r="AE23" s="12">
        <f>Table1[[#This Row],[Summed Raw Scores]]/MAX(Table1[Summed Raw Scores])</f>
        <v>5.1839728257917781E-3</v>
      </c>
      <c r="AF23" s="7"/>
    </row>
    <row r="24" spans="1:32" x14ac:dyDescent="0.3">
      <c r="A24" s="5" t="s">
        <v>26</v>
      </c>
      <c r="B24" s="5" t="s">
        <v>24</v>
      </c>
      <c r="C24" s="5" t="s">
        <v>27</v>
      </c>
      <c r="D24" s="5" t="s">
        <v>250</v>
      </c>
      <c r="E24" s="6">
        <v>58.721628000000003</v>
      </c>
      <c r="F24" s="6">
        <v>-122.531644</v>
      </c>
      <c r="G24" s="6">
        <v>18.399999999999999</v>
      </c>
      <c r="H24" s="6">
        <v>14</v>
      </c>
      <c r="I24" s="6" t="s">
        <v>22</v>
      </c>
      <c r="J24" s="6">
        <v>104</v>
      </c>
      <c r="K24" s="6">
        <v>187.25</v>
      </c>
      <c r="L24" s="6" t="s">
        <v>22</v>
      </c>
      <c r="M24" s="6">
        <v>0</v>
      </c>
      <c r="N24" s="6">
        <v>338.25099999999998</v>
      </c>
      <c r="O24" s="6">
        <f>Table1[[#This Row],[R1 Length (km)]]+Table1[[#This Row],[T1 Length (km)]]</f>
        <v>338.25099999999998</v>
      </c>
      <c r="P24" s="5">
        <v>230</v>
      </c>
      <c r="Q24" s="6">
        <f>(Table1[[#This Row],[Linear Features (km)]]*0.4)*100</f>
        <v>13530.039999999999</v>
      </c>
      <c r="R24" s="7">
        <v>4.2</v>
      </c>
      <c r="S24" s="8">
        <f>Table1[[#This Row],[ATG (ha)]]/Table1[[#This Row],[Linear Area (ha)]]</f>
        <v>3.1042036830637607E-4</v>
      </c>
      <c r="T24" s="9" t="s">
        <v>22</v>
      </c>
      <c r="U24" s="9" t="s">
        <v>22</v>
      </c>
      <c r="V24" s="7" t="s">
        <v>22</v>
      </c>
      <c r="W24" s="7" t="s">
        <v>22</v>
      </c>
      <c r="X24" s="11">
        <v>1321.6164531279401</v>
      </c>
      <c r="Y24" s="10">
        <f>Table1[[#This Row],[Raw Terrestrial Score]]/Table1[[#This Row],[Summed Raw Scores]]</f>
        <v>0.50605586450017359</v>
      </c>
      <c r="Z24" s="11">
        <v>1289.98543875664</v>
      </c>
      <c r="AA24" s="10">
        <f>Table1[[#This Row],[Raw Freshwater Score]]/Table1[[#This Row],[Summed Raw Scores]]</f>
        <v>0.49394413549982635</v>
      </c>
      <c r="AB24" s="10">
        <f>Table1[[#This Row],[Raw Terrestrial Score]]+Table1[[#This Row],[Raw Freshwater Score]]</f>
        <v>2611.6018918845803</v>
      </c>
      <c r="AC24" s="12">
        <f>Table1[[#This Row],[Terrestrial % of Summed Score]]*Table1[[#This Row],[Scaled Summed Score]]</f>
        <v>0.26199835748147687</v>
      </c>
      <c r="AD24" s="12">
        <f>Table1[[#This Row],[Freshwater % of Summed Score]]*Table1[[#This Row],[Scaled Summed Score]]</f>
        <v>0.25572779858283445</v>
      </c>
      <c r="AE24" s="12">
        <f>Table1[[#This Row],[Summed Raw Scores]]/MAX(Table1[Summed Raw Scores])</f>
        <v>0.51772615606431138</v>
      </c>
      <c r="AF24" s="7"/>
    </row>
    <row r="25" spans="1:32" x14ac:dyDescent="0.3">
      <c r="A25" s="5" t="s">
        <v>100</v>
      </c>
      <c r="B25" s="5" t="s">
        <v>97</v>
      </c>
      <c r="C25" s="5" t="s">
        <v>32</v>
      </c>
      <c r="D25" s="5" t="s">
        <v>250</v>
      </c>
      <c r="E25" s="13">
        <v>50.11</v>
      </c>
      <c r="F25" s="13">
        <v>-123.4</v>
      </c>
      <c r="G25" s="6">
        <v>63.9</v>
      </c>
      <c r="H25" s="6">
        <v>40</v>
      </c>
      <c r="I25" s="6">
        <v>9</v>
      </c>
      <c r="J25" s="14">
        <v>325.89999999999998</v>
      </c>
      <c r="K25" s="14">
        <v>85.147334930927542</v>
      </c>
      <c r="L25" s="6" t="s">
        <v>22</v>
      </c>
      <c r="M25" s="13">
        <v>0</v>
      </c>
      <c r="N25" s="7">
        <v>43.755844122716695</v>
      </c>
      <c r="O25" s="7">
        <f>Table1[[#This Row],[R1 Length (km)]]+Table1[[#This Row],[T1 Length (km)]]</f>
        <v>43.755844122716695</v>
      </c>
      <c r="P25" s="9">
        <v>130</v>
      </c>
      <c r="Q25" s="7">
        <f>(Table1[[#This Row],[Linear Features (km)]]*0.4)*100</f>
        <v>1750.233764908668</v>
      </c>
      <c r="R25" s="7">
        <v>43.76</v>
      </c>
      <c r="S25" s="8">
        <f>Table1[[#This Row],[ATG (ha)]]/Table1[[#This Row],[Linear Area (ha)]]</f>
        <v>2.5002374469837468E-2</v>
      </c>
      <c r="T25" s="9" t="s">
        <v>22</v>
      </c>
      <c r="U25" s="9" t="s">
        <v>22</v>
      </c>
      <c r="V25" s="7" t="s">
        <v>22</v>
      </c>
      <c r="W25" s="7" t="s">
        <v>22</v>
      </c>
      <c r="X25" s="11">
        <v>323.06478738784801</v>
      </c>
      <c r="Y25" s="10">
        <f>Table1[[#This Row],[Raw Terrestrial Score]]/Table1[[#This Row],[Summed Raw Scores]]</f>
        <v>0.28020327169467207</v>
      </c>
      <c r="Z25" s="11">
        <v>829.90100574493397</v>
      </c>
      <c r="AA25" s="10">
        <f>Table1[[#This Row],[Raw Freshwater Score]]/Table1[[#This Row],[Summed Raw Scores]]</f>
        <v>0.71979672830532793</v>
      </c>
      <c r="AB25" s="10">
        <f>Table1[[#This Row],[Raw Terrestrial Score]]+Table1[[#This Row],[Raw Freshwater Score]]</f>
        <v>1152.965793132782</v>
      </c>
      <c r="AC25" s="12">
        <f>Table1[[#This Row],[Terrestrial % of Summed Score]]*Table1[[#This Row],[Scaled Summed Score]]</f>
        <v>6.4044635230887853E-2</v>
      </c>
      <c r="AD25" s="12">
        <f>Table1[[#This Row],[Freshwater % of Summed Score]]*Table1[[#This Row],[Scaled Summed Score]]</f>
        <v>0.16452027353532778</v>
      </c>
      <c r="AE25" s="12">
        <f>Table1[[#This Row],[Summed Raw Scores]]/MAX(Table1[Summed Raw Scores])</f>
        <v>0.22856490876621563</v>
      </c>
      <c r="AF25" s="7"/>
    </row>
    <row r="26" spans="1:32" x14ac:dyDescent="0.3">
      <c r="A26" s="5" t="s">
        <v>101</v>
      </c>
      <c r="B26" s="5" t="s">
        <v>97</v>
      </c>
      <c r="C26" s="5" t="s">
        <v>32</v>
      </c>
      <c r="D26" s="5" t="s">
        <v>250</v>
      </c>
      <c r="E26" s="13">
        <v>49.95</v>
      </c>
      <c r="F26" s="13">
        <v>-124.23</v>
      </c>
      <c r="G26" s="6">
        <v>40.1</v>
      </c>
      <c r="H26" s="6">
        <v>40</v>
      </c>
      <c r="I26" s="6">
        <v>16</v>
      </c>
      <c r="J26" s="14">
        <v>172.2</v>
      </c>
      <c r="K26" s="14">
        <v>79.419958709065014</v>
      </c>
      <c r="L26" s="6" t="s">
        <v>22</v>
      </c>
      <c r="M26" s="13">
        <v>0</v>
      </c>
      <c r="N26" s="7">
        <v>21.230865786513867</v>
      </c>
      <c r="O26" s="7">
        <f>Table1[[#This Row],[R1 Length (km)]]+Table1[[#This Row],[T1 Length (km)]]</f>
        <v>21.230865786513867</v>
      </c>
      <c r="P26" s="9">
        <v>130</v>
      </c>
      <c r="Q26" s="7">
        <f>(Table1[[#This Row],[Linear Features (km)]]*0.4)*100</f>
        <v>849.23463146055462</v>
      </c>
      <c r="R26" s="7">
        <v>21.23</v>
      </c>
      <c r="S26" s="8">
        <f>Table1[[#This Row],[ATG (ha)]]/Table1[[#This Row],[Linear Area (ha)]]</f>
        <v>2.4998980509647405E-2</v>
      </c>
      <c r="T26" s="9" t="s">
        <v>22</v>
      </c>
      <c r="U26" s="9" t="s">
        <v>22</v>
      </c>
      <c r="V26" s="7" t="s">
        <v>22</v>
      </c>
      <c r="W26" s="7" t="s">
        <v>22</v>
      </c>
      <c r="X26" s="11">
        <v>99.524180293083205</v>
      </c>
      <c r="Y26" s="10">
        <f>Table1[[#This Row],[Raw Terrestrial Score]]/Table1[[#This Row],[Summed Raw Scores]]</f>
        <v>0.3173332811725551</v>
      </c>
      <c r="Z26" s="11">
        <v>214.10248982906299</v>
      </c>
      <c r="AA26" s="10">
        <f>Table1[[#This Row],[Raw Freshwater Score]]/Table1[[#This Row],[Summed Raw Scores]]</f>
        <v>0.6826667188274449</v>
      </c>
      <c r="AB26" s="10">
        <f>Table1[[#This Row],[Raw Terrestrial Score]]+Table1[[#This Row],[Raw Freshwater Score]]</f>
        <v>313.62667012214621</v>
      </c>
      <c r="AC26" s="12">
        <f>Table1[[#This Row],[Terrestrial % of Summed Score]]*Table1[[#This Row],[Scaled Summed Score]]</f>
        <v>1.9729757226285033E-2</v>
      </c>
      <c r="AD26" s="12">
        <f>Table1[[#This Row],[Freshwater % of Summed Score]]*Table1[[#This Row],[Scaled Summed Score]]</f>
        <v>4.2443857698008583E-2</v>
      </c>
      <c r="AE26" s="12">
        <f>Table1[[#This Row],[Summed Raw Scores]]/MAX(Table1[Summed Raw Scores])</f>
        <v>6.2173614924293616E-2</v>
      </c>
      <c r="AF26" s="7"/>
    </row>
    <row r="27" spans="1:32" x14ac:dyDescent="0.3">
      <c r="A27" s="5" t="s">
        <v>43</v>
      </c>
      <c r="B27" s="5" t="s">
        <v>42</v>
      </c>
      <c r="C27" s="5" t="s">
        <v>30</v>
      </c>
      <c r="D27" s="5"/>
      <c r="E27" s="6">
        <v>54.033148683900002</v>
      </c>
      <c r="F27" s="6">
        <v>-128.334012847</v>
      </c>
      <c r="G27" s="6">
        <v>1000</v>
      </c>
      <c r="H27" s="6" t="s">
        <v>22</v>
      </c>
      <c r="I27" s="7">
        <v>1000</v>
      </c>
      <c r="J27" s="5" t="s">
        <v>22</v>
      </c>
      <c r="K27" s="5" t="s">
        <v>22</v>
      </c>
      <c r="L27" s="6">
        <v>121.5536031</v>
      </c>
      <c r="M27" s="6">
        <v>4.7698484809838195</v>
      </c>
      <c r="N27" s="6">
        <v>56.137467504308347</v>
      </c>
      <c r="O27" s="6">
        <f>Table1[[#This Row],[R1 Length (km)]]+Table1[[#This Row],[T1 Length (km)]]</f>
        <v>60.907315985292165</v>
      </c>
      <c r="P27" s="5">
        <v>500</v>
      </c>
      <c r="Q27" s="6">
        <f>(Table1[[#This Row],[Linear Features (km)]]*0.4)*100</f>
        <v>2436.2926394116867</v>
      </c>
      <c r="R27" s="7">
        <v>84.8</v>
      </c>
      <c r="S27" s="8">
        <f>Table1[[#This Row],[ATG (ha)]]/Table1[[#This Row],[Linear Area (ha)]]</f>
        <v>3.4806984443575467E-2</v>
      </c>
      <c r="T27" s="9" t="s">
        <v>22</v>
      </c>
      <c r="U27" s="9" t="s">
        <v>22</v>
      </c>
      <c r="V27" s="7" t="s">
        <v>22</v>
      </c>
      <c r="W27" s="7" t="s">
        <v>22</v>
      </c>
      <c r="X27" s="11">
        <v>602.400338590145</v>
      </c>
      <c r="Y27" s="10">
        <f>Table1[[#This Row],[Raw Terrestrial Score]]/Table1[[#This Row],[Summed Raw Scores]]</f>
        <v>0.49476003736717233</v>
      </c>
      <c r="Z27" s="11">
        <v>615.16028290987003</v>
      </c>
      <c r="AA27" s="10">
        <f>Table1[[#This Row],[Raw Freshwater Score]]/Table1[[#This Row],[Summed Raw Scores]]</f>
        <v>0.50523996263282767</v>
      </c>
      <c r="AB27" s="10">
        <f>Table1[[#This Row],[Raw Terrestrial Score]]+Table1[[#This Row],[Raw Freshwater Score]]</f>
        <v>1217.560621500015</v>
      </c>
      <c r="AC27" s="12">
        <f>Table1[[#This Row],[Terrestrial % of Summed Score]]*Table1[[#This Row],[Scaled Summed Score]]</f>
        <v>0.11942034989301459</v>
      </c>
      <c r="AD27" s="12">
        <f>Table1[[#This Row],[Freshwater % of Summed Score]]*Table1[[#This Row],[Scaled Summed Score]]</f>
        <v>0.12194989198929435</v>
      </c>
      <c r="AE27" s="12">
        <f>Table1[[#This Row],[Summed Raw Scores]]/MAX(Table1[Summed Raw Scores])</f>
        <v>0.24137024188230893</v>
      </c>
      <c r="AF27" s="7"/>
    </row>
    <row r="28" spans="1:32" x14ac:dyDescent="0.3">
      <c r="A28" s="5" t="s">
        <v>28</v>
      </c>
      <c r="B28" s="5" t="s">
        <v>24</v>
      </c>
      <c r="C28" s="5" t="s">
        <v>27</v>
      </c>
      <c r="D28" s="5" t="s">
        <v>250</v>
      </c>
      <c r="E28" s="6">
        <v>57.498854999999999</v>
      </c>
      <c r="F28" s="6">
        <v>-122.24574699999999</v>
      </c>
      <c r="G28" s="6">
        <v>12.2</v>
      </c>
      <c r="H28" s="6">
        <v>9</v>
      </c>
      <c r="I28" s="6" t="s">
        <v>22</v>
      </c>
      <c r="J28" s="6">
        <v>69</v>
      </c>
      <c r="K28" s="6">
        <v>216.85</v>
      </c>
      <c r="L28" s="6" t="s">
        <v>22</v>
      </c>
      <c r="M28" s="6">
        <v>0</v>
      </c>
      <c r="N28" s="6">
        <v>193.38300000000001</v>
      </c>
      <c r="O28" s="6">
        <f>Table1[[#This Row],[R1 Length (km)]]+Table1[[#This Row],[T1 Length (km)]]</f>
        <v>193.38300000000001</v>
      </c>
      <c r="P28" s="5">
        <v>230</v>
      </c>
      <c r="Q28" s="6">
        <f>(Table1[[#This Row],[Linear Features (km)]]*0.4)*100</f>
        <v>7735.3200000000015</v>
      </c>
      <c r="R28" s="7">
        <v>2.8</v>
      </c>
      <c r="S28" s="8">
        <f>Table1[[#This Row],[ATG (ha)]]/Table1[[#This Row],[Linear Area (ha)]]</f>
        <v>3.619759751374215E-4</v>
      </c>
      <c r="T28" s="9" t="s">
        <v>22</v>
      </c>
      <c r="U28" s="9" t="s">
        <v>22</v>
      </c>
      <c r="V28" s="7" t="s">
        <v>22</v>
      </c>
      <c r="W28" s="7" t="s">
        <v>22</v>
      </c>
      <c r="X28" s="11">
        <v>1184.7967357151199</v>
      </c>
      <c r="Y28" s="10">
        <f>Table1[[#This Row],[Raw Terrestrial Score]]/Table1[[#This Row],[Summed Raw Scores]]</f>
        <v>0.61974264784290489</v>
      </c>
      <c r="Z28" s="11">
        <v>726.95928081683803</v>
      </c>
      <c r="AA28" s="10">
        <f>Table1[[#This Row],[Raw Freshwater Score]]/Table1[[#This Row],[Summed Raw Scores]]</f>
        <v>0.38025735215709511</v>
      </c>
      <c r="AB28" s="10">
        <f>Table1[[#This Row],[Raw Terrestrial Score]]+Table1[[#This Row],[Raw Freshwater Score]]</f>
        <v>1911.7560165319578</v>
      </c>
      <c r="AC28" s="12">
        <f>Table1[[#This Row],[Terrestrial % of Summed Score]]*Table1[[#This Row],[Scaled Summed Score]]</f>
        <v>0.2348751016016043</v>
      </c>
      <c r="AD28" s="12">
        <f>Table1[[#This Row],[Freshwater % of Summed Score]]*Table1[[#This Row],[Scaled Summed Score]]</f>
        <v>0.14411301938557919</v>
      </c>
      <c r="AE28" s="12">
        <f>Table1[[#This Row],[Summed Raw Scores]]/MAX(Table1[Summed Raw Scores])</f>
        <v>0.37898812098718349</v>
      </c>
      <c r="AF28" s="7"/>
    </row>
    <row r="29" spans="1:32" x14ac:dyDescent="0.3">
      <c r="A29" s="5" t="s">
        <v>44</v>
      </c>
      <c r="B29" s="5" t="s">
        <v>42</v>
      </c>
      <c r="C29" s="5" t="s">
        <v>32</v>
      </c>
      <c r="D29" s="5" t="s">
        <v>250</v>
      </c>
      <c r="E29" s="13">
        <v>49.402025060500002</v>
      </c>
      <c r="F29" s="13">
        <v>-122.2587474</v>
      </c>
      <c r="G29" s="6">
        <v>1000</v>
      </c>
      <c r="H29" s="6" t="s">
        <v>22</v>
      </c>
      <c r="I29" s="7">
        <v>495</v>
      </c>
      <c r="J29" s="5" t="s">
        <v>22</v>
      </c>
      <c r="K29" s="5" t="s">
        <v>22</v>
      </c>
      <c r="L29" s="14">
        <v>169.30148060606061</v>
      </c>
      <c r="M29" s="6">
        <v>1.4</v>
      </c>
      <c r="N29" s="6">
        <v>39.6</v>
      </c>
      <c r="O29" s="6">
        <f>Table1[[#This Row],[R1 Length (km)]]+Table1[[#This Row],[T1 Length (km)]]</f>
        <v>41</v>
      </c>
      <c r="P29" s="5">
        <v>500</v>
      </c>
      <c r="Q29" s="6">
        <f>(Table1[[#This Row],[Linear Features (km)]]*0.4)*100</f>
        <v>1640.0000000000002</v>
      </c>
      <c r="R29" s="7">
        <v>42.72</v>
      </c>
      <c r="S29" s="8">
        <f>Table1[[#This Row],[ATG (ha)]]/Table1[[#This Row],[Linear Area (ha)]]</f>
        <v>2.6048780487804873E-2</v>
      </c>
      <c r="T29" s="9" t="s">
        <v>22</v>
      </c>
      <c r="U29" s="9" t="s">
        <v>22</v>
      </c>
      <c r="V29" s="7" t="s">
        <v>22</v>
      </c>
      <c r="W29" s="7" t="s">
        <v>22</v>
      </c>
      <c r="X29" s="11">
        <v>341.67905669380002</v>
      </c>
      <c r="Y29" s="10">
        <f>Table1[[#This Row],[Raw Terrestrial Score]]/Table1[[#This Row],[Summed Raw Scores]]</f>
        <v>0.35835365928914986</v>
      </c>
      <c r="Z29" s="11">
        <v>611.78980803489696</v>
      </c>
      <c r="AA29" s="10">
        <f>Table1[[#This Row],[Raw Freshwater Score]]/Table1[[#This Row],[Summed Raw Scores]]</f>
        <v>0.64164634071085014</v>
      </c>
      <c r="AB29" s="10">
        <f>Table1[[#This Row],[Raw Terrestrial Score]]+Table1[[#This Row],[Raw Freshwater Score]]</f>
        <v>953.46886472869699</v>
      </c>
      <c r="AC29" s="12">
        <f>Table1[[#This Row],[Terrestrial % of Summed Score]]*Table1[[#This Row],[Scaled Summed Score]]</f>
        <v>6.7734743637403866E-2</v>
      </c>
      <c r="AD29" s="12">
        <f>Table1[[#This Row],[Freshwater % of Summed Score]]*Table1[[#This Row],[Scaled Summed Score]]</f>
        <v>0.12128172621465863</v>
      </c>
      <c r="AE29" s="12">
        <f>Table1[[#This Row],[Summed Raw Scores]]/MAX(Table1[Summed Raw Scores])</f>
        <v>0.1890164698520625</v>
      </c>
      <c r="AF29" s="7"/>
    </row>
    <row r="30" spans="1:32" x14ac:dyDescent="0.3">
      <c r="A30" s="5" t="s">
        <v>102</v>
      </c>
      <c r="B30" s="5" t="s">
        <v>97</v>
      </c>
      <c r="C30" s="5" t="s">
        <v>30</v>
      </c>
      <c r="D30" s="5" t="s">
        <v>250</v>
      </c>
      <c r="E30" s="15">
        <v>55.71</v>
      </c>
      <c r="F30" s="15">
        <v>-129.34</v>
      </c>
      <c r="G30" s="6">
        <v>40.1</v>
      </c>
      <c r="H30" s="6">
        <v>40</v>
      </c>
      <c r="I30" s="6">
        <v>3</v>
      </c>
      <c r="J30" s="14">
        <v>132.80000000000001</v>
      </c>
      <c r="K30" s="14">
        <v>116.36779578392621</v>
      </c>
      <c r="L30" s="6" t="s">
        <v>22</v>
      </c>
      <c r="M30" s="6">
        <v>9.1999999999999993</v>
      </c>
      <c r="N30" s="6">
        <v>33.299999999999997</v>
      </c>
      <c r="O30" s="6">
        <f>Table1[[#This Row],[R1 Length (km)]]+Table1[[#This Row],[T1 Length (km)]]</f>
        <v>42.5</v>
      </c>
      <c r="P30" s="5">
        <v>130</v>
      </c>
      <c r="Q30" s="6">
        <f>(Table1[[#This Row],[Linear Features (km)]]*0.4)*100</f>
        <v>1700</v>
      </c>
      <c r="R30" s="7">
        <v>49.02</v>
      </c>
      <c r="S30" s="8">
        <f>Table1[[#This Row],[ATG (ha)]]/Table1[[#This Row],[Linear Area (ha)]]</f>
        <v>2.883529411764706E-2</v>
      </c>
      <c r="T30" s="9" t="s">
        <v>22</v>
      </c>
      <c r="U30" s="9" t="s">
        <v>22</v>
      </c>
      <c r="V30" s="7" t="s">
        <v>22</v>
      </c>
      <c r="W30" s="7" t="s">
        <v>22</v>
      </c>
      <c r="X30" s="11">
        <v>690.42093527317002</v>
      </c>
      <c r="Y30" s="10">
        <f>Table1[[#This Row],[Raw Terrestrial Score]]/Table1[[#This Row],[Summed Raw Scores]]</f>
        <v>0.48680788990655371</v>
      </c>
      <c r="Z30" s="11">
        <v>727.84066152572598</v>
      </c>
      <c r="AA30" s="10">
        <f>Table1[[#This Row],[Raw Freshwater Score]]/Table1[[#This Row],[Summed Raw Scores]]</f>
        <v>0.51319211009344634</v>
      </c>
      <c r="AB30" s="10">
        <f>Table1[[#This Row],[Raw Terrestrial Score]]+Table1[[#This Row],[Raw Freshwater Score]]</f>
        <v>1418.2615967988959</v>
      </c>
      <c r="AC30" s="12">
        <f>Table1[[#This Row],[Terrestrial % of Summed Score]]*Table1[[#This Row],[Scaled Summed Score]]</f>
        <v>0.13686962702702105</v>
      </c>
      <c r="AD30" s="12">
        <f>Table1[[#This Row],[Freshwater % of Summed Score]]*Table1[[#This Row],[Scaled Summed Score]]</f>
        <v>0.14428774503877304</v>
      </c>
      <c r="AE30" s="12">
        <f>Table1[[#This Row],[Summed Raw Scores]]/MAX(Table1[Summed Raw Scores])</f>
        <v>0.28115737206579405</v>
      </c>
      <c r="AF30" s="7"/>
    </row>
    <row r="31" spans="1:32" x14ac:dyDescent="0.3">
      <c r="A31" s="5" t="s">
        <v>236</v>
      </c>
      <c r="B31" s="5" t="s">
        <v>42</v>
      </c>
      <c r="C31" s="5" t="s">
        <v>21</v>
      </c>
      <c r="D31" s="5" t="s">
        <v>250</v>
      </c>
      <c r="E31" s="6">
        <v>49.069879999999898</v>
      </c>
      <c r="F31" s="6">
        <v>-124.41682</v>
      </c>
      <c r="G31" s="6">
        <v>500</v>
      </c>
      <c r="H31" s="6" t="s">
        <v>22</v>
      </c>
      <c r="I31" s="14">
        <v>408</v>
      </c>
      <c r="J31" s="5" t="s">
        <v>22</v>
      </c>
      <c r="K31" s="5" t="s">
        <v>22</v>
      </c>
      <c r="L31" s="14">
        <v>172.06</v>
      </c>
      <c r="M31" s="6">
        <v>20.2</v>
      </c>
      <c r="N31" s="14">
        <v>43.7</v>
      </c>
      <c r="O31" s="14">
        <f>Table1[[#This Row],[R1 Length (km)]]+Table1[[#This Row],[T1 Length (km)]]</f>
        <v>63.900000000000006</v>
      </c>
      <c r="P31" s="17">
        <v>500</v>
      </c>
      <c r="Q31" s="14">
        <f>(Table1[[#This Row],[Linear Features (km)]]*0.4)*100</f>
        <v>2556</v>
      </c>
      <c r="R31" s="7">
        <v>54.03</v>
      </c>
      <c r="S31" s="8">
        <f>Table1[[#This Row],[ATG (ha)]]/Table1[[#This Row],[Linear Area (ha)]]</f>
        <v>2.1138497652582161E-2</v>
      </c>
      <c r="T31" s="17" t="s">
        <v>22</v>
      </c>
      <c r="U31" s="9" t="s">
        <v>22</v>
      </c>
      <c r="V31" s="7" t="s">
        <v>22</v>
      </c>
      <c r="W31" s="7" t="s">
        <v>22</v>
      </c>
      <c r="X31" s="11">
        <v>454.49825243279298</v>
      </c>
      <c r="Y31" s="10">
        <f>Table1[[#This Row],[Raw Terrestrial Score]]/Table1[[#This Row],[Summed Raw Scores]]</f>
        <v>0.39407908595850627</v>
      </c>
      <c r="Z31" s="11">
        <v>698.81911107897804</v>
      </c>
      <c r="AA31" s="10">
        <f>Table1[[#This Row],[Raw Freshwater Score]]/Table1[[#This Row],[Summed Raw Scores]]</f>
        <v>0.60592091404149384</v>
      </c>
      <c r="AB31" s="10">
        <f>Table1[[#This Row],[Raw Terrestrial Score]]+Table1[[#This Row],[Raw Freshwater Score]]</f>
        <v>1153.317363511771</v>
      </c>
      <c r="AC31" s="12">
        <f>Table1[[#This Row],[Terrestrial % of Summed Score]]*Table1[[#This Row],[Scaled Summed Score]]</f>
        <v>9.0100115910153558E-2</v>
      </c>
      <c r="AD31" s="12">
        <f>Table1[[#This Row],[Freshwater % of Summed Score]]*Table1[[#This Row],[Scaled Summed Score]]</f>
        <v>0.13853448846375241</v>
      </c>
      <c r="AE31" s="12">
        <f>Table1[[#This Row],[Summed Raw Scores]]/MAX(Table1[Summed Raw Scores])</f>
        <v>0.22863460437390595</v>
      </c>
      <c r="AF31" s="7"/>
    </row>
    <row r="32" spans="1:32" x14ac:dyDescent="0.3">
      <c r="A32" s="5" t="s">
        <v>29</v>
      </c>
      <c r="B32" s="5" t="s">
        <v>24</v>
      </c>
      <c r="C32" s="5" t="s">
        <v>30</v>
      </c>
      <c r="D32" s="5" t="s">
        <v>250</v>
      </c>
      <c r="E32" s="6">
        <v>54.322493000000001</v>
      </c>
      <c r="F32" s="6">
        <v>-128.539906</v>
      </c>
      <c r="G32" s="6">
        <v>19.600000000000001</v>
      </c>
      <c r="H32" s="6">
        <v>17</v>
      </c>
      <c r="I32" s="6" t="s">
        <v>22</v>
      </c>
      <c r="J32" s="6">
        <v>130</v>
      </c>
      <c r="K32" s="6">
        <v>163.18</v>
      </c>
      <c r="L32" s="6" t="s">
        <v>22</v>
      </c>
      <c r="M32" s="6">
        <f>1145.3743238/1000</f>
        <v>1.1453743238</v>
      </c>
      <c r="N32" s="6">
        <f>18393.3047631/1000</f>
        <v>18.393304763100002</v>
      </c>
      <c r="O32" s="6">
        <f>Table1[[#This Row],[R1 Length (km)]]+Table1[[#This Row],[T1 Length (km)]]</f>
        <v>19.5386790869</v>
      </c>
      <c r="P32" s="5">
        <v>25</v>
      </c>
      <c r="Q32" s="6">
        <f>(Table1[[#This Row],[Linear Features (km)]]*0.4)*100</f>
        <v>781.54716347600004</v>
      </c>
      <c r="R32" s="7">
        <v>5.2</v>
      </c>
      <c r="S32" s="8">
        <f>Table1[[#This Row],[ATG (ha)]]/Table1[[#This Row],[Linear Area (ha)]]</f>
        <v>6.6534692249058149E-3</v>
      </c>
      <c r="T32" s="9" t="s">
        <v>22</v>
      </c>
      <c r="U32" s="9" t="s">
        <v>22</v>
      </c>
      <c r="V32" s="7" t="s">
        <v>22</v>
      </c>
      <c r="W32" s="7" t="s">
        <v>22</v>
      </c>
      <c r="X32" s="11">
        <v>123.058359563351</v>
      </c>
      <c r="Y32" s="10">
        <f>Table1[[#This Row],[Raw Terrestrial Score]]/Table1[[#This Row],[Summed Raw Scores]]</f>
        <v>0.37120366808427774</v>
      </c>
      <c r="Z32" s="11">
        <v>208.453341811895</v>
      </c>
      <c r="AA32" s="10">
        <f>Table1[[#This Row],[Raw Freshwater Score]]/Table1[[#This Row],[Summed Raw Scores]]</f>
        <v>0.62879633191572237</v>
      </c>
      <c r="AB32" s="10">
        <f>Table1[[#This Row],[Raw Terrestrial Score]]+Table1[[#This Row],[Raw Freshwater Score]]</f>
        <v>331.51170137524599</v>
      </c>
      <c r="AC32" s="12">
        <f>Table1[[#This Row],[Terrestrial % of Summed Score]]*Table1[[#This Row],[Scaled Summed Score]]</f>
        <v>2.4395192723014499E-2</v>
      </c>
      <c r="AD32" s="12">
        <f>Table1[[#This Row],[Freshwater % of Summed Score]]*Table1[[#This Row],[Scaled Summed Score]]</f>
        <v>4.1323965842724242E-2</v>
      </c>
      <c r="AE32" s="12">
        <f>Table1[[#This Row],[Summed Raw Scores]]/MAX(Table1[Summed Raw Scores])</f>
        <v>6.5719158565738733E-2</v>
      </c>
      <c r="AF32" s="7"/>
    </row>
    <row r="33" spans="1:32" x14ac:dyDescent="0.3">
      <c r="A33" s="5" t="s">
        <v>45</v>
      </c>
      <c r="B33" s="5" t="s">
        <v>42</v>
      </c>
      <c r="C33" s="5" t="s">
        <v>30</v>
      </c>
      <c r="D33" s="5"/>
      <c r="E33" s="6">
        <v>53.701966269899998</v>
      </c>
      <c r="F33" s="6">
        <v>-128.527487237</v>
      </c>
      <c r="G33" s="6">
        <v>1000</v>
      </c>
      <c r="H33" s="6" t="s">
        <v>22</v>
      </c>
      <c r="I33" s="7">
        <v>1000</v>
      </c>
      <c r="J33" s="5" t="s">
        <v>22</v>
      </c>
      <c r="K33" s="5" t="s">
        <v>22</v>
      </c>
      <c r="L33" s="6">
        <v>126.90449799999999</v>
      </c>
      <c r="M33" s="6">
        <v>4.169848480982953</v>
      </c>
      <c r="N33" s="6">
        <v>88.597770542344747</v>
      </c>
      <c r="O33" s="6">
        <f>Table1[[#This Row],[R1 Length (km)]]+Table1[[#This Row],[T1 Length (km)]]</f>
        <v>92.767619023327697</v>
      </c>
      <c r="P33" s="5">
        <v>500</v>
      </c>
      <c r="Q33" s="6">
        <f>(Table1[[#This Row],[Linear Features (km)]]*0.4)*100</f>
        <v>3710.7047609331084</v>
      </c>
      <c r="R33" s="7">
        <v>87.2</v>
      </c>
      <c r="S33" s="8">
        <f>Table1[[#This Row],[ATG (ha)]]/Table1[[#This Row],[Linear Area (ha)]]</f>
        <v>2.3499579087524158E-2</v>
      </c>
      <c r="T33" s="9" t="s">
        <v>22</v>
      </c>
      <c r="U33" s="9" t="s">
        <v>22</v>
      </c>
      <c r="V33" s="7" t="s">
        <v>22</v>
      </c>
      <c r="W33" s="7" t="s">
        <v>22</v>
      </c>
      <c r="X33" s="11">
        <v>998.64089775085404</v>
      </c>
      <c r="Y33" s="10">
        <f>Table1[[#This Row],[Raw Terrestrial Score]]/Table1[[#This Row],[Summed Raw Scores]]</f>
        <v>0.53366426650852883</v>
      </c>
      <c r="Z33" s="11">
        <v>872.64965030178405</v>
      </c>
      <c r="AA33" s="10">
        <f>Table1[[#This Row],[Raw Freshwater Score]]/Table1[[#This Row],[Summed Raw Scores]]</f>
        <v>0.46633573349147117</v>
      </c>
      <c r="AB33" s="10">
        <f>Table1[[#This Row],[Raw Terrestrial Score]]+Table1[[#This Row],[Raw Freshwater Score]]</f>
        <v>1871.2905480526381</v>
      </c>
      <c r="AC33" s="12">
        <f>Table1[[#This Row],[Terrestrial % of Summed Score]]*Table1[[#This Row],[Scaled Summed Score]]</f>
        <v>0.19797141167946913</v>
      </c>
      <c r="AD33" s="12">
        <f>Table1[[#This Row],[Freshwater % of Summed Score]]*Table1[[#This Row],[Scaled Summed Score]]</f>
        <v>0.17299480079468987</v>
      </c>
      <c r="AE33" s="12">
        <f>Table1[[#This Row],[Summed Raw Scores]]/MAX(Table1[Summed Raw Scores])</f>
        <v>0.37096621247415901</v>
      </c>
      <c r="AF33" s="7"/>
    </row>
    <row r="34" spans="1:32" x14ac:dyDescent="0.3">
      <c r="A34" s="5" t="s">
        <v>31</v>
      </c>
      <c r="B34" s="5" t="s">
        <v>24</v>
      </c>
      <c r="C34" s="5" t="s">
        <v>32</v>
      </c>
      <c r="D34" s="5" t="s">
        <v>250</v>
      </c>
      <c r="E34" s="15">
        <v>50.569090000000003</v>
      </c>
      <c r="F34" s="15">
        <v>-123.512111</v>
      </c>
      <c r="G34" s="6">
        <v>99</v>
      </c>
      <c r="H34" s="6">
        <v>89</v>
      </c>
      <c r="I34" s="6" t="s">
        <v>22</v>
      </c>
      <c r="J34" s="16">
        <v>656.90040009999996</v>
      </c>
      <c r="K34" s="14">
        <v>98.184276859616105</v>
      </c>
      <c r="L34" s="6" t="s">
        <v>22</v>
      </c>
      <c r="M34" s="6">
        <v>2.5</v>
      </c>
      <c r="N34" s="6">
        <v>67.8</v>
      </c>
      <c r="O34" s="6">
        <f>Table1[[#This Row],[R1 Length (km)]]+Table1[[#This Row],[T1 Length (km)]]</f>
        <v>70.3</v>
      </c>
      <c r="P34" s="5">
        <v>230</v>
      </c>
      <c r="Q34" s="6">
        <f>(Table1[[#This Row],[Linear Features (km)]]*0.4)*100</f>
        <v>2812</v>
      </c>
      <c r="R34" s="7">
        <v>26.5</v>
      </c>
      <c r="S34" s="8">
        <f>Table1[[#This Row],[ATG (ha)]]/Table1[[#This Row],[Linear Area (ha)]]</f>
        <v>9.423897581792318E-3</v>
      </c>
      <c r="T34" s="9" t="s">
        <v>22</v>
      </c>
      <c r="U34" s="9" t="s">
        <v>22</v>
      </c>
      <c r="V34" s="7" t="s">
        <v>22</v>
      </c>
      <c r="W34" s="7" t="s">
        <v>22</v>
      </c>
      <c r="X34" s="11">
        <v>836.46022105217003</v>
      </c>
      <c r="Y34" s="10">
        <f>Table1[[#This Row],[Raw Terrestrial Score]]/Table1[[#This Row],[Summed Raw Scores]]</f>
        <v>0.4779355068748169</v>
      </c>
      <c r="Z34" s="11">
        <v>913.69269502162899</v>
      </c>
      <c r="AA34" s="10">
        <f>Table1[[#This Row],[Raw Freshwater Score]]/Table1[[#This Row],[Summed Raw Scores]]</f>
        <v>0.5220644931251831</v>
      </c>
      <c r="AB34" s="10">
        <f>Table1[[#This Row],[Raw Terrestrial Score]]+Table1[[#This Row],[Raw Freshwater Score]]</f>
        <v>1750.1529160737991</v>
      </c>
      <c r="AC34" s="12">
        <f>Table1[[#This Row],[Terrestrial % of Summed Score]]*Table1[[#This Row],[Scaled Summed Score]]</f>
        <v>0.16582057789579177</v>
      </c>
      <c r="AD34" s="12">
        <f>Table1[[#This Row],[Freshwater % of Summed Score]]*Table1[[#This Row],[Scaled Summed Score]]</f>
        <v>0.18113120850752365</v>
      </c>
      <c r="AE34" s="12">
        <f>Table1[[#This Row],[Summed Raw Scores]]/MAX(Table1[Summed Raw Scores])</f>
        <v>0.34695178640331542</v>
      </c>
      <c r="AF34" s="7"/>
    </row>
    <row r="35" spans="1:32" x14ac:dyDescent="0.3">
      <c r="A35" s="5" t="s">
        <v>103</v>
      </c>
      <c r="B35" s="5" t="s">
        <v>97</v>
      </c>
      <c r="C35" s="5" t="s">
        <v>30</v>
      </c>
      <c r="D35" s="5" t="s">
        <v>250</v>
      </c>
      <c r="E35" s="6">
        <v>57.03</v>
      </c>
      <c r="F35" s="6">
        <v>-130.38</v>
      </c>
      <c r="G35" s="6">
        <v>76.599999999999994</v>
      </c>
      <c r="H35" s="6">
        <v>40</v>
      </c>
      <c r="I35" s="6">
        <v>3</v>
      </c>
      <c r="J35" s="6">
        <v>152</v>
      </c>
      <c r="K35" s="6">
        <v>154.71</v>
      </c>
      <c r="L35" s="6" t="s">
        <v>22</v>
      </c>
      <c r="M35" s="6">
        <f>3621.32034355755/1000</f>
        <v>3.6213203435575503</v>
      </c>
      <c r="N35" s="6">
        <v>13.109500000000001</v>
      </c>
      <c r="O35" s="6">
        <f>Table1[[#This Row],[R1 Length (km)]]+Table1[[#This Row],[T1 Length (km)]]</f>
        <v>16.73082034355755</v>
      </c>
      <c r="P35" s="5">
        <v>230</v>
      </c>
      <c r="Q35" s="6">
        <f>(Table1[[#This Row],[Linear Features (km)]]*0.4)*100</f>
        <v>669.23281374230203</v>
      </c>
      <c r="R35" s="7">
        <v>660.1</v>
      </c>
      <c r="S35" s="8">
        <f>Table1[[#This Row],[ATG (ha)]]/Table1[[#This Row],[Linear Area (ha)]]</f>
        <v>0.98635330851272529</v>
      </c>
      <c r="T35" s="9" t="s">
        <v>22</v>
      </c>
      <c r="U35" s="9" t="s">
        <v>22</v>
      </c>
      <c r="V35" s="7" t="s">
        <v>22</v>
      </c>
      <c r="W35" s="7" t="s">
        <v>22</v>
      </c>
      <c r="X35" s="11">
        <v>189.29978680610699</v>
      </c>
      <c r="Y35" s="10">
        <f>Table1[[#This Row],[Raw Terrestrial Score]]/Table1[[#This Row],[Summed Raw Scores]]</f>
        <v>0.34084712757107843</v>
      </c>
      <c r="Z35" s="11">
        <v>366.08053326606802</v>
      </c>
      <c r="AA35" s="10">
        <f>Table1[[#This Row],[Raw Freshwater Score]]/Table1[[#This Row],[Summed Raw Scores]]</f>
        <v>0.65915287242892162</v>
      </c>
      <c r="AB35" s="10">
        <f>Table1[[#This Row],[Raw Terrestrial Score]]+Table1[[#This Row],[Raw Freshwater Score]]</f>
        <v>555.38032007217498</v>
      </c>
      <c r="AC35" s="12">
        <f>Table1[[#This Row],[Terrestrial % of Summed Score]]*Table1[[#This Row],[Scaled Summed Score]]</f>
        <v>3.7526948985397185E-2</v>
      </c>
      <c r="AD35" s="12">
        <f>Table1[[#This Row],[Freshwater % of Summed Score]]*Table1[[#This Row],[Scaled Summed Score]]</f>
        <v>7.2572112880898043E-2</v>
      </c>
      <c r="AE35" s="12">
        <f>Table1[[#This Row],[Summed Raw Scores]]/MAX(Table1[Summed Raw Scores])</f>
        <v>0.11009906186629523</v>
      </c>
      <c r="AF35" s="7"/>
    </row>
    <row r="36" spans="1:32" x14ac:dyDescent="0.3">
      <c r="A36" s="5" t="s">
        <v>36</v>
      </c>
      <c r="B36" s="5" t="s">
        <v>237</v>
      </c>
      <c r="C36" s="5" t="s">
        <v>21</v>
      </c>
      <c r="D36" s="5" t="s">
        <v>250</v>
      </c>
      <c r="E36" s="6">
        <v>49.681317</v>
      </c>
      <c r="F36" s="6">
        <v>-126.12749599999999</v>
      </c>
      <c r="G36" s="6">
        <v>12.2</v>
      </c>
      <c r="H36" s="6">
        <v>13</v>
      </c>
      <c r="I36" s="6" t="s">
        <v>22</v>
      </c>
      <c r="J36" s="6">
        <v>107</v>
      </c>
      <c r="K36" s="6">
        <v>178.98</v>
      </c>
      <c r="L36" s="6" t="s">
        <v>22</v>
      </c>
      <c r="M36" s="6">
        <v>0</v>
      </c>
      <c r="N36" s="6">
        <v>13.988200000000001</v>
      </c>
      <c r="O36" s="6">
        <f>Table1[[#This Row],[R1 Length (km)]]+Table1[[#This Row],[T1 Length (km)]]</f>
        <v>13.988200000000001</v>
      </c>
      <c r="P36" s="5">
        <v>25</v>
      </c>
      <c r="Q36" s="6">
        <f>(Table1[[#This Row],[Linear Features (km)]]*0.4)*100</f>
        <v>559.52800000000002</v>
      </c>
      <c r="R36" s="7">
        <v>4</v>
      </c>
      <c r="S36" s="8">
        <f>Table1[[#This Row],[ATG (ha)]]/Table1[[#This Row],[Linear Area (ha)]]</f>
        <v>7.148882629644986E-3</v>
      </c>
      <c r="T36" s="9" t="s">
        <v>22</v>
      </c>
      <c r="U36" s="9" t="s">
        <v>22</v>
      </c>
      <c r="V36" s="7" t="s">
        <v>22</v>
      </c>
      <c r="W36" s="7" t="s">
        <v>22</v>
      </c>
      <c r="X36" s="11">
        <v>36.617166481912101</v>
      </c>
      <c r="Y36" s="10">
        <f>Table1[[#This Row],[Raw Terrestrial Score]]/Table1[[#This Row],[Summed Raw Scores]]</f>
        <v>0.23042052630680579</v>
      </c>
      <c r="Z36" s="11">
        <v>122.2973498106</v>
      </c>
      <c r="AA36" s="10">
        <f>Table1[[#This Row],[Raw Freshwater Score]]/Table1[[#This Row],[Summed Raw Scores]]</f>
        <v>0.76957947369319413</v>
      </c>
      <c r="AB36" s="10">
        <f>Table1[[#This Row],[Raw Terrestrial Score]]+Table1[[#This Row],[Raw Freshwater Score]]</f>
        <v>158.9145162925121</v>
      </c>
      <c r="AC36" s="12">
        <f>Table1[[#This Row],[Terrestrial % of Summed Score]]*Table1[[#This Row],[Scaled Summed Score]]</f>
        <v>7.2590178876639939E-3</v>
      </c>
      <c r="AD36" s="12">
        <f>Table1[[#This Row],[Freshwater % of Summed Score]]*Table1[[#This Row],[Scaled Summed Score]]</f>
        <v>2.4244329509427634E-2</v>
      </c>
      <c r="AE36" s="12">
        <f>Table1[[#This Row],[Summed Raw Scores]]/MAX(Table1[Summed Raw Scores])</f>
        <v>3.1503347397091631E-2</v>
      </c>
      <c r="AF36" s="7"/>
    </row>
    <row r="37" spans="1:32" x14ac:dyDescent="0.3">
      <c r="A37" s="5" t="s">
        <v>38</v>
      </c>
      <c r="B37" s="5" t="s">
        <v>237</v>
      </c>
      <c r="C37" s="5" t="s">
        <v>21</v>
      </c>
      <c r="D37" s="5" t="s">
        <v>250</v>
      </c>
      <c r="E37" s="6">
        <v>49.101284</v>
      </c>
      <c r="F37" s="6">
        <v>-123.010378</v>
      </c>
      <c r="G37" s="6">
        <v>25.3</v>
      </c>
      <c r="H37" s="6">
        <v>27</v>
      </c>
      <c r="I37" s="6" t="s">
        <v>22</v>
      </c>
      <c r="J37" s="6">
        <v>222</v>
      </c>
      <c r="K37" s="6">
        <v>92.14</v>
      </c>
      <c r="L37" s="6" t="s">
        <v>22</v>
      </c>
      <c r="M37" s="6">
        <v>0</v>
      </c>
      <c r="N37" s="6">
        <v>2.5970599999999999</v>
      </c>
      <c r="O37" s="6">
        <f>Table1[[#This Row],[R1 Length (km)]]+Table1[[#This Row],[T1 Length (km)]]</f>
        <v>2.5970599999999999</v>
      </c>
      <c r="P37" s="5">
        <v>69</v>
      </c>
      <c r="Q37" s="6">
        <f>(Table1[[#This Row],[Linear Features (km)]]*0.4)*100</f>
        <v>103.88239999999999</v>
      </c>
      <c r="R37" s="7">
        <v>4</v>
      </c>
      <c r="S37" s="8">
        <f>Table1[[#This Row],[ATG (ha)]]/Table1[[#This Row],[Linear Area (ha)]]</f>
        <v>3.850507881989635E-2</v>
      </c>
      <c r="T37" s="9" t="s">
        <v>22</v>
      </c>
      <c r="U37" s="9" t="s">
        <v>22</v>
      </c>
      <c r="V37" s="7" t="s">
        <v>22</v>
      </c>
      <c r="W37" s="7" t="s">
        <v>22</v>
      </c>
      <c r="X37" s="11">
        <v>59.583370208740199</v>
      </c>
      <c r="Y37" s="10">
        <f>Table1[[#This Row],[Raw Terrestrial Score]]/Table1[[#This Row],[Summed Raw Scores]]</f>
        <v>0.52003461587474265</v>
      </c>
      <c r="Z37" s="11">
        <v>54.992406845092802</v>
      </c>
      <c r="AA37" s="10">
        <f>Table1[[#This Row],[Raw Freshwater Score]]/Table1[[#This Row],[Summed Raw Scores]]</f>
        <v>0.4799653841252573</v>
      </c>
      <c r="AB37" s="10">
        <f>Table1[[#This Row],[Raw Terrestrial Score]]+Table1[[#This Row],[Raw Freshwater Score]]</f>
        <v>114.57577705383301</v>
      </c>
      <c r="AC37" s="12">
        <f>Table1[[#This Row],[Terrestrial % of Summed Score]]*Table1[[#This Row],[Scaled Summed Score]]</f>
        <v>1.181185743485102E-2</v>
      </c>
      <c r="AD37" s="12">
        <f>Table1[[#This Row],[Freshwater % of Summed Score]]*Table1[[#This Row],[Scaled Summed Score]]</f>
        <v>1.0901740995481288E-2</v>
      </c>
      <c r="AE37" s="12">
        <f>Table1[[#This Row],[Summed Raw Scores]]/MAX(Table1[Summed Raw Scores])</f>
        <v>2.2713598430332309E-2</v>
      </c>
      <c r="AF37" s="7"/>
    </row>
    <row r="38" spans="1:32" x14ac:dyDescent="0.3">
      <c r="A38" s="5" t="s">
        <v>39</v>
      </c>
      <c r="B38" s="5" t="s">
        <v>237</v>
      </c>
      <c r="C38" s="5" t="s">
        <v>40</v>
      </c>
      <c r="D38" s="5" t="s">
        <v>250</v>
      </c>
      <c r="E38" s="6">
        <v>49.944439000000003</v>
      </c>
      <c r="F38" s="6">
        <v>-119.422766</v>
      </c>
      <c r="G38" s="6">
        <v>13.5</v>
      </c>
      <c r="H38" s="6">
        <v>14</v>
      </c>
      <c r="I38" s="6" t="s">
        <v>22</v>
      </c>
      <c r="J38" s="6">
        <v>118</v>
      </c>
      <c r="K38" s="6">
        <v>226.48</v>
      </c>
      <c r="L38" s="6" t="s">
        <v>22</v>
      </c>
      <c r="M38" s="6">
        <v>0</v>
      </c>
      <c r="N38" s="6">
        <v>19.576499999999999</v>
      </c>
      <c r="O38" s="6">
        <f>Table1[[#This Row],[R1 Length (km)]]+Table1[[#This Row],[T1 Length (km)]]</f>
        <v>19.576499999999999</v>
      </c>
      <c r="P38" s="5">
        <v>25</v>
      </c>
      <c r="Q38" s="6">
        <f>(Table1[[#This Row],[Linear Features (km)]]*0.4)*100</f>
        <v>783.06000000000006</v>
      </c>
      <c r="R38" s="7">
        <v>4</v>
      </c>
      <c r="S38" s="8">
        <f>Table1[[#This Row],[ATG (ha)]]/Table1[[#This Row],[Linear Area (ha)]]</f>
        <v>5.1081654023957292E-3</v>
      </c>
      <c r="T38" s="9" t="s">
        <v>22</v>
      </c>
      <c r="U38" s="9" t="s">
        <v>22</v>
      </c>
      <c r="V38" s="7" t="s">
        <v>22</v>
      </c>
      <c r="W38" s="7" t="s">
        <v>22</v>
      </c>
      <c r="X38" s="11">
        <v>389.758584976196</v>
      </c>
      <c r="Y38" s="10">
        <f>Table1[[#This Row],[Raw Terrestrial Score]]/Table1[[#This Row],[Summed Raw Scores]]</f>
        <v>0.95612724733353593</v>
      </c>
      <c r="Z38" s="11">
        <v>17.884420767193699</v>
      </c>
      <c r="AA38" s="10">
        <f>Table1[[#This Row],[Raw Freshwater Score]]/Table1[[#This Row],[Summed Raw Scores]]</f>
        <v>4.3872752666463996E-2</v>
      </c>
      <c r="AB38" s="10">
        <f>Table1[[#This Row],[Raw Terrestrial Score]]+Table1[[#This Row],[Raw Freshwater Score]]</f>
        <v>407.64300574338972</v>
      </c>
      <c r="AC38" s="12">
        <f>Table1[[#This Row],[Terrestrial % of Summed Score]]*Table1[[#This Row],[Scaled Summed Score]]</f>
        <v>7.7266069771138479E-2</v>
      </c>
      <c r="AD38" s="12">
        <f>Table1[[#This Row],[Freshwater % of Summed Score]]*Table1[[#This Row],[Scaled Summed Score]]</f>
        <v>3.5454226182055275E-3</v>
      </c>
      <c r="AE38" s="12">
        <f>Table1[[#This Row],[Summed Raw Scores]]/MAX(Table1[Summed Raw Scores])</f>
        <v>8.0811492389344014E-2</v>
      </c>
      <c r="AF38" s="7"/>
    </row>
    <row r="39" spans="1:32" x14ac:dyDescent="0.3">
      <c r="A39" s="5" t="s">
        <v>33</v>
      </c>
      <c r="B39" s="5" t="s">
        <v>24</v>
      </c>
      <c r="C39" s="5" t="s">
        <v>32</v>
      </c>
      <c r="D39" s="5" t="s">
        <v>250</v>
      </c>
      <c r="E39" s="6">
        <v>50.101612000000003</v>
      </c>
      <c r="F39" s="6">
        <v>-123.362587</v>
      </c>
      <c r="G39" s="6">
        <v>40.700000000000003</v>
      </c>
      <c r="H39" s="6">
        <v>31</v>
      </c>
      <c r="I39" s="6" t="s">
        <v>22</v>
      </c>
      <c r="J39" s="6">
        <v>232</v>
      </c>
      <c r="K39" s="6">
        <v>114.74</v>
      </c>
      <c r="L39" s="6" t="s">
        <v>22</v>
      </c>
      <c r="M39" s="6">
        <f>12486.3054484/1000</f>
        <v>12.4863054484</v>
      </c>
      <c r="N39" s="6">
        <f>64896.1864223/1000</f>
        <v>64.896186422300005</v>
      </c>
      <c r="O39" s="6">
        <f>Table1[[#This Row],[R1 Length (km)]]+Table1[[#This Row],[T1 Length (km)]]</f>
        <v>77.382491870700008</v>
      </c>
      <c r="P39" s="5">
        <v>69</v>
      </c>
      <c r="Q39" s="6">
        <f>(Table1[[#This Row],[Linear Features (km)]]*0.4)*100</f>
        <v>3095.2996748280002</v>
      </c>
      <c r="R39" s="7">
        <v>9.4</v>
      </c>
      <c r="S39" s="8">
        <f>Table1[[#This Row],[ATG (ha)]]/Table1[[#This Row],[Linear Area (ha)]]</f>
        <v>3.0368626587092377E-3</v>
      </c>
      <c r="T39" s="9" t="s">
        <v>22</v>
      </c>
      <c r="U39" s="9" t="s">
        <v>22</v>
      </c>
      <c r="V39" s="7" t="s">
        <v>22</v>
      </c>
      <c r="W39" s="7" t="s">
        <v>22</v>
      </c>
      <c r="X39" s="11">
        <v>727.44017177820194</v>
      </c>
      <c r="Y39" s="10">
        <f>Table1[[#This Row],[Raw Terrestrial Score]]/Table1[[#This Row],[Summed Raw Scores]]</f>
        <v>0.3381139887372589</v>
      </c>
      <c r="Z39" s="11">
        <v>1424.0241154432299</v>
      </c>
      <c r="AA39" s="10">
        <f>Table1[[#This Row],[Raw Freshwater Score]]/Table1[[#This Row],[Summed Raw Scores]]</f>
        <v>0.66188601126274116</v>
      </c>
      <c r="AB39" s="10">
        <f>Table1[[#This Row],[Raw Terrestrial Score]]+Table1[[#This Row],[Raw Freshwater Score]]</f>
        <v>2151.4642872214317</v>
      </c>
      <c r="AC39" s="12">
        <f>Table1[[#This Row],[Terrestrial % of Summed Score]]*Table1[[#This Row],[Scaled Summed Score]]</f>
        <v>0.14420835161431078</v>
      </c>
      <c r="AD39" s="12">
        <f>Table1[[#This Row],[Freshwater % of Summed Score]]*Table1[[#This Row],[Scaled Summed Score]]</f>
        <v>0.28229973860958113</v>
      </c>
      <c r="AE39" s="12">
        <f>Table1[[#This Row],[Summed Raw Scores]]/MAX(Table1[Summed Raw Scores])</f>
        <v>0.42650809022389191</v>
      </c>
      <c r="AF39" s="7"/>
    </row>
    <row r="40" spans="1:32" x14ac:dyDescent="0.3">
      <c r="A40" s="5" t="s">
        <v>104</v>
      </c>
      <c r="B40" s="5" t="s">
        <v>97</v>
      </c>
      <c r="C40" s="5" t="s">
        <v>32</v>
      </c>
      <c r="D40" s="5" t="s">
        <v>250</v>
      </c>
      <c r="E40" s="13">
        <v>49.9</v>
      </c>
      <c r="F40" s="13">
        <v>-122</v>
      </c>
      <c r="G40" s="6">
        <v>83.9</v>
      </c>
      <c r="H40" s="6">
        <v>40</v>
      </c>
      <c r="I40" s="6">
        <v>16</v>
      </c>
      <c r="J40" s="14">
        <v>371.8</v>
      </c>
      <c r="K40" s="14">
        <v>72.604934026208781</v>
      </c>
      <c r="L40" s="6" t="s">
        <v>22</v>
      </c>
      <c r="M40" s="6">
        <v>0.3</v>
      </c>
      <c r="N40" s="6">
        <v>53.3</v>
      </c>
      <c r="O40" s="6">
        <f>Table1[[#This Row],[R1 Length (km)]]+Table1[[#This Row],[T1 Length (km)]]</f>
        <v>53.599999999999994</v>
      </c>
      <c r="P40" s="5">
        <v>130</v>
      </c>
      <c r="Q40" s="6">
        <f>(Table1[[#This Row],[Linear Features (km)]]*0.4)*100</f>
        <v>2144</v>
      </c>
      <c r="R40" s="7">
        <v>53.32</v>
      </c>
      <c r="S40" s="8">
        <f>Table1[[#This Row],[ATG (ha)]]/Table1[[#This Row],[Linear Area (ha)]]</f>
        <v>2.4869402985074628E-2</v>
      </c>
      <c r="T40" s="9" t="s">
        <v>22</v>
      </c>
      <c r="U40" s="9" t="s">
        <v>22</v>
      </c>
      <c r="V40" s="7" t="s">
        <v>22</v>
      </c>
      <c r="W40" s="7" t="s">
        <v>22</v>
      </c>
      <c r="X40" s="11">
        <v>737.17361079156399</v>
      </c>
      <c r="Y40" s="10">
        <f>Table1[[#This Row],[Raw Terrestrial Score]]/Table1[[#This Row],[Summed Raw Scores]]</f>
        <v>0.56055290690294601</v>
      </c>
      <c r="Z40" s="11">
        <v>577.90941119193997</v>
      </c>
      <c r="AA40" s="10">
        <f>Table1[[#This Row],[Raw Freshwater Score]]/Table1[[#This Row],[Summed Raw Scores]]</f>
        <v>0.43944709309705404</v>
      </c>
      <c r="AB40" s="10">
        <f>Table1[[#This Row],[Raw Terrestrial Score]]+Table1[[#This Row],[Raw Freshwater Score]]</f>
        <v>1315.0830219835038</v>
      </c>
      <c r="AC40" s="12">
        <f>Table1[[#This Row],[Terrestrial % of Summed Score]]*Table1[[#This Row],[Scaled Summed Score]]</f>
        <v>0.14613791675260143</v>
      </c>
      <c r="AD40" s="12">
        <f>Table1[[#This Row],[Freshwater % of Summed Score]]*Table1[[#This Row],[Scaled Summed Score]]</f>
        <v>0.11456524784253591</v>
      </c>
      <c r="AE40" s="12">
        <f>Table1[[#This Row],[Summed Raw Scores]]/MAX(Table1[Summed Raw Scores])</f>
        <v>0.26070316459513732</v>
      </c>
      <c r="AF40" s="7"/>
    </row>
    <row r="41" spans="1:32" x14ac:dyDescent="0.3">
      <c r="A41" s="5" t="s">
        <v>105</v>
      </c>
      <c r="B41" s="5" t="s">
        <v>97</v>
      </c>
      <c r="C41" s="5" t="s">
        <v>30</v>
      </c>
      <c r="D41" s="5" t="s">
        <v>250</v>
      </c>
      <c r="E41" s="6">
        <v>56.33</v>
      </c>
      <c r="F41" s="6">
        <v>-128.69</v>
      </c>
      <c r="G41" s="6">
        <v>77.2</v>
      </c>
      <c r="H41" s="6">
        <v>40</v>
      </c>
      <c r="I41" s="6">
        <v>5</v>
      </c>
      <c r="J41" s="6">
        <v>286</v>
      </c>
      <c r="K41" s="6">
        <v>109.41</v>
      </c>
      <c r="L41" s="6" t="s">
        <v>22</v>
      </c>
      <c r="M41" s="6">
        <f>8100/1000</f>
        <v>8.1</v>
      </c>
      <c r="N41" s="6">
        <v>53.5441</v>
      </c>
      <c r="O41" s="6">
        <f>Table1[[#This Row],[R1 Length (km)]]+Table1[[#This Row],[T1 Length (km)]]</f>
        <v>61.644100000000002</v>
      </c>
      <c r="P41" s="5">
        <v>130</v>
      </c>
      <c r="Q41" s="6">
        <f>(Table1[[#This Row],[Linear Features (km)]]*0.4)*100</f>
        <v>2465.7640000000001</v>
      </c>
      <c r="R41" s="7">
        <v>347.8</v>
      </c>
      <c r="S41" s="8">
        <f>Table1[[#This Row],[ATG (ha)]]/Table1[[#This Row],[Linear Area (ha)]]</f>
        <v>0.14105161726750817</v>
      </c>
      <c r="T41" s="9" t="s">
        <v>22</v>
      </c>
      <c r="U41" s="9" t="s">
        <v>22</v>
      </c>
      <c r="V41" s="7" t="s">
        <v>22</v>
      </c>
      <c r="W41" s="7" t="s">
        <v>22</v>
      </c>
      <c r="X41" s="11">
        <v>407.82014703750599</v>
      </c>
      <c r="Y41" s="10">
        <f>Table1[[#This Row],[Raw Terrestrial Score]]/Table1[[#This Row],[Summed Raw Scores]]</f>
        <v>0.37181845821928056</v>
      </c>
      <c r="Z41" s="11">
        <v>689.00583893060696</v>
      </c>
      <c r="AA41" s="10">
        <f>Table1[[#This Row],[Raw Freshwater Score]]/Table1[[#This Row],[Summed Raw Scores]]</f>
        <v>0.6281815417807195</v>
      </c>
      <c r="AB41" s="10">
        <f>Table1[[#This Row],[Raw Terrestrial Score]]+Table1[[#This Row],[Raw Freshwater Score]]</f>
        <v>1096.8259859681129</v>
      </c>
      <c r="AC41" s="12">
        <f>Table1[[#This Row],[Terrestrial % of Summed Score]]*Table1[[#This Row],[Scaled Summed Score]]</f>
        <v>8.0846609028510208E-2</v>
      </c>
      <c r="AD41" s="12">
        <f>Table1[[#This Row],[Freshwater % of Summed Score]]*Table1[[#This Row],[Scaled Summed Score]]</f>
        <v>0.13658909713761774</v>
      </c>
      <c r="AE41" s="12">
        <f>Table1[[#This Row],[Summed Raw Scores]]/MAX(Table1[Summed Raw Scores])</f>
        <v>0.21743570616612795</v>
      </c>
      <c r="AF41" s="7"/>
    </row>
    <row r="42" spans="1:32" x14ac:dyDescent="0.3">
      <c r="A42" s="5" t="s">
        <v>131</v>
      </c>
      <c r="B42" s="5" t="s">
        <v>114</v>
      </c>
      <c r="C42" s="5" t="s">
        <v>30</v>
      </c>
      <c r="D42" s="5" t="s">
        <v>250</v>
      </c>
      <c r="E42" s="6">
        <v>53.464523669999998</v>
      </c>
      <c r="F42" s="6">
        <v>-130.32914880000001</v>
      </c>
      <c r="G42" s="6">
        <v>345</v>
      </c>
      <c r="H42" s="5" t="s">
        <v>22</v>
      </c>
      <c r="I42" s="6">
        <v>82.8</v>
      </c>
      <c r="J42" s="7">
        <v>1150.2493200000001</v>
      </c>
      <c r="K42" s="7">
        <v>75.229339188373373</v>
      </c>
      <c r="L42" s="6" t="s">
        <v>22</v>
      </c>
      <c r="M42" s="6">
        <v>3.8769558105500002</v>
      </c>
      <c r="N42" s="6">
        <v>99.066101562499995</v>
      </c>
      <c r="O42" s="6">
        <f>Table1[[#This Row],[R1 Length (km)]]+Table1[[#This Row],[T1 Length (km)]]</f>
        <v>102.94305737305</v>
      </c>
      <c r="P42" s="5">
        <v>230</v>
      </c>
      <c r="Q42" s="6">
        <f>(Table1[[#This Row],[Linear Features (km)]]*0.4)*100</f>
        <v>4117.7222949220004</v>
      </c>
      <c r="R42" s="7">
        <f>((PI()*(45^2))*Table1[[#This Row],[Number of Turbines - WIND]])/10000</f>
        <v>43.895903352283383</v>
      </c>
      <c r="S42" s="8">
        <f>Table1[[#This Row],[ATG (ha)]]/Table1[[#This Row],[Linear Area (ha)]]</f>
        <v>1.066023889139296E-2</v>
      </c>
      <c r="T42" s="5" t="s">
        <v>115</v>
      </c>
      <c r="U42" s="5">
        <v>69</v>
      </c>
      <c r="V42" s="7" t="s">
        <v>22</v>
      </c>
      <c r="W42" s="7" t="s">
        <v>22</v>
      </c>
      <c r="X42" s="11">
        <f>1333.56650452164+67.3643</f>
        <v>1400.9308045216399</v>
      </c>
      <c r="Y42" s="10">
        <f>Table1[[#This Row],[Raw Terrestrial Score]]/Table1[[#This Row],[Summed Raw Scores]]</f>
        <v>0.27772170122517525</v>
      </c>
      <c r="Z42" s="11">
        <v>3643.4384267678251</v>
      </c>
      <c r="AA42" s="10">
        <f>Table1[[#This Row],[Raw Freshwater Score]]/Table1[[#This Row],[Summed Raw Scores]]</f>
        <v>0.72227829877482463</v>
      </c>
      <c r="AB42" s="10">
        <f>Table1[[#This Row],[Raw Terrestrial Score]]+Table1[[#This Row],[Raw Freshwater Score]]</f>
        <v>5044.3692312894655</v>
      </c>
      <c r="AC42" s="12">
        <f>Table1[[#This Row],[Terrestrial % of Summed Score]]*Table1[[#This Row],[Scaled Summed Score]]</f>
        <v>0.27772170122517525</v>
      </c>
      <c r="AD42" s="12">
        <f>Table1[[#This Row],[Freshwater % of Summed Score]]*Table1[[#This Row],[Scaled Summed Score]]</f>
        <v>0.72227829877482463</v>
      </c>
      <c r="AE42" s="12">
        <f>Table1[[#This Row],[Summed Raw Scores]]/MAX(Table1[Summed Raw Scores])</f>
        <v>1</v>
      </c>
      <c r="AF42" s="7"/>
    </row>
    <row r="43" spans="1:32" x14ac:dyDescent="0.3">
      <c r="A43" s="5" t="s">
        <v>132</v>
      </c>
      <c r="B43" s="5" t="s">
        <v>114</v>
      </c>
      <c r="C43" s="5" t="s">
        <v>30</v>
      </c>
      <c r="D43" s="5" t="s">
        <v>250</v>
      </c>
      <c r="E43" s="6">
        <v>53.66880613</v>
      </c>
      <c r="F43" s="6">
        <v>-130.29157169999999</v>
      </c>
      <c r="G43" s="6">
        <v>234</v>
      </c>
      <c r="H43" s="5" t="s">
        <v>22</v>
      </c>
      <c r="I43" s="6">
        <v>56.4</v>
      </c>
      <c r="J43" s="7">
        <v>723.39204000000007</v>
      </c>
      <c r="K43" s="7">
        <v>84.952197534795616</v>
      </c>
      <c r="L43" s="6" t="s">
        <v>22</v>
      </c>
      <c r="M43" s="6">
        <v>3.9355344238300001</v>
      </c>
      <c r="N43" s="6">
        <v>78.465390624999998</v>
      </c>
      <c r="O43" s="6">
        <f>Table1[[#This Row],[R1 Length (km)]]+Table1[[#This Row],[T1 Length (km)]]</f>
        <v>82.400925048830004</v>
      </c>
      <c r="P43" s="5">
        <v>230</v>
      </c>
      <c r="Q43" s="6">
        <f>(Table1[[#This Row],[Linear Features (km)]]*0.4)*100</f>
        <v>3296.0370019532002</v>
      </c>
      <c r="R43" s="7">
        <f>((PI()*(45^2))*Table1[[#This Row],[Number of Turbines - WIND]])/10000</f>
        <v>29.900108080540853</v>
      </c>
      <c r="S43" s="8">
        <f>Table1[[#This Row],[ATG (ha)]]/Table1[[#This Row],[Linear Area (ha)]]</f>
        <v>9.0715328932358258E-3</v>
      </c>
      <c r="T43" s="5" t="s">
        <v>115</v>
      </c>
      <c r="U43" s="5">
        <v>47</v>
      </c>
      <c r="V43" s="7" t="s">
        <v>22</v>
      </c>
      <c r="W43" s="7" t="s">
        <v>22</v>
      </c>
      <c r="X43" s="11">
        <f>298.523646771791+39.63728</f>
        <v>338.16092677179097</v>
      </c>
      <c r="Y43" s="10">
        <f>Table1[[#This Row],[Raw Terrestrial Score]]/Table1[[#This Row],[Summed Raw Scores]]</f>
        <v>0.20826489849574054</v>
      </c>
      <c r="Z43" s="11">
        <v>1285.5448883428339</v>
      </c>
      <c r="AA43" s="10">
        <f>Table1[[#This Row],[Raw Freshwater Score]]/Table1[[#This Row],[Summed Raw Scores]]</f>
        <v>0.79173510150425952</v>
      </c>
      <c r="AB43" s="10">
        <f>Table1[[#This Row],[Raw Terrestrial Score]]+Table1[[#This Row],[Raw Freshwater Score]]</f>
        <v>1623.7058151146248</v>
      </c>
      <c r="AC43" s="12">
        <f>Table1[[#This Row],[Terrestrial % of Summed Score]]*Table1[[#This Row],[Scaled Summed Score]]</f>
        <v>6.7037306602028557E-2</v>
      </c>
      <c r="AD43" s="12">
        <f>Table1[[#This Row],[Freshwater % of Summed Score]]*Table1[[#This Row],[Scaled Summed Score]]</f>
        <v>0.25484750013317659</v>
      </c>
      <c r="AE43" s="12">
        <f>Table1[[#This Row],[Summed Raw Scores]]/MAX(Table1[Summed Raw Scores])</f>
        <v>0.32188480673520514</v>
      </c>
      <c r="AF43" s="7"/>
    </row>
    <row r="44" spans="1:32" x14ac:dyDescent="0.3">
      <c r="A44" s="5" t="s">
        <v>133</v>
      </c>
      <c r="B44" s="5" t="s">
        <v>114</v>
      </c>
      <c r="C44" s="5" t="s">
        <v>30</v>
      </c>
      <c r="D44" s="5"/>
      <c r="E44" s="6">
        <v>52.636803919999998</v>
      </c>
      <c r="F44" s="6">
        <v>-129.0720259</v>
      </c>
      <c r="G44" s="6">
        <v>261</v>
      </c>
      <c r="H44" s="5" t="s">
        <v>22</v>
      </c>
      <c r="I44" s="6">
        <v>62.4</v>
      </c>
      <c r="J44" s="6">
        <v>720.63264000000004</v>
      </c>
      <c r="K44" s="6">
        <v>135.21545013418904</v>
      </c>
      <c r="L44" s="6" t="s">
        <v>22</v>
      </c>
      <c r="M44" s="6">
        <v>4.9254838867199995</v>
      </c>
      <c r="N44" s="6">
        <v>214.113828125</v>
      </c>
      <c r="O44" s="6">
        <f>Table1[[#This Row],[R1 Length (km)]]+Table1[[#This Row],[T1 Length (km)]]</f>
        <v>219.03931201172</v>
      </c>
      <c r="P44" s="5">
        <v>230</v>
      </c>
      <c r="Q44" s="6">
        <f>(Table1[[#This Row],[Linear Features (km)]]*0.4)*100</f>
        <v>8761.5724804687998</v>
      </c>
      <c r="R44" s="7">
        <f>((PI()*(45^2))*Table1[[#This Row],[Number of Turbines - WIND]])/10000</f>
        <v>33.080970642300521</v>
      </c>
      <c r="S44" s="8">
        <f>Table1[[#This Row],[ATG (ha)]]/Table1[[#This Row],[Linear Area (ha)]]</f>
        <v>3.7756887494846676E-3</v>
      </c>
      <c r="T44" s="5" t="s">
        <v>115</v>
      </c>
      <c r="U44" s="5">
        <v>52</v>
      </c>
      <c r="V44" s="7" t="s">
        <v>22</v>
      </c>
      <c r="W44" s="7" t="s">
        <v>22</v>
      </c>
      <c r="X44" s="11">
        <f>1432.20036767615+44.69192</f>
        <v>1476.8922876761501</v>
      </c>
      <c r="Y44" s="10">
        <f>Table1[[#This Row],[Raw Terrestrial Score]]/Table1[[#This Row],[Summed Raw Scores]]</f>
        <v>0.41475700767513252</v>
      </c>
      <c r="Z44" s="11">
        <v>2083.969277881672</v>
      </c>
      <c r="AA44" s="10">
        <f>Table1[[#This Row],[Raw Freshwater Score]]/Table1[[#This Row],[Summed Raw Scores]]</f>
        <v>0.58524299232486743</v>
      </c>
      <c r="AB44" s="10">
        <f>Table1[[#This Row],[Raw Terrestrial Score]]+Table1[[#This Row],[Raw Freshwater Score]]</f>
        <v>3560.8615655578224</v>
      </c>
      <c r="AC44" s="12">
        <f>Table1[[#This Row],[Terrestrial % of Summed Score]]*Table1[[#This Row],[Scaled Summed Score]]</f>
        <v>0.29278036954852726</v>
      </c>
      <c r="AD44" s="12">
        <f>Table1[[#This Row],[Freshwater % of Summed Score]]*Table1[[#This Row],[Scaled Summed Score]]</f>
        <v>0.41312782279201993</v>
      </c>
      <c r="AE44" s="12">
        <f>Table1[[#This Row],[Summed Raw Scores]]/MAX(Table1[Summed Raw Scores])</f>
        <v>0.70590819234054725</v>
      </c>
      <c r="AF44" s="7"/>
    </row>
    <row r="45" spans="1:32" x14ac:dyDescent="0.3">
      <c r="A45" s="5" t="s">
        <v>134</v>
      </c>
      <c r="B45" s="5" t="s">
        <v>114</v>
      </c>
      <c r="C45" s="5" t="s">
        <v>30</v>
      </c>
      <c r="D45" s="5"/>
      <c r="E45" s="6">
        <v>52.347802309999999</v>
      </c>
      <c r="F45" s="6">
        <v>-128.68156629999999</v>
      </c>
      <c r="G45" s="6">
        <v>198</v>
      </c>
      <c r="H45" s="5" t="s">
        <v>22</v>
      </c>
      <c r="I45" s="6">
        <v>48</v>
      </c>
      <c r="J45" s="6">
        <v>595.50479999999993</v>
      </c>
      <c r="K45" s="6">
        <v>134.62651943639156</v>
      </c>
      <c r="L45" s="6" t="s">
        <v>22</v>
      </c>
      <c r="M45" s="6">
        <v>2.7656855468799999</v>
      </c>
      <c r="N45" s="6">
        <v>220.113828125</v>
      </c>
      <c r="O45" s="6">
        <f>Table1[[#This Row],[R1 Length (km)]]+Table1[[#This Row],[T1 Length (km)]]</f>
        <v>222.87951367188001</v>
      </c>
      <c r="P45" s="5">
        <v>230</v>
      </c>
      <c r="Q45" s="6">
        <f>(Table1[[#This Row],[Linear Features (km)]]*0.4)*100</f>
        <v>8915.1805468752009</v>
      </c>
      <c r="R45" s="7">
        <f>((PI()*(45^2))*Table1[[#This Row],[Number of Turbines - WIND]])/10000</f>
        <v>25.446900494077326</v>
      </c>
      <c r="S45" s="8">
        <f>Table1[[#This Row],[ATG (ha)]]/Table1[[#This Row],[Linear Area (ha)]]</f>
        <v>2.8543337244018624E-3</v>
      </c>
      <c r="T45" s="5" t="s">
        <v>115</v>
      </c>
      <c r="U45" s="5">
        <v>40</v>
      </c>
      <c r="V45" s="7" t="s">
        <v>22</v>
      </c>
      <c r="W45" s="7" t="s">
        <v>22</v>
      </c>
      <c r="X45" s="11">
        <f>1916.30587349623+19.2339</f>
        <v>1935.5397734962301</v>
      </c>
      <c r="Y45" s="10">
        <f>Table1[[#This Row],[Raw Terrestrial Score]]/Table1[[#This Row],[Summed Raw Scores]]</f>
        <v>0.47179199653342641</v>
      </c>
      <c r="Z45" s="11">
        <v>2166.9880093359179</v>
      </c>
      <c r="AA45" s="10">
        <f>Table1[[#This Row],[Raw Freshwater Score]]/Table1[[#This Row],[Summed Raw Scores]]</f>
        <v>0.52820800346657371</v>
      </c>
      <c r="AB45" s="10">
        <f>Table1[[#This Row],[Raw Terrestrial Score]]+Table1[[#This Row],[Raw Freshwater Score]]</f>
        <v>4102.5277828321478</v>
      </c>
      <c r="AC45" s="12">
        <f>Table1[[#This Row],[Terrestrial % of Summed Score]]*Table1[[#This Row],[Scaled Summed Score]]</f>
        <v>0.38370303297593034</v>
      </c>
      <c r="AD45" s="12">
        <f>Table1[[#This Row],[Freshwater % of Summed Score]]*Table1[[#This Row],[Scaled Summed Score]]</f>
        <v>0.42958552595524063</v>
      </c>
      <c r="AE45" s="12">
        <f>Table1[[#This Row],[Summed Raw Scores]]/MAX(Table1[Summed Raw Scores])</f>
        <v>0.81328855893117091</v>
      </c>
      <c r="AF45" s="7"/>
    </row>
    <row r="46" spans="1:32" x14ac:dyDescent="0.3">
      <c r="A46" s="5" t="s">
        <v>135</v>
      </c>
      <c r="B46" s="5" t="s">
        <v>114</v>
      </c>
      <c r="C46" s="5" t="s">
        <v>30</v>
      </c>
      <c r="D46" s="5" t="s">
        <v>250</v>
      </c>
      <c r="E46" s="6">
        <v>54.2217287</v>
      </c>
      <c r="F46" s="6">
        <v>-126.3493254</v>
      </c>
      <c r="G46" s="6">
        <v>117</v>
      </c>
      <c r="H46" s="5" t="s">
        <v>22</v>
      </c>
      <c r="I46" s="6">
        <v>27.599999999999998</v>
      </c>
      <c r="J46" s="6">
        <v>338.78861999999998</v>
      </c>
      <c r="K46" s="6">
        <v>78.174797926861075</v>
      </c>
      <c r="L46" s="6" t="s">
        <v>22</v>
      </c>
      <c r="M46" s="6">
        <v>1.0656854248000001</v>
      </c>
      <c r="N46" s="6">
        <v>28.352900390624999</v>
      </c>
      <c r="O46" s="6">
        <f>Table1[[#This Row],[R1 Length (km)]]+Table1[[#This Row],[T1 Length (km)]]</f>
        <v>29.418585815425001</v>
      </c>
      <c r="P46" s="5">
        <v>130</v>
      </c>
      <c r="Q46" s="6">
        <f>(Table1[[#This Row],[Linear Features (km)]]*0.4)*100</f>
        <v>1176.7434326170001</v>
      </c>
      <c r="R46" s="7">
        <v>14.63</v>
      </c>
      <c r="S46" s="8">
        <f>Table1[[#This Row],[ATG (ha)]]/Table1[[#This Row],[Linear Area (ha)]]</f>
        <v>1.2432616655836219E-2</v>
      </c>
      <c r="T46" s="5" t="s">
        <v>136</v>
      </c>
      <c r="U46" s="9" t="s">
        <v>22</v>
      </c>
      <c r="V46" s="7" t="s">
        <v>22</v>
      </c>
      <c r="W46" s="7" t="s">
        <v>22</v>
      </c>
      <c r="X46" s="11">
        <v>223.813652871177</v>
      </c>
      <c r="Y46" s="10">
        <f>Table1[[#This Row],[Raw Terrestrial Score]]/Table1[[#This Row],[Summed Raw Scores]]</f>
        <v>0.2897094384098266</v>
      </c>
      <c r="Z46" s="11">
        <v>548.73160523176205</v>
      </c>
      <c r="AA46" s="10">
        <f>Table1[[#This Row],[Raw Freshwater Score]]/Table1[[#This Row],[Summed Raw Scores]]</f>
        <v>0.71029056159017345</v>
      </c>
      <c r="AB46" s="10">
        <f>Table1[[#This Row],[Raw Terrestrial Score]]+Table1[[#This Row],[Raw Freshwater Score]]</f>
        <v>772.54525810293899</v>
      </c>
      <c r="AC46" s="12">
        <f>Table1[[#This Row],[Terrestrial % of Summed Score]]*Table1[[#This Row],[Scaled Summed Score]]</f>
        <v>4.4369006829019272E-2</v>
      </c>
      <c r="AD46" s="12">
        <f>Table1[[#This Row],[Freshwater % of Summed Score]]*Table1[[#This Row],[Scaled Summed Score]]</f>
        <v>0.10878101504308253</v>
      </c>
      <c r="AE46" s="12">
        <f>Table1[[#This Row],[Summed Raw Scores]]/MAX(Table1[Summed Raw Scores])</f>
        <v>0.1531500218721018</v>
      </c>
      <c r="AF46" s="7"/>
    </row>
    <row r="47" spans="1:32" x14ac:dyDescent="0.3">
      <c r="A47" s="5" t="s">
        <v>137</v>
      </c>
      <c r="B47" s="5" t="s">
        <v>114</v>
      </c>
      <c r="C47" s="5" t="s">
        <v>30</v>
      </c>
      <c r="D47" s="5" t="s">
        <v>250</v>
      </c>
      <c r="E47" s="6">
        <v>54.280761560000002</v>
      </c>
      <c r="F47" s="6">
        <v>-125.5268817</v>
      </c>
      <c r="G47" s="6">
        <v>195</v>
      </c>
      <c r="H47" s="5" t="s">
        <v>22</v>
      </c>
      <c r="I47" s="6">
        <v>46.8</v>
      </c>
      <c r="J47" s="6">
        <v>516.38886000000002</v>
      </c>
      <c r="K47" s="6">
        <v>84.12008727319369</v>
      </c>
      <c r="L47" s="6" t="s">
        <v>22</v>
      </c>
      <c r="M47" s="6">
        <v>1.48994958496</v>
      </c>
      <c r="N47" s="6">
        <v>42.6198046875</v>
      </c>
      <c r="O47" s="6">
        <f>Table1[[#This Row],[R1 Length (km)]]+Table1[[#This Row],[T1 Length (km)]]</f>
        <v>44.109754272460002</v>
      </c>
      <c r="P47" s="5">
        <v>230</v>
      </c>
      <c r="Q47" s="6">
        <f>(Table1[[#This Row],[Linear Features (km)]]*0.4)*100</f>
        <v>1764.3901708983999</v>
      </c>
      <c r="R47" s="7">
        <f>((PI()*(45^2))*Table1[[#This Row],[Number of Turbines - WIND]])/10000</f>
        <v>24.810727981725389</v>
      </c>
      <c r="S47" s="8">
        <f>Table1[[#This Row],[ATG (ha)]]/Table1[[#This Row],[Linear Area (ha)]]</f>
        <v>1.4061928246342562E-2</v>
      </c>
      <c r="T47" s="5" t="s">
        <v>115</v>
      </c>
      <c r="U47" s="5">
        <v>39</v>
      </c>
      <c r="V47" s="7" t="s">
        <v>22</v>
      </c>
      <c r="W47" s="7" t="s">
        <v>22</v>
      </c>
      <c r="X47" s="11">
        <f>155.668080084026+2.067903</f>
        <v>157.735983084026</v>
      </c>
      <c r="Y47" s="10">
        <f>Table1[[#This Row],[Raw Terrestrial Score]]/Table1[[#This Row],[Summed Raw Scores]]</f>
        <v>0.20392659622665318</v>
      </c>
      <c r="Z47" s="11">
        <v>615.75794072329904</v>
      </c>
      <c r="AA47" s="10">
        <f>Table1[[#This Row],[Raw Freshwater Score]]/Table1[[#This Row],[Summed Raw Scores]]</f>
        <v>0.7960734037733469</v>
      </c>
      <c r="AB47" s="10">
        <f>Table1[[#This Row],[Raw Terrestrial Score]]+Table1[[#This Row],[Raw Freshwater Score]]</f>
        <v>773.49392380732502</v>
      </c>
      <c r="AC47" s="12">
        <f>Table1[[#This Row],[Terrestrial % of Summed Score]]*Table1[[#This Row],[Scaled Summed Score]]</f>
        <v>3.126971398239712E-2</v>
      </c>
      <c r="AD47" s="12">
        <f>Table1[[#This Row],[Freshwater % of Summed Score]]*Table1[[#This Row],[Scaled Summed Score]]</f>
        <v>0.12206837217700975</v>
      </c>
      <c r="AE47" s="12">
        <f>Table1[[#This Row],[Summed Raw Scores]]/MAX(Table1[Summed Raw Scores])</f>
        <v>0.15333808615940686</v>
      </c>
      <c r="AF47" s="7"/>
    </row>
    <row r="48" spans="1:32" x14ac:dyDescent="0.3">
      <c r="A48" s="5" t="s">
        <v>138</v>
      </c>
      <c r="B48" s="5" t="s">
        <v>114</v>
      </c>
      <c r="C48" s="5" t="s">
        <v>30</v>
      </c>
      <c r="D48" s="5" t="s">
        <v>250</v>
      </c>
      <c r="E48" s="6">
        <v>53.731754780000003</v>
      </c>
      <c r="F48" s="6">
        <v>-124.2257591</v>
      </c>
      <c r="G48" s="6">
        <v>333</v>
      </c>
      <c r="H48" s="5" t="s">
        <v>22</v>
      </c>
      <c r="I48" s="6">
        <v>80.399999999999991</v>
      </c>
      <c r="J48" s="6">
        <v>1126.00602</v>
      </c>
      <c r="K48" s="6">
        <v>61.8691277592863</v>
      </c>
      <c r="L48" s="6" t="s">
        <v>22</v>
      </c>
      <c r="M48" s="6">
        <v>0.241421356201</v>
      </c>
      <c r="N48" s="6">
        <v>34.152187499999997</v>
      </c>
      <c r="O48" s="6">
        <f>Table1[[#This Row],[R1 Length (km)]]+Table1[[#This Row],[T1 Length (km)]]</f>
        <v>34.393608856200999</v>
      </c>
      <c r="P48" s="5">
        <v>230</v>
      </c>
      <c r="Q48" s="6">
        <f>(Table1[[#This Row],[Linear Features (km)]]*0.4)*100</f>
        <v>1375.7443542480401</v>
      </c>
      <c r="R48" s="7">
        <f>((PI()*(45^2))*Table1[[#This Row],[Number of Turbines - WIND]])/10000</f>
        <v>42.623558327579516</v>
      </c>
      <c r="S48" s="8">
        <f>Table1[[#This Row],[ATG (ha)]]/Table1[[#This Row],[Linear Area (ha)]]</f>
        <v>3.0982179353283172E-2</v>
      </c>
      <c r="T48" s="5" t="s">
        <v>115</v>
      </c>
      <c r="U48" s="5">
        <v>67</v>
      </c>
      <c r="V48" s="7" t="s">
        <v>22</v>
      </c>
      <c r="W48" s="7" t="s">
        <v>22</v>
      </c>
      <c r="X48" s="11">
        <f>251.790879298002+10.74379</f>
        <v>262.53466929800203</v>
      </c>
      <c r="Y48" s="10">
        <f>Table1[[#This Row],[Raw Terrestrial Score]]/Table1[[#This Row],[Summed Raw Scores]]</f>
        <v>0.21306307127405857</v>
      </c>
      <c r="Z48" s="11">
        <v>969.65760000571595</v>
      </c>
      <c r="AA48" s="10">
        <f>Table1[[#This Row],[Raw Freshwater Score]]/Table1[[#This Row],[Summed Raw Scores]]</f>
        <v>0.78693692872594145</v>
      </c>
      <c r="AB48" s="10">
        <f>Table1[[#This Row],[Raw Terrestrial Score]]+Table1[[#This Row],[Raw Freshwater Score]]</f>
        <v>1232.1922693037179</v>
      </c>
      <c r="AC48" s="12">
        <f>Table1[[#This Row],[Terrestrial % of Summed Score]]*Table1[[#This Row],[Scaled Summed Score]]</f>
        <v>5.2045093699632228E-2</v>
      </c>
      <c r="AD48" s="12">
        <f>Table1[[#This Row],[Freshwater % of Summed Score]]*Table1[[#This Row],[Scaled Summed Score]]</f>
        <v>0.19222573835219581</v>
      </c>
      <c r="AE48" s="12">
        <f>Table1[[#This Row],[Summed Raw Scores]]/MAX(Table1[Summed Raw Scores])</f>
        <v>0.24427083205182804</v>
      </c>
      <c r="AF48" s="7"/>
    </row>
    <row r="49" spans="1:32" x14ac:dyDescent="0.3">
      <c r="A49" s="5" t="s">
        <v>139</v>
      </c>
      <c r="B49" s="5" t="s">
        <v>114</v>
      </c>
      <c r="C49" s="5" t="s">
        <v>59</v>
      </c>
      <c r="D49" s="5" t="s">
        <v>250</v>
      </c>
      <c r="E49" s="6">
        <v>53.603466359999999</v>
      </c>
      <c r="F49" s="6">
        <v>-122.39073879999999</v>
      </c>
      <c r="G49" s="6">
        <v>96</v>
      </c>
      <c r="H49" s="5" t="s">
        <v>22</v>
      </c>
      <c r="I49" s="6">
        <v>22.8</v>
      </c>
      <c r="J49" s="6">
        <v>300.25776000000002</v>
      </c>
      <c r="K49" s="6">
        <v>81.417215013863583</v>
      </c>
      <c r="L49" s="6" t="s">
        <v>22</v>
      </c>
      <c r="M49" s="6">
        <v>2.6384777831999999</v>
      </c>
      <c r="N49" s="6">
        <v>33.161730468750001</v>
      </c>
      <c r="O49" s="6">
        <f>Table1[[#This Row],[R1 Length (km)]]+Table1[[#This Row],[T1 Length (km)]]</f>
        <v>35.800208251950004</v>
      </c>
      <c r="P49" s="5">
        <v>230</v>
      </c>
      <c r="Q49" s="6">
        <f>(Table1[[#This Row],[Linear Features (km)]]*0.4)*100</f>
        <v>1432.0083300780002</v>
      </c>
      <c r="R49" s="7">
        <v>12.09</v>
      </c>
      <c r="S49" s="8">
        <f>Table1[[#This Row],[ATG (ha)]]/Table1[[#This Row],[Linear Area (ha)]]</f>
        <v>8.4426883182596203E-3</v>
      </c>
      <c r="T49" s="5" t="s">
        <v>136</v>
      </c>
      <c r="U49" s="9" t="s">
        <v>22</v>
      </c>
      <c r="V49" s="7" t="s">
        <v>22</v>
      </c>
      <c r="W49" s="7" t="s">
        <v>22</v>
      </c>
      <c r="X49" s="11">
        <v>251.51290287077401</v>
      </c>
      <c r="Y49" s="10">
        <f>Table1[[#This Row],[Raw Terrestrial Score]]/Table1[[#This Row],[Summed Raw Scores]]</f>
        <v>0.49029882825653381</v>
      </c>
      <c r="Z49" s="11">
        <v>261.46589368302398</v>
      </c>
      <c r="AA49" s="10">
        <f>Table1[[#This Row],[Raw Freshwater Score]]/Table1[[#This Row],[Summed Raw Scores]]</f>
        <v>0.50970117174346619</v>
      </c>
      <c r="AB49" s="10">
        <f>Table1[[#This Row],[Raw Terrestrial Score]]+Table1[[#This Row],[Raw Freshwater Score]]</f>
        <v>512.97879655379802</v>
      </c>
      <c r="AC49" s="12">
        <f>Table1[[#This Row],[Terrestrial % of Summed Score]]*Table1[[#This Row],[Scaled Summed Score]]</f>
        <v>4.9860129451007915E-2</v>
      </c>
      <c r="AD49" s="12">
        <f>Table1[[#This Row],[Freshwater % of Summed Score]]*Table1[[#This Row],[Scaled Summed Score]]</f>
        <v>5.1833218722608626E-2</v>
      </c>
      <c r="AE49" s="12">
        <f>Table1[[#This Row],[Summed Raw Scores]]/MAX(Table1[Summed Raw Scores])</f>
        <v>0.10169334817361654</v>
      </c>
      <c r="AF49" s="7"/>
    </row>
    <row r="50" spans="1:32" x14ac:dyDescent="0.3">
      <c r="A50" s="5" t="s">
        <v>140</v>
      </c>
      <c r="B50" s="5" t="s">
        <v>114</v>
      </c>
      <c r="C50" s="5" t="s">
        <v>59</v>
      </c>
      <c r="D50" s="5"/>
      <c r="E50" s="6">
        <v>53.187641970000001</v>
      </c>
      <c r="F50" s="6">
        <v>-121.9923874</v>
      </c>
      <c r="G50" s="6">
        <v>75</v>
      </c>
      <c r="H50" s="5" t="s">
        <v>22</v>
      </c>
      <c r="I50" s="6">
        <v>18</v>
      </c>
      <c r="J50" s="6">
        <v>212.47380000000001</v>
      </c>
      <c r="K50" s="6">
        <v>98.4377501225039</v>
      </c>
      <c r="L50" s="6" t="s">
        <v>22</v>
      </c>
      <c r="M50" s="6">
        <v>1.8970565185499999</v>
      </c>
      <c r="N50" s="6">
        <v>36.525691406249997</v>
      </c>
      <c r="O50" s="6">
        <f>Table1[[#This Row],[R1 Length (km)]]+Table1[[#This Row],[T1 Length (km)]]</f>
        <v>38.422747924799999</v>
      </c>
      <c r="P50" s="5">
        <v>230</v>
      </c>
      <c r="Q50" s="6">
        <f>(Table1[[#This Row],[Linear Features (km)]]*0.4)*100</f>
        <v>1536.909916992</v>
      </c>
      <c r="R50" s="7">
        <f>1110924/10000</f>
        <v>111.0924</v>
      </c>
      <c r="S50" s="8">
        <f>Table1[[#This Row],[ATG (ha)]]/Table1[[#This Row],[Linear Area (ha)]]</f>
        <v>7.2282961266478873E-2</v>
      </c>
      <c r="T50" s="5" t="s">
        <v>136</v>
      </c>
      <c r="U50" s="9" t="s">
        <v>22</v>
      </c>
      <c r="V50" s="7" t="s">
        <v>22</v>
      </c>
      <c r="W50" s="7" t="s">
        <v>22</v>
      </c>
      <c r="X50" s="11">
        <v>319.48068203777098</v>
      </c>
      <c r="Y50" s="10">
        <f>Table1[[#This Row],[Raw Terrestrial Score]]/Table1[[#This Row],[Summed Raw Scores]]</f>
        <v>0.52655080590257519</v>
      </c>
      <c r="Z50" s="11">
        <v>287.26168442796899</v>
      </c>
      <c r="AA50" s="10">
        <f>Table1[[#This Row],[Raw Freshwater Score]]/Table1[[#This Row],[Summed Raw Scores]]</f>
        <v>0.47344919409742486</v>
      </c>
      <c r="AB50" s="10">
        <f>Table1[[#This Row],[Raw Terrestrial Score]]+Table1[[#This Row],[Raw Freshwater Score]]</f>
        <v>606.74236646573991</v>
      </c>
      <c r="AC50" s="12">
        <f>Table1[[#This Row],[Terrestrial % of Summed Score]]*Table1[[#This Row],[Scaled Summed Score]]</f>
        <v>6.3334119171150324E-2</v>
      </c>
      <c r="AD50" s="12">
        <f>Table1[[#This Row],[Freshwater % of Summed Score]]*Table1[[#This Row],[Scaled Summed Score]]</f>
        <v>5.6946997980664833E-2</v>
      </c>
      <c r="AE50" s="12">
        <f>Table1[[#This Row],[Summed Raw Scores]]/MAX(Table1[Summed Raw Scores])</f>
        <v>0.12028111715181515</v>
      </c>
      <c r="AF50" s="7"/>
    </row>
    <row r="51" spans="1:32" x14ac:dyDescent="0.3">
      <c r="A51" s="5" t="s">
        <v>141</v>
      </c>
      <c r="B51" s="5" t="s">
        <v>114</v>
      </c>
      <c r="C51" s="5" t="s">
        <v>30</v>
      </c>
      <c r="D51" s="5" t="s">
        <v>250</v>
      </c>
      <c r="E51" s="6">
        <v>53.759855649999999</v>
      </c>
      <c r="F51" s="6">
        <v>-123.8971043</v>
      </c>
      <c r="G51" s="6">
        <v>75</v>
      </c>
      <c r="H51" s="5" t="s">
        <v>22</v>
      </c>
      <c r="I51" s="6">
        <v>18</v>
      </c>
      <c r="J51" s="6">
        <v>246.9006</v>
      </c>
      <c r="K51" s="6">
        <v>84.536178019825769</v>
      </c>
      <c r="L51" s="6" t="s">
        <v>22</v>
      </c>
      <c r="M51" s="6">
        <v>1.95563513184</v>
      </c>
      <c r="N51" s="6">
        <v>31.794826171874998</v>
      </c>
      <c r="O51" s="6">
        <f>Table1[[#This Row],[R1 Length (km)]]+Table1[[#This Row],[T1 Length (km)]]</f>
        <v>33.750461303714999</v>
      </c>
      <c r="P51" s="5">
        <v>230</v>
      </c>
      <c r="Q51" s="6">
        <f>(Table1[[#This Row],[Linear Features (km)]]*0.4)*100</f>
        <v>1350.0184521486001</v>
      </c>
      <c r="R51" s="7">
        <v>9.5399999999999991</v>
      </c>
      <c r="S51" s="8">
        <f>Table1[[#This Row],[ATG (ha)]]/Table1[[#This Row],[Linear Area (ha)]]</f>
        <v>7.0665700789620811E-3</v>
      </c>
      <c r="T51" s="5" t="s">
        <v>136</v>
      </c>
      <c r="U51" s="9" t="s">
        <v>22</v>
      </c>
      <c r="V51" s="7" t="s">
        <v>22</v>
      </c>
      <c r="W51" s="7" t="s">
        <v>22</v>
      </c>
      <c r="X51" s="11">
        <v>445.17737496085499</v>
      </c>
      <c r="Y51" s="10">
        <f>Table1[[#This Row],[Raw Terrestrial Score]]/Table1[[#This Row],[Summed Raw Scores]]</f>
        <v>0.38867310159155261</v>
      </c>
      <c r="Z51" s="11">
        <v>700.19999521970703</v>
      </c>
      <c r="AA51" s="10">
        <f>Table1[[#This Row],[Raw Freshwater Score]]/Table1[[#This Row],[Summed Raw Scores]]</f>
        <v>0.61132689840844734</v>
      </c>
      <c r="AB51" s="10">
        <f>Table1[[#This Row],[Raw Terrestrial Score]]+Table1[[#This Row],[Raw Freshwater Score]]</f>
        <v>1145.3773701805621</v>
      </c>
      <c r="AC51" s="12">
        <f>Table1[[#This Row],[Terrestrial % of Summed Score]]*Table1[[#This Row],[Scaled Summed Score]]</f>
        <v>8.8252337318903321E-2</v>
      </c>
      <c r="AD51" s="12">
        <f>Table1[[#This Row],[Freshwater % of Summed Score]]*Table1[[#This Row],[Scaled Summed Score]]</f>
        <v>0.13880823609748302</v>
      </c>
      <c r="AE51" s="12">
        <f>Table1[[#This Row],[Summed Raw Scores]]/MAX(Table1[Summed Raw Scores])</f>
        <v>0.22706057341638636</v>
      </c>
      <c r="AF51" s="7"/>
    </row>
    <row r="52" spans="1:32" x14ac:dyDescent="0.3">
      <c r="A52" s="5" t="s">
        <v>142</v>
      </c>
      <c r="B52" s="5" t="s">
        <v>114</v>
      </c>
      <c r="C52" s="5" t="s">
        <v>30</v>
      </c>
      <c r="D52" s="5"/>
      <c r="E52" s="6">
        <v>54.277220999999997</v>
      </c>
      <c r="F52" s="6">
        <v>-130.33815799999999</v>
      </c>
      <c r="G52" s="6">
        <v>27</v>
      </c>
      <c r="H52" s="5" t="s">
        <v>22</v>
      </c>
      <c r="I52" s="6">
        <v>7.1999999999999993</v>
      </c>
      <c r="J52" s="6">
        <v>89.352000000000004</v>
      </c>
      <c r="K52" s="6">
        <v>105.77926262590856</v>
      </c>
      <c r="L52" s="6" t="s">
        <v>22</v>
      </c>
      <c r="M52" s="6">
        <v>6.2</v>
      </c>
      <c r="N52" s="6">
        <v>4.5941127929687502</v>
      </c>
      <c r="O52" s="6">
        <f>Table1[[#This Row],[R1 Length (km)]]+Table1[[#This Row],[T1 Length (km)]]</f>
        <v>10.79411279296875</v>
      </c>
      <c r="P52" s="5">
        <v>69</v>
      </c>
      <c r="Q52" s="6">
        <f>(Table1[[#This Row],[Linear Features (km)]]*0.4)*100</f>
        <v>431.76451171875004</v>
      </c>
      <c r="R52" s="7">
        <f>423200.9/10000</f>
        <v>42.32009</v>
      </c>
      <c r="S52" s="8">
        <f>Table1[[#This Row],[ATG (ha)]]/Table1[[#This Row],[Linear Area (ha)]]</f>
        <v>9.801660129855036E-2</v>
      </c>
      <c r="T52" s="5" t="s">
        <v>136</v>
      </c>
      <c r="U52" s="9" t="s">
        <v>22</v>
      </c>
      <c r="V52" s="7" t="s">
        <v>22</v>
      </c>
      <c r="W52" s="7" t="s">
        <v>22</v>
      </c>
      <c r="X52" s="11">
        <v>61.7483367323875</v>
      </c>
      <c r="Y52" s="10">
        <f>Table1[[#This Row],[Raw Terrestrial Score]]/Table1[[#This Row],[Summed Raw Scores]]</f>
        <v>0.64773981498057587</v>
      </c>
      <c r="Z52" s="11">
        <v>33.580582849681399</v>
      </c>
      <c r="AA52" s="10">
        <f>Table1[[#This Row],[Raw Freshwater Score]]/Table1[[#This Row],[Summed Raw Scores]]</f>
        <v>0.35226018501942419</v>
      </c>
      <c r="AB52" s="10">
        <f>Table1[[#This Row],[Raw Terrestrial Score]]+Table1[[#This Row],[Raw Freshwater Score]]</f>
        <v>95.328919582068892</v>
      </c>
      <c r="AC52" s="12">
        <f>Table1[[#This Row],[Terrestrial % of Summed Score]]*Table1[[#This Row],[Scaled Summed Score]]</f>
        <v>1.2241042219782769E-2</v>
      </c>
      <c r="AD52" s="12">
        <f>Table1[[#This Row],[Freshwater % of Summed Score]]*Table1[[#This Row],[Scaled Summed Score]]</f>
        <v>6.6570429938764353E-3</v>
      </c>
      <c r="AE52" s="12">
        <f>Table1[[#This Row],[Summed Raw Scores]]/MAX(Table1[Summed Raw Scores])</f>
        <v>1.8898085213659203E-2</v>
      </c>
      <c r="AF52" s="7"/>
    </row>
    <row r="53" spans="1:32" x14ac:dyDescent="0.3">
      <c r="A53" s="5" t="s">
        <v>106</v>
      </c>
      <c r="B53" s="5" t="s">
        <v>97</v>
      </c>
      <c r="C53" s="5" t="s">
        <v>21</v>
      </c>
      <c r="D53" s="5" t="s">
        <v>250</v>
      </c>
      <c r="E53" s="13">
        <v>50.52</v>
      </c>
      <c r="F53" s="13">
        <v>-127.02</v>
      </c>
      <c r="G53" s="6">
        <v>77.599999999999994</v>
      </c>
      <c r="H53" s="6">
        <v>40</v>
      </c>
      <c r="I53" s="6">
        <v>38</v>
      </c>
      <c r="J53" s="14">
        <v>380</v>
      </c>
      <c r="K53" s="14">
        <v>75.443835022643938</v>
      </c>
      <c r="L53" s="6" t="s">
        <v>22</v>
      </c>
      <c r="M53" s="6">
        <v>0</v>
      </c>
      <c r="N53" s="6">
        <v>7.6</v>
      </c>
      <c r="O53" s="6">
        <f>Table1[[#This Row],[R1 Length (km)]]+Table1[[#This Row],[T1 Length (km)]]</f>
        <v>7.6</v>
      </c>
      <c r="P53" s="5">
        <v>130</v>
      </c>
      <c r="Q53" s="6">
        <f>(Table1[[#This Row],[Linear Features (km)]]*0.4)*100</f>
        <v>304</v>
      </c>
      <c r="R53" s="7">
        <v>7.62</v>
      </c>
      <c r="S53" s="8">
        <f>Table1[[#This Row],[ATG (ha)]]/Table1[[#This Row],[Linear Area (ha)]]</f>
        <v>2.5065789473684211E-2</v>
      </c>
      <c r="T53" s="9" t="s">
        <v>22</v>
      </c>
      <c r="U53" s="9" t="s">
        <v>22</v>
      </c>
      <c r="V53" s="7" t="s">
        <v>22</v>
      </c>
      <c r="W53" s="7" t="s">
        <v>22</v>
      </c>
      <c r="X53" s="11">
        <v>20.308280483819502</v>
      </c>
      <c r="Y53" s="10">
        <f>Table1[[#This Row],[Raw Terrestrial Score]]/Table1[[#This Row],[Summed Raw Scores]]</f>
        <v>0.16148828079450261</v>
      </c>
      <c r="Z53" s="11">
        <v>105.448711812496</v>
      </c>
      <c r="AA53" s="10">
        <f>Table1[[#This Row],[Raw Freshwater Score]]/Table1[[#This Row],[Summed Raw Scores]]</f>
        <v>0.83851171920549739</v>
      </c>
      <c r="AB53" s="10">
        <f>Table1[[#This Row],[Raw Terrestrial Score]]+Table1[[#This Row],[Raw Freshwater Score]]</f>
        <v>125.7569922963155</v>
      </c>
      <c r="AC53" s="12">
        <f>Table1[[#This Row],[Terrestrial % of Summed Score]]*Table1[[#This Row],[Scaled Summed Score]]</f>
        <v>4.025930607507929E-3</v>
      </c>
      <c r="AD53" s="12">
        <f>Table1[[#This Row],[Freshwater % of Summed Score]]*Table1[[#This Row],[Scaled Summed Score]]</f>
        <v>2.0904241338721492E-2</v>
      </c>
      <c r="AE53" s="12">
        <f>Table1[[#This Row],[Summed Raw Scores]]/MAX(Table1[Summed Raw Scores])</f>
        <v>2.4930171946229422E-2</v>
      </c>
      <c r="AF53" s="7"/>
    </row>
    <row r="54" spans="1:32" x14ac:dyDescent="0.3">
      <c r="A54" s="5" t="s">
        <v>143</v>
      </c>
      <c r="B54" s="5" t="s">
        <v>114</v>
      </c>
      <c r="C54" s="5" t="s">
        <v>27</v>
      </c>
      <c r="D54" s="5"/>
      <c r="E54" s="6">
        <v>57.537468050000001</v>
      </c>
      <c r="F54" s="6">
        <v>-123.217569</v>
      </c>
      <c r="G54" s="6">
        <v>150</v>
      </c>
      <c r="H54" s="5" t="s">
        <v>22</v>
      </c>
      <c r="I54" s="6">
        <v>36</v>
      </c>
      <c r="J54" s="6">
        <v>464.76180000000005</v>
      </c>
      <c r="K54" s="6">
        <v>107.20800391045138</v>
      </c>
      <c r="L54" s="6" t="s">
        <v>22</v>
      </c>
      <c r="M54" s="6">
        <v>28.1865078125</v>
      </c>
      <c r="N54" s="6">
        <v>218.74175</v>
      </c>
      <c r="O54" s="6">
        <f>Table1[[#This Row],[R1 Length (km)]]+Table1[[#This Row],[T1 Length (km)]]</f>
        <v>246.92825781249999</v>
      </c>
      <c r="P54" s="5">
        <v>230</v>
      </c>
      <c r="Q54" s="6">
        <f>(Table1[[#This Row],[Linear Features (km)]]*0.4)*100</f>
        <v>9877.1303124999995</v>
      </c>
      <c r="R54" s="7">
        <f>2266088/10000</f>
        <v>226.6088</v>
      </c>
      <c r="S54" s="8">
        <f>Table1[[#This Row],[ATG (ha)]]/Table1[[#This Row],[Linear Area (ha)]]</f>
        <v>2.2942777186326608E-2</v>
      </c>
      <c r="T54" s="5" t="s">
        <v>136</v>
      </c>
      <c r="U54" s="9" t="s">
        <v>22</v>
      </c>
      <c r="V54" s="7" t="s">
        <v>22</v>
      </c>
      <c r="W54" s="7" t="s">
        <v>22</v>
      </c>
      <c r="X54" s="11">
        <v>1308.99903351068</v>
      </c>
      <c r="Y54" s="10">
        <f>Table1[[#This Row],[Raw Terrestrial Score]]/Table1[[#This Row],[Summed Raw Scores]]</f>
        <v>0.52755372860572347</v>
      </c>
      <c r="Z54" s="11">
        <v>1172.26299257763</v>
      </c>
      <c r="AA54" s="10">
        <f>Table1[[#This Row],[Raw Freshwater Score]]/Table1[[#This Row],[Summed Raw Scores]]</f>
        <v>0.47244627139427647</v>
      </c>
      <c r="AB54" s="10">
        <f>Table1[[#This Row],[Raw Terrestrial Score]]+Table1[[#This Row],[Raw Freshwater Score]]</f>
        <v>2481.26202608831</v>
      </c>
      <c r="AC54" s="12">
        <f>Table1[[#This Row],[Terrestrial % of Summed Score]]*Table1[[#This Row],[Scaled Summed Score]]</f>
        <v>0.259497069602113</v>
      </c>
      <c r="AD54" s="12">
        <f>Table1[[#This Row],[Freshwater % of Summed Score]]*Table1[[#This Row],[Scaled Summed Score]]</f>
        <v>0.23239040181798321</v>
      </c>
      <c r="AE54" s="12">
        <f>Table1[[#This Row],[Summed Raw Scores]]/MAX(Table1[Summed Raw Scores])</f>
        <v>0.49188747142009626</v>
      </c>
      <c r="AF54" s="7"/>
    </row>
    <row r="55" spans="1:32" x14ac:dyDescent="0.3">
      <c r="A55" s="5" t="s">
        <v>144</v>
      </c>
      <c r="B55" s="5" t="s">
        <v>114</v>
      </c>
      <c r="C55" s="5" t="s">
        <v>27</v>
      </c>
      <c r="D55" s="5"/>
      <c r="E55" s="6">
        <v>57.414985940000001</v>
      </c>
      <c r="F55" s="6">
        <v>-123.31186289999999</v>
      </c>
      <c r="G55" s="6">
        <v>138</v>
      </c>
      <c r="H55" s="5" t="s">
        <v>22</v>
      </c>
      <c r="I55" s="6">
        <v>33.6</v>
      </c>
      <c r="J55" s="6">
        <v>392.57064000000003</v>
      </c>
      <c r="K55" s="6">
        <v>118.86725171561042</v>
      </c>
      <c r="L55" s="6" t="s">
        <v>22</v>
      </c>
      <c r="M55" s="6">
        <v>33.036265624999999</v>
      </c>
      <c r="N55" s="6">
        <v>207.05425</v>
      </c>
      <c r="O55" s="6">
        <f>Table1[[#This Row],[R1 Length (km)]]+Table1[[#This Row],[T1 Length (km)]]</f>
        <v>240.09051562499999</v>
      </c>
      <c r="P55" s="5">
        <v>230</v>
      </c>
      <c r="Q55" s="6">
        <f>(Table1[[#This Row],[Linear Features (km)]]*0.4)*100</f>
        <v>9603.6206250000014</v>
      </c>
      <c r="R55" s="7">
        <f>2218345/10000</f>
        <v>221.83449999999999</v>
      </c>
      <c r="S55" s="8">
        <f>Table1[[#This Row],[ATG (ha)]]/Table1[[#This Row],[Linear Area (ha)]]</f>
        <v>2.3099048646561874E-2</v>
      </c>
      <c r="T55" s="5" t="s">
        <v>136</v>
      </c>
      <c r="U55" s="9" t="s">
        <v>22</v>
      </c>
      <c r="V55" s="7" t="s">
        <v>22</v>
      </c>
      <c r="W55" s="7" t="s">
        <v>22</v>
      </c>
      <c r="X55" s="11">
        <v>1215.0203520841901</v>
      </c>
      <c r="Y55" s="10">
        <f>Table1[[#This Row],[Raw Terrestrial Score]]/Table1[[#This Row],[Summed Raw Scores]]</f>
        <v>0.54626850358924717</v>
      </c>
      <c r="Z55" s="11">
        <v>1009.19785581343</v>
      </c>
      <c r="AA55" s="10">
        <f>Table1[[#This Row],[Raw Freshwater Score]]/Table1[[#This Row],[Summed Raw Scores]]</f>
        <v>0.45373149641075278</v>
      </c>
      <c r="AB55" s="10">
        <f>Table1[[#This Row],[Raw Terrestrial Score]]+Table1[[#This Row],[Raw Freshwater Score]]</f>
        <v>2224.2182078976202</v>
      </c>
      <c r="AC55" s="12">
        <f>Table1[[#This Row],[Terrestrial % of Summed Score]]*Table1[[#This Row],[Scaled Summed Score]]</f>
        <v>0.24086665673630731</v>
      </c>
      <c r="AD55" s="12">
        <f>Table1[[#This Row],[Freshwater % of Summed Score]]*Table1[[#This Row],[Scaled Summed Score]]</f>
        <v>0.20006423192686354</v>
      </c>
      <c r="AE55" s="12">
        <f>Table1[[#This Row],[Summed Raw Scores]]/MAX(Table1[Summed Raw Scores])</f>
        <v>0.44093088866317087</v>
      </c>
      <c r="AF55" s="7"/>
    </row>
    <row r="56" spans="1:32" x14ac:dyDescent="0.3">
      <c r="A56" s="5" t="s">
        <v>145</v>
      </c>
      <c r="B56" s="5" t="s">
        <v>114</v>
      </c>
      <c r="C56" s="5" t="s">
        <v>27</v>
      </c>
      <c r="D56" s="5"/>
      <c r="E56" s="6">
        <v>57.126208089999999</v>
      </c>
      <c r="F56" s="6">
        <v>-123.0578247</v>
      </c>
      <c r="G56" s="6">
        <v>102</v>
      </c>
      <c r="H56" s="5" t="s">
        <v>22</v>
      </c>
      <c r="I56" s="6">
        <v>25.2</v>
      </c>
      <c r="J56" s="6">
        <v>398.45735999999999</v>
      </c>
      <c r="K56" s="6">
        <v>100.10009970678456</v>
      </c>
      <c r="L56" s="6" t="s">
        <v>22</v>
      </c>
      <c r="M56" s="6">
        <v>16.8266933594</v>
      </c>
      <c r="N56" s="6">
        <v>168.71971875</v>
      </c>
      <c r="O56" s="6">
        <f>Table1[[#This Row],[R1 Length (km)]]+Table1[[#This Row],[T1 Length (km)]]</f>
        <v>185.54641210939999</v>
      </c>
      <c r="P56" s="5">
        <v>230</v>
      </c>
      <c r="Q56" s="6">
        <f>(Table1[[#This Row],[Linear Features (km)]]*0.4)*100</f>
        <v>7421.8564843760005</v>
      </c>
      <c r="R56" s="7">
        <f>1911905/10000</f>
        <v>191.19049999999999</v>
      </c>
      <c r="S56" s="8">
        <f>Table1[[#This Row],[ATG (ha)]]/Table1[[#This Row],[Linear Area (ha)]]</f>
        <v>2.576046847611262E-2</v>
      </c>
      <c r="T56" s="5" t="s">
        <v>136</v>
      </c>
      <c r="U56" s="9" t="s">
        <v>22</v>
      </c>
      <c r="V56" s="7" t="s">
        <v>22</v>
      </c>
      <c r="W56" s="7" t="s">
        <v>22</v>
      </c>
      <c r="X56" s="11">
        <v>947.03790073841799</v>
      </c>
      <c r="Y56" s="10">
        <f>Table1[[#This Row],[Raw Terrestrial Score]]/Table1[[#This Row],[Summed Raw Scores]]</f>
        <v>0.71788749916972661</v>
      </c>
      <c r="Z56" s="11">
        <v>372.16309082880599</v>
      </c>
      <c r="AA56" s="10">
        <f>Table1[[#This Row],[Raw Freshwater Score]]/Table1[[#This Row],[Summed Raw Scores]]</f>
        <v>0.28211250083027339</v>
      </c>
      <c r="AB56" s="10">
        <f>Table1[[#This Row],[Raw Terrestrial Score]]+Table1[[#This Row],[Raw Freshwater Score]]</f>
        <v>1319.200991567224</v>
      </c>
      <c r="AC56" s="12">
        <f>Table1[[#This Row],[Terrestrial % of Summed Score]]*Table1[[#This Row],[Scaled Summed Score]]</f>
        <v>0.18774159014056385</v>
      </c>
      <c r="AD56" s="12">
        <f>Table1[[#This Row],[Freshwater % of Summed Score]]*Table1[[#This Row],[Scaled Summed Score]]</f>
        <v>7.3777924209103118E-2</v>
      </c>
      <c r="AE56" s="12">
        <f>Table1[[#This Row],[Summed Raw Scores]]/MAX(Table1[Summed Raw Scores])</f>
        <v>0.26151951434966697</v>
      </c>
      <c r="AF56" s="7"/>
    </row>
    <row r="57" spans="1:32" x14ac:dyDescent="0.3">
      <c r="A57" s="5" t="s">
        <v>146</v>
      </c>
      <c r="B57" s="5" t="s">
        <v>114</v>
      </c>
      <c r="C57" s="5" t="s">
        <v>27</v>
      </c>
      <c r="D57" s="5"/>
      <c r="E57" s="6">
        <v>57.039813369999997</v>
      </c>
      <c r="F57" s="6">
        <v>-123.0997048</v>
      </c>
      <c r="G57" s="6">
        <v>96</v>
      </c>
      <c r="H57" s="5" t="s">
        <v>22</v>
      </c>
      <c r="I57" s="6">
        <v>22.8</v>
      </c>
      <c r="J57" s="6">
        <v>381.56370000000004</v>
      </c>
      <c r="K57" s="6">
        <v>98.028597491633946</v>
      </c>
      <c r="L57" s="6" t="s">
        <v>22</v>
      </c>
      <c r="M57" s="6">
        <v>17.419585937499999</v>
      </c>
      <c r="N57" s="6">
        <v>159.68956249999999</v>
      </c>
      <c r="O57" s="6">
        <f>Table1[[#This Row],[R1 Length (km)]]+Table1[[#This Row],[T1 Length (km)]]</f>
        <v>177.10914843749998</v>
      </c>
      <c r="P57" s="5">
        <v>230</v>
      </c>
      <c r="Q57" s="6">
        <f>(Table1[[#This Row],[Linear Features (km)]]*0.4)*100</f>
        <v>7084.3659374999997</v>
      </c>
      <c r="R57" s="7">
        <f>1734104/10000</f>
        <v>173.41040000000001</v>
      </c>
      <c r="S57" s="8">
        <f>Table1[[#This Row],[ATG (ha)]]/Table1[[#This Row],[Linear Area (ha)]]</f>
        <v>2.4477899861451081E-2</v>
      </c>
      <c r="T57" s="5" t="s">
        <v>136</v>
      </c>
      <c r="U57" s="9" t="s">
        <v>22</v>
      </c>
      <c r="V57" s="7" t="s">
        <v>22</v>
      </c>
      <c r="W57" s="7" t="s">
        <v>22</v>
      </c>
      <c r="X57" s="11">
        <v>838.59785159677301</v>
      </c>
      <c r="Y57" s="10">
        <f>Table1[[#This Row],[Raw Terrestrial Score]]/Table1[[#This Row],[Summed Raw Scores]]</f>
        <v>0.76194673640803501</v>
      </c>
      <c r="Z57" s="11">
        <v>262.00119493249798</v>
      </c>
      <c r="AA57" s="10">
        <f>Table1[[#This Row],[Raw Freshwater Score]]/Table1[[#This Row],[Summed Raw Scores]]</f>
        <v>0.23805326359196508</v>
      </c>
      <c r="AB57" s="10">
        <f>Table1[[#This Row],[Raw Terrestrial Score]]+Table1[[#This Row],[Raw Freshwater Score]]</f>
        <v>1100.5990465292709</v>
      </c>
      <c r="AC57" s="12">
        <f>Table1[[#This Row],[Terrestrial % of Summed Score]]*Table1[[#This Row],[Scaled Summed Score]]</f>
        <v>0.1662443435732413</v>
      </c>
      <c r="AD57" s="12">
        <f>Table1[[#This Row],[Freshwater % of Summed Score]]*Table1[[#This Row],[Scaled Summed Score]]</f>
        <v>5.1939337292627959E-2</v>
      </c>
      <c r="AE57" s="12">
        <f>Table1[[#This Row],[Summed Raw Scores]]/MAX(Table1[Summed Raw Scores])</f>
        <v>0.21818368086586926</v>
      </c>
      <c r="AF57" s="7"/>
    </row>
    <row r="58" spans="1:32" x14ac:dyDescent="0.3">
      <c r="A58" s="5" t="s">
        <v>147</v>
      </c>
      <c r="B58" s="5" t="s">
        <v>114</v>
      </c>
      <c r="C58" s="5" t="s">
        <v>27</v>
      </c>
      <c r="D58" s="5" t="s">
        <v>250</v>
      </c>
      <c r="E58" s="6">
        <v>56.835681530000002</v>
      </c>
      <c r="F58" s="6">
        <v>-123.01556770000001</v>
      </c>
      <c r="G58" s="6">
        <v>243</v>
      </c>
      <c r="H58" s="5" t="s">
        <v>22</v>
      </c>
      <c r="I58" s="6">
        <v>58.8</v>
      </c>
      <c r="J58" s="6">
        <v>935.09933999999998</v>
      </c>
      <c r="K58" s="6">
        <v>72.047365486389182</v>
      </c>
      <c r="L58" s="6" t="s">
        <v>22</v>
      </c>
      <c r="M58" s="6">
        <v>6.5627421874999996</v>
      </c>
      <c r="N58" s="6">
        <v>134.880015625</v>
      </c>
      <c r="O58" s="6">
        <f>Table1[[#This Row],[R1 Length (km)]]+Table1[[#This Row],[T1 Length (km)]]</f>
        <v>141.44275781249999</v>
      </c>
      <c r="P58" s="5">
        <v>230</v>
      </c>
      <c r="Q58" s="6">
        <f>(Table1[[#This Row],[Linear Features (km)]]*0.4)*100</f>
        <v>5657.7103125000003</v>
      </c>
      <c r="R58" s="7">
        <v>31.17</v>
      </c>
      <c r="S58" s="8">
        <f>Table1[[#This Row],[ATG (ha)]]/Table1[[#This Row],[Linear Area (ha)]]</f>
        <v>5.5092958596932402E-3</v>
      </c>
      <c r="T58" s="5" t="s">
        <v>136</v>
      </c>
      <c r="U58" s="9" t="s">
        <v>22</v>
      </c>
      <c r="V58" s="7" t="s">
        <v>22</v>
      </c>
      <c r="W58" s="7" t="s">
        <v>22</v>
      </c>
      <c r="X58" s="11">
        <v>820.08160084113501</v>
      </c>
      <c r="Y58" s="10">
        <f>Table1[[#This Row],[Raw Terrestrial Score]]/Table1[[#This Row],[Summed Raw Scores]]</f>
        <v>0.75272416643341067</v>
      </c>
      <c r="Z58" s="11">
        <v>269.40328274760401</v>
      </c>
      <c r="AA58" s="10">
        <f>Table1[[#This Row],[Raw Freshwater Score]]/Table1[[#This Row],[Summed Raw Scores]]</f>
        <v>0.24727583356658936</v>
      </c>
      <c r="AB58" s="10">
        <f>Table1[[#This Row],[Raw Terrestrial Score]]+Table1[[#This Row],[Raw Freshwater Score]]</f>
        <v>1089.484883588739</v>
      </c>
      <c r="AC58" s="12">
        <f>Table1[[#This Row],[Terrestrial % of Summed Score]]*Table1[[#This Row],[Scaled Summed Score]]</f>
        <v>0.1625736664465979</v>
      </c>
      <c r="AD58" s="12">
        <f>Table1[[#This Row],[Freshwater % of Summed Score]]*Table1[[#This Row],[Scaled Summed Score]]</f>
        <v>5.3406733408120854E-2</v>
      </c>
      <c r="AE58" s="12">
        <f>Table1[[#This Row],[Summed Raw Scores]]/MAX(Table1[Summed Raw Scores])</f>
        <v>0.21598039985471876</v>
      </c>
      <c r="AF58" s="7"/>
    </row>
    <row r="59" spans="1:32" x14ac:dyDescent="0.3">
      <c r="A59" s="5" t="s">
        <v>148</v>
      </c>
      <c r="B59" s="5" t="s">
        <v>114</v>
      </c>
      <c r="C59" s="5" t="s">
        <v>27</v>
      </c>
      <c r="D59" s="5"/>
      <c r="E59" s="6">
        <v>57.097944140000003</v>
      </c>
      <c r="F59" s="6">
        <v>-122.8989455</v>
      </c>
      <c r="G59" s="6">
        <v>117</v>
      </c>
      <c r="H59" s="5" t="s">
        <v>22</v>
      </c>
      <c r="I59" s="6">
        <v>28.799999999999997</v>
      </c>
      <c r="J59" s="6">
        <v>382.74191999999999</v>
      </c>
      <c r="K59" s="6">
        <v>101.4093717537758</v>
      </c>
      <c r="L59" s="6" t="s">
        <v>22</v>
      </c>
      <c r="M59" s="6">
        <v>10.536749023400001</v>
      </c>
      <c r="N59" s="6">
        <v>162.043265625</v>
      </c>
      <c r="O59" s="6">
        <f>Table1[[#This Row],[R1 Length (km)]]+Table1[[#This Row],[T1 Length (km)]]</f>
        <v>172.58001464840001</v>
      </c>
      <c r="P59" s="5">
        <v>230</v>
      </c>
      <c r="Q59" s="6">
        <f>(Table1[[#This Row],[Linear Features (km)]]*0.4)*100</f>
        <v>6903.2005859360015</v>
      </c>
      <c r="R59" s="7">
        <f>1774803/10000</f>
        <v>177.4803</v>
      </c>
      <c r="S59" s="8">
        <f>Table1[[#This Row],[ATG (ha)]]/Table1[[#This Row],[Linear Area (ha)]]</f>
        <v>2.5709857013511007E-2</v>
      </c>
      <c r="T59" s="5" t="s">
        <v>136</v>
      </c>
      <c r="U59" s="9" t="s">
        <v>22</v>
      </c>
      <c r="V59" s="7" t="s">
        <v>22</v>
      </c>
      <c r="W59" s="7" t="s">
        <v>22</v>
      </c>
      <c r="X59" s="11">
        <v>882.67894299328304</v>
      </c>
      <c r="Y59" s="10">
        <f>Table1[[#This Row],[Raw Terrestrial Score]]/Table1[[#This Row],[Summed Raw Scores]]</f>
        <v>0.72299309080483742</v>
      </c>
      <c r="Z59" s="11">
        <v>338.18880003131898</v>
      </c>
      <c r="AA59" s="10">
        <f>Table1[[#This Row],[Raw Freshwater Score]]/Table1[[#This Row],[Summed Raw Scores]]</f>
        <v>0.27700690919516252</v>
      </c>
      <c r="AB59" s="10">
        <f>Table1[[#This Row],[Raw Terrestrial Score]]+Table1[[#This Row],[Raw Freshwater Score]]</f>
        <v>1220.8677430246021</v>
      </c>
      <c r="AC59" s="12">
        <f>Table1[[#This Row],[Terrestrial % of Summed Score]]*Table1[[#This Row],[Scaled Summed Score]]</f>
        <v>0.17498301621502207</v>
      </c>
      <c r="AD59" s="12">
        <f>Table1[[#This Row],[Freshwater % of Summed Score]]*Table1[[#This Row],[Scaled Summed Score]]</f>
        <v>6.7042832220445825E-2</v>
      </c>
      <c r="AE59" s="12">
        <f>Table1[[#This Row],[Summed Raw Scores]]/MAX(Table1[Summed Raw Scores])</f>
        <v>0.24202584843546793</v>
      </c>
      <c r="AF59" s="7"/>
    </row>
    <row r="60" spans="1:32" x14ac:dyDescent="0.3">
      <c r="A60" s="5" t="s">
        <v>149</v>
      </c>
      <c r="B60" s="5" t="s">
        <v>114</v>
      </c>
      <c r="C60" s="5" t="s">
        <v>27</v>
      </c>
      <c r="D60" s="5"/>
      <c r="E60" s="6">
        <v>56.747592869999998</v>
      </c>
      <c r="F60" s="6">
        <v>-122.8784138</v>
      </c>
      <c r="G60" s="6">
        <v>39</v>
      </c>
      <c r="H60" s="5" t="s">
        <v>22</v>
      </c>
      <c r="I60" s="6">
        <v>9.6</v>
      </c>
      <c r="J60" s="6">
        <v>140.82575999999997</v>
      </c>
      <c r="K60" s="6">
        <v>121.98573541611616</v>
      </c>
      <c r="L60" s="6" t="s">
        <v>22</v>
      </c>
      <c r="M60" s="6">
        <v>11.612484374999999</v>
      </c>
      <c r="N60" s="6">
        <v>101.4219453125</v>
      </c>
      <c r="O60" s="6">
        <f>Table1[[#This Row],[R1 Length (km)]]+Table1[[#This Row],[T1 Length (km)]]</f>
        <v>113.03442968749999</v>
      </c>
      <c r="P60" s="5">
        <v>130</v>
      </c>
      <c r="Q60" s="6">
        <f>(Table1[[#This Row],[Linear Features (km)]]*0.4)*100</f>
        <v>4521.3771875000002</v>
      </c>
      <c r="R60" s="7">
        <f>883905/10000</f>
        <v>88.390500000000003</v>
      </c>
      <c r="S60" s="8">
        <f>Table1[[#This Row],[ATG (ha)]]/Table1[[#This Row],[Linear Area (ha)]]</f>
        <v>1.9549463876707366E-2</v>
      </c>
      <c r="T60" s="5" t="s">
        <v>136</v>
      </c>
      <c r="U60" s="9" t="s">
        <v>22</v>
      </c>
      <c r="V60" s="7" t="s">
        <v>22</v>
      </c>
      <c r="W60" s="7" t="s">
        <v>22</v>
      </c>
      <c r="X60" s="11">
        <v>417.45293180272</v>
      </c>
      <c r="Y60" s="10">
        <f>Table1[[#This Row],[Raw Terrestrial Score]]/Table1[[#This Row],[Summed Raw Scores]]</f>
        <v>0.75626254067740084</v>
      </c>
      <c r="Z60" s="11">
        <v>134.54179139062799</v>
      </c>
      <c r="AA60" s="10">
        <f>Table1[[#This Row],[Raw Freshwater Score]]/Table1[[#This Row],[Summed Raw Scores]]</f>
        <v>0.24373745932259905</v>
      </c>
      <c r="AB60" s="10">
        <f>Table1[[#This Row],[Raw Terrestrial Score]]+Table1[[#This Row],[Raw Freshwater Score]]</f>
        <v>551.99472319334802</v>
      </c>
      <c r="AC60" s="12">
        <f>Table1[[#This Row],[Terrestrial % of Summed Score]]*Table1[[#This Row],[Scaled Summed Score]]</f>
        <v>8.2756220383972304E-2</v>
      </c>
      <c r="AD60" s="12">
        <f>Table1[[#This Row],[Freshwater % of Summed Score]]*Table1[[#This Row],[Scaled Summed Score]]</f>
        <v>2.6671677908921779E-2</v>
      </c>
      <c r="AE60" s="12">
        <f>Table1[[#This Row],[Summed Raw Scores]]/MAX(Table1[Summed Raw Scores])</f>
        <v>0.10942789829289409</v>
      </c>
      <c r="AF60" s="7"/>
    </row>
    <row r="61" spans="1:32" x14ac:dyDescent="0.3">
      <c r="A61" s="5" t="s">
        <v>150</v>
      </c>
      <c r="B61" s="5" t="s">
        <v>114</v>
      </c>
      <c r="C61" s="5" t="s">
        <v>27</v>
      </c>
      <c r="D61" s="5" t="s">
        <v>250</v>
      </c>
      <c r="E61" s="6">
        <v>56.576144149999998</v>
      </c>
      <c r="F61" s="6">
        <v>-122.7750882</v>
      </c>
      <c r="G61" s="6">
        <v>207</v>
      </c>
      <c r="H61" s="5" t="s">
        <v>22</v>
      </c>
      <c r="I61" s="6">
        <v>49.199999999999996</v>
      </c>
      <c r="J61" s="6">
        <v>849.41339999999991</v>
      </c>
      <c r="K61" s="6">
        <v>65.79728571598406</v>
      </c>
      <c r="L61" s="6" t="s">
        <v>22</v>
      </c>
      <c r="M61" s="6">
        <v>3.5870061035200003</v>
      </c>
      <c r="N61" s="6">
        <v>101.32417968750001</v>
      </c>
      <c r="O61" s="6">
        <f>Table1[[#This Row],[R1 Length (km)]]+Table1[[#This Row],[T1 Length (km)]]</f>
        <v>104.91118579102</v>
      </c>
      <c r="P61" s="5">
        <v>230</v>
      </c>
      <c r="Q61" s="6">
        <f>(Table1[[#This Row],[Linear Features (km)]]*0.4)*100</f>
        <v>4196.4474316408005</v>
      </c>
      <c r="R61" s="7">
        <v>26.08</v>
      </c>
      <c r="S61" s="8">
        <f>Table1[[#This Row],[ATG (ha)]]/Table1[[#This Row],[Linear Area (ha)]]</f>
        <v>6.2147805792488586E-3</v>
      </c>
      <c r="T61" s="5" t="s">
        <v>136</v>
      </c>
      <c r="U61" s="9" t="s">
        <v>22</v>
      </c>
      <c r="V61" s="7" t="s">
        <v>22</v>
      </c>
      <c r="W61" s="7" t="s">
        <v>22</v>
      </c>
      <c r="X61" s="11">
        <v>756.94179536029696</v>
      </c>
      <c r="Y61" s="10">
        <f>Table1[[#This Row],[Raw Terrestrial Score]]/Table1[[#This Row],[Summed Raw Scores]]</f>
        <v>0.6062725894897748</v>
      </c>
      <c r="Z61" s="11">
        <v>491.57546978164498</v>
      </c>
      <c r="AA61" s="10">
        <f>Table1[[#This Row],[Raw Freshwater Score]]/Table1[[#This Row],[Summed Raw Scores]]</f>
        <v>0.39372741051022508</v>
      </c>
      <c r="AB61" s="10">
        <f>Table1[[#This Row],[Raw Terrestrial Score]]+Table1[[#This Row],[Raw Freshwater Score]]</f>
        <v>1248.5172651419421</v>
      </c>
      <c r="AC61" s="12">
        <f>Table1[[#This Row],[Terrestrial % of Summed Score]]*Table1[[#This Row],[Scaled Summed Score]]</f>
        <v>0.15005677829154546</v>
      </c>
      <c r="AD61" s="12">
        <f>Table1[[#This Row],[Freshwater % of Summed Score]]*Table1[[#This Row],[Scaled Summed Score]]</f>
        <v>9.7450334668698721E-2</v>
      </c>
      <c r="AE61" s="12">
        <f>Table1[[#This Row],[Summed Raw Scores]]/MAX(Table1[Summed Raw Scores])</f>
        <v>0.24750711296024422</v>
      </c>
      <c r="AF61" s="7"/>
    </row>
    <row r="62" spans="1:32" x14ac:dyDescent="0.3">
      <c r="A62" s="5" t="s">
        <v>151</v>
      </c>
      <c r="B62" s="5" t="s">
        <v>114</v>
      </c>
      <c r="C62" s="5" t="s">
        <v>27</v>
      </c>
      <c r="D62" s="5" t="s">
        <v>250</v>
      </c>
      <c r="E62" s="15">
        <v>56.4503433</v>
      </c>
      <c r="F62" s="15">
        <v>-122.62548390000001</v>
      </c>
      <c r="G62" s="6">
        <v>297</v>
      </c>
      <c r="H62" s="5" t="s">
        <v>22</v>
      </c>
      <c r="I62" s="7">
        <v>70.8</v>
      </c>
      <c r="J62" s="7">
        <v>1239.1238999999998</v>
      </c>
      <c r="K62" s="7">
        <v>55.402836873971559</v>
      </c>
      <c r="L62" s="6" t="s">
        <v>22</v>
      </c>
      <c r="M62" s="6">
        <v>1.7</v>
      </c>
      <c r="N62" s="6">
        <v>82.7</v>
      </c>
      <c r="O62" s="6">
        <f>Table1[[#This Row],[R1 Length (km)]]+Table1[[#This Row],[T1 Length (km)]]</f>
        <v>84.4</v>
      </c>
      <c r="P62" s="5">
        <v>230</v>
      </c>
      <c r="Q62" s="6">
        <f>(Table1[[#This Row],[Linear Features (km)]]*0.4)*100</f>
        <v>3376.0000000000005</v>
      </c>
      <c r="R62" s="7">
        <v>37.53</v>
      </c>
      <c r="S62" s="8">
        <f>Table1[[#This Row],[ATG (ha)]]/Table1[[#This Row],[Linear Area (ha)]]</f>
        <v>1.1116706161137439E-2</v>
      </c>
      <c r="T62" s="5" t="s">
        <v>136</v>
      </c>
      <c r="U62" s="9" t="s">
        <v>22</v>
      </c>
      <c r="V62" s="7" t="s">
        <v>22</v>
      </c>
      <c r="W62" s="7" t="s">
        <v>22</v>
      </c>
      <c r="X62" s="11">
        <v>938.84614177048195</v>
      </c>
      <c r="Y62" s="10">
        <f>Table1[[#This Row],[Raw Terrestrial Score]]/Table1[[#This Row],[Summed Raw Scores]]</f>
        <v>0.57619048079043111</v>
      </c>
      <c r="Z62" s="11">
        <v>690.55624002963305</v>
      </c>
      <c r="AA62" s="10">
        <f>Table1[[#This Row],[Raw Freshwater Score]]/Table1[[#This Row],[Summed Raw Scores]]</f>
        <v>0.42380951920956883</v>
      </c>
      <c r="AB62" s="10">
        <f>Table1[[#This Row],[Raw Terrestrial Score]]+Table1[[#This Row],[Raw Freshwater Score]]</f>
        <v>1629.4023818001151</v>
      </c>
      <c r="AC62" s="12">
        <f>Table1[[#This Row],[Terrestrial % of Summed Score]]*Table1[[#This Row],[Scaled Summed Score]]</f>
        <v>0.18611764895142094</v>
      </c>
      <c r="AD62" s="12">
        <f>Table1[[#This Row],[Freshwater % of Summed Score]]*Table1[[#This Row],[Scaled Summed Score]]</f>
        <v>0.13689644995576777</v>
      </c>
      <c r="AE62" s="12">
        <f>Table1[[#This Row],[Summed Raw Scores]]/MAX(Table1[Summed Raw Scores])</f>
        <v>0.32301409890718874</v>
      </c>
      <c r="AF62" s="7"/>
    </row>
    <row r="63" spans="1:32" x14ac:dyDescent="0.3">
      <c r="A63" s="5" t="s">
        <v>152</v>
      </c>
      <c r="B63" s="5" t="s">
        <v>114</v>
      </c>
      <c r="C63" s="5" t="s">
        <v>27</v>
      </c>
      <c r="D63" s="5" t="s">
        <v>250</v>
      </c>
      <c r="E63" s="15">
        <v>54.408751680000002</v>
      </c>
      <c r="F63" s="15">
        <v>-120.1624003</v>
      </c>
      <c r="G63" s="6">
        <v>126</v>
      </c>
      <c r="H63" s="5" t="s">
        <v>22</v>
      </c>
      <c r="I63" s="7">
        <v>30</v>
      </c>
      <c r="J63" s="7">
        <v>570.82349999999997</v>
      </c>
      <c r="K63" s="7">
        <v>63.989458989339575</v>
      </c>
      <c r="L63" s="6" t="s">
        <v>22</v>
      </c>
      <c r="M63" s="15">
        <v>32.181849609399997</v>
      </c>
      <c r="N63" s="7">
        <v>105.7322109375</v>
      </c>
      <c r="O63" s="7">
        <f>Table1[[#This Row],[R1 Length (km)]]+Table1[[#This Row],[T1 Length (km)]]</f>
        <v>137.9140605469</v>
      </c>
      <c r="P63" s="18">
        <v>230</v>
      </c>
      <c r="Q63" s="15">
        <f>(Table1[[#This Row],[Linear Features (km)]]*0.4)*100</f>
        <v>5516.5624218760004</v>
      </c>
      <c r="R63" s="7">
        <v>15.9</v>
      </c>
      <c r="S63" s="8">
        <f>Table1[[#This Row],[ATG (ha)]]/Table1[[#This Row],[Linear Area (ha)]]</f>
        <v>2.8822296901687078E-3</v>
      </c>
      <c r="T63" s="18" t="s">
        <v>136</v>
      </c>
      <c r="U63" s="9" t="s">
        <v>22</v>
      </c>
      <c r="V63" s="7" t="s">
        <v>22</v>
      </c>
      <c r="W63" s="7" t="s">
        <v>22</v>
      </c>
      <c r="X63" s="11">
        <v>1288.99188378453</v>
      </c>
      <c r="Y63" s="10">
        <f>Table1[[#This Row],[Raw Terrestrial Score]]/Table1[[#This Row],[Summed Raw Scores]]</f>
        <v>0.54748721746751927</v>
      </c>
      <c r="Z63" s="11">
        <v>1065.3861595001099</v>
      </c>
      <c r="AA63" s="10">
        <f>Table1[[#This Row],[Raw Freshwater Score]]/Table1[[#This Row],[Summed Raw Scores]]</f>
        <v>0.45251278253248084</v>
      </c>
      <c r="AB63" s="10">
        <f>Table1[[#This Row],[Raw Terrestrial Score]]+Table1[[#This Row],[Raw Freshwater Score]]</f>
        <v>2354.3780432846397</v>
      </c>
      <c r="AC63" s="12">
        <f>Table1[[#This Row],[Terrestrial % of Summed Score]]*Table1[[#This Row],[Scaled Summed Score]]</f>
        <v>0.25553083540933264</v>
      </c>
      <c r="AD63" s="12">
        <f>Table1[[#This Row],[Freshwater % of Summed Score]]*Table1[[#This Row],[Scaled Summed Score]]</f>
        <v>0.21120304851827251</v>
      </c>
      <c r="AE63" s="12">
        <f>Table1[[#This Row],[Summed Raw Scores]]/MAX(Table1[Summed Raw Scores])</f>
        <v>0.46673388392760506</v>
      </c>
      <c r="AF63" s="7"/>
    </row>
    <row r="64" spans="1:32" x14ac:dyDescent="0.3">
      <c r="A64" s="5" t="s">
        <v>153</v>
      </c>
      <c r="B64" s="5" t="s">
        <v>114</v>
      </c>
      <c r="C64" s="5" t="s">
        <v>27</v>
      </c>
      <c r="D64" s="5" t="s">
        <v>250</v>
      </c>
      <c r="E64" s="6">
        <v>54.532078400000003</v>
      </c>
      <c r="F64" s="6">
        <v>-120.0978831</v>
      </c>
      <c r="G64" s="6">
        <v>96</v>
      </c>
      <c r="H64" s="5" t="s">
        <v>22</v>
      </c>
      <c r="I64" s="6">
        <v>22.8</v>
      </c>
      <c r="J64" s="7">
        <v>344.44758000000002</v>
      </c>
      <c r="K64" s="7">
        <v>80.359901262891157</v>
      </c>
      <c r="L64" s="6" t="s">
        <v>22</v>
      </c>
      <c r="M64" s="6">
        <v>14.8</v>
      </c>
      <c r="N64" s="6">
        <v>97.7</v>
      </c>
      <c r="O64" s="6">
        <f>Table1[[#This Row],[R1 Length (km)]]+Table1[[#This Row],[T1 Length (km)]]</f>
        <v>112.5</v>
      </c>
      <c r="P64" s="5">
        <v>230</v>
      </c>
      <c r="Q64" s="6">
        <f>(Table1[[#This Row],[Linear Features (km)]]*0.4)*100</f>
        <v>4500</v>
      </c>
      <c r="R64" s="7">
        <v>12.09</v>
      </c>
      <c r="S64" s="8">
        <f>Table1[[#This Row],[ATG (ha)]]/Table1[[#This Row],[Linear Area (ha)]]</f>
        <v>2.6866666666666666E-3</v>
      </c>
      <c r="T64" s="5" t="s">
        <v>136</v>
      </c>
      <c r="U64" s="9" t="s">
        <v>22</v>
      </c>
      <c r="V64" s="7" t="s">
        <v>22</v>
      </c>
      <c r="W64" s="7" t="s">
        <v>22</v>
      </c>
      <c r="X64" s="11">
        <v>555.74308043718304</v>
      </c>
      <c r="Y64" s="10">
        <f>Table1[[#This Row],[Raw Terrestrial Score]]/Table1[[#This Row],[Summed Raw Scores]]</f>
        <v>0.65341151132455733</v>
      </c>
      <c r="Z64" s="11">
        <v>294.782309466973</v>
      </c>
      <c r="AA64" s="10">
        <f>Table1[[#This Row],[Raw Freshwater Score]]/Table1[[#This Row],[Summed Raw Scores]]</f>
        <v>0.34658848867544262</v>
      </c>
      <c r="AB64" s="10">
        <f>Table1[[#This Row],[Raw Terrestrial Score]]+Table1[[#This Row],[Raw Freshwater Score]]</f>
        <v>850.5253899041561</v>
      </c>
      <c r="AC64" s="12">
        <f>Table1[[#This Row],[Terrestrial % of Summed Score]]*Table1[[#This Row],[Scaled Summed Score]]</f>
        <v>0.11017097578622757</v>
      </c>
      <c r="AD64" s="12">
        <f>Table1[[#This Row],[Freshwater % of Summed Score]]*Table1[[#This Row],[Scaled Summed Score]]</f>
        <v>5.8437893015143023E-2</v>
      </c>
      <c r="AE64" s="12">
        <f>Table1[[#This Row],[Summed Raw Scores]]/MAX(Table1[Summed Raw Scores])</f>
        <v>0.1686088688013706</v>
      </c>
      <c r="AF64" s="7"/>
    </row>
    <row r="65" spans="1:32" x14ac:dyDescent="0.3">
      <c r="A65" s="5" t="s">
        <v>154</v>
      </c>
      <c r="B65" s="5" t="s">
        <v>114</v>
      </c>
      <c r="C65" s="5" t="s">
        <v>27</v>
      </c>
      <c r="D65" s="5" t="s">
        <v>250</v>
      </c>
      <c r="E65" s="15">
        <v>54.475945340000003</v>
      </c>
      <c r="F65" s="15">
        <v>-120.2898646</v>
      </c>
      <c r="G65" s="6">
        <v>135</v>
      </c>
      <c r="H65" s="5" t="s">
        <v>22</v>
      </c>
      <c r="I65" s="7">
        <v>32.4</v>
      </c>
      <c r="J65" s="7">
        <v>639.31355999999994</v>
      </c>
      <c r="K65" s="7">
        <v>58.304319594040237</v>
      </c>
      <c r="L65" s="6" t="s">
        <v>22</v>
      </c>
      <c r="M65" s="15">
        <v>6.0698486328099994</v>
      </c>
      <c r="N65" s="7">
        <v>95.404289062499998</v>
      </c>
      <c r="O65" s="7">
        <f>Table1[[#This Row],[R1 Length (km)]]+Table1[[#This Row],[T1 Length (km)]]</f>
        <v>101.47413769530999</v>
      </c>
      <c r="P65" s="18">
        <v>230</v>
      </c>
      <c r="Q65" s="15">
        <f>(Table1[[#This Row],[Linear Features (km)]]*0.4)*100</f>
        <v>4058.9655078123997</v>
      </c>
      <c r="R65" s="7">
        <v>17.18</v>
      </c>
      <c r="S65" s="8">
        <f>Table1[[#This Row],[ATG (ha)]]/Table1[[#This Row],[Linear Area (ha)]]</f>
        <v>4.2326055658598706E-3</v>
      </c>
      <c r="T65" s="18" t="s">
        <v>136</v>
      </c>
      <c r="U65" s="9" t="s">
        <v>22</v>
      </c>
      <c r="V65" s="7" t="s">
        <v>22</v>
      </c>
      <c r="W65" s="7" t="s">
        <v>22</v>
      </c>
      <c r="X65" s="11">
        <v>995.06031909584999</v>
      </c>
      <c r="Y65" s="10">
        <f>Table1[[#This Row],[Raw Terrestrial Score]]/Table1[[#This Row],[Summed Raw Scores]]</f>
        <v>0.51418910010578189</v>
      </c>
      <c r="Z65" s="11">
        <v>940.14273925591306</v>
      </c>
      <c r="AA65" s="10">
        <f>Table1[[#This Row],[Raw Freshwater Score]]/Table1[[#This Row],[Summed Raw Scores]]</f>
        <v>0.48581089989421811</v>
      </c>
      <c r="AB65" s="10">
        <f>Table1[[#This Row],[Raw Terrestrial Score]]+Table1[[#This Row],[Raw Freshwater Score]]</f>
        <v>1935.203058351763</v>
      </c>
      <c r="AC65" s="12">
        <f>Table1[[#This Row],[Terrestrial % of Summed Score]]*Table1[[#This Row],[Scaled Summed Score]]</f>
        <v>0.19726159475472974</v>
      </c>
      <c r="AD65" s="12">
        <f>Table1[[#This Row],[Freshwater % of Summed Score]]*Table1[[#This Row],[Scaled Summed Score]]</f>
        <v>0.18637468752769895</v>
      </c>
      <c r="AE65" s="12">
        <f>Table1[[#This Row],[Summed Raw Scores]]/MAX(Table1[Summed Raw Scores])</f>
        <v>0.38363628228242869</v>
      </c>
      <c r="AF65" s="7"/>
    </row>
    <row r="66" spans="1:32" x14ac:dyDescent="0.3">
      <c r="A66" s="5" t="s">
        <v>155</v>
      </c>
      <c r="B66" s="5" t="s">
        <v>114</v>
      </c>
      <c r="C66" s="5" t="s">
        <v>27</v>
      </c>
      <c r="D66" s="5" t="s">
        <v>250</v>
      </c>
      <c r="E66" s="6">
        <v>54.607456880000001</v>
      </c>
      <c r="F66" s="6">
        <v>-120.4986409</v>
      </c>
      <c r="G66" s="6">
        <v>144</v>
      </c>
      <c r="H66" s="5" t="s">
        <v>22</v>
      </c>
      <c r="I66" s="6">
        <v>34.799999999999997</v>
      </c>
      <c r="J66" s="7">
        <v>640.30781999999999</v>
      </c>
      <c r="K66" s="7">
        <v>53.724829135258389</v>
      </c>
      <c r="L66" s="6" t="s">
        <v>22</v>
      </c>
      <c r="M66" s="6">
        <v>8</v>
      </c>
      <c r="N66" s="6">
        <v>75.900000000000006</v>
      </c>
      <c r="O66" s="6">
        <f>Table1[[#This Row],[R1 Length (km)]]+Table1[[#This Row],[T1 Length (km)]]</f>
        <v>83.9</v>
      </c>
      <c r="P66" s="5">
        <v>230</v>
      </c>
      <c r="Q66" s="6">
        <f>(Table1[[#This Row],[Linear Features (km)]]*0.4)*100</f>
        <v>3356</v>
      </c>
      <c r="R66" s="7">
        <v>18.45</v>
      </c>
      <c r="S66" s="8">
        <f>Table1[[#This Row],[ATG (ha)]]/Table1[[#This Row],[Linear Area (ha)]]</f>
        <v>5.49761620977354E-3</v>
      </c>
      <c r="T66" s="5" t="s">
        <v>136</v>
      </c>
      <c r="U66" s="9" t="s">
        <v>22</v>
      </c>
      <c r="V66" s="7" t="s">
        <v>22</v>
      </c>
      <c r="W66" s="7" t="s">
        <v>22</v>
      </c>
      <c r="X66" s="11">
        <v>189.96316021680801</v>
      </c>
      <c r="Y66" s="10">
        <f>Table1[[#This Row],[Raw Terrestrial Score]]/Table1[[#This Row],[Summed Raw Scores]]</f>
        <v>0.38740264286624498</v>
      </c>
      <c r="Z66" s="11">
        <v>300.38754779938603</v>
      </c>
      <c r="AA66" s="10">
        <f>Table1[[#This Row],[Raw Freshwater Score]]/Table1[[#This Row],[Summed Raw Scores]]</f>
        <v>0.61259735713375496</v>
      </c>
      <c r="AB66" s="10">
        <f>Table1[[#This Row],[Raw Terrestrial Score]]+Table1[[#This Row],[Raw Freshwater Score]]</f>
        <v>490.35070801619406</v>
      </c>
      <c r="AC66" s="12">
        <f>Table1[[#This Row],[Terrestrial % of Summed Score]]*Table1[[#This Row],[Scaled Summed Score]]</f>
        <v>3.7658456688399219E-2</v>
      </c>
      <c r="AD66" s="12">
        <f>Table1[[#This Row],[Freshwater % of Summed Score]]*Table1[[#This Row],[Scaled Summed Score]]</f>
        <v>5.9549080177582391E-2</v>
      </c>
      <c r="AE66" s="12">
        <f>Table1[[#This Row],[Summed Raw Scores]]/MAX(Table1[Summed Raw Scores])</f>
        <v>9.7207536865981617E-2</v>
      </c>
      <c r="AF66" s="7"/>
    </row>
    <row r="67" spans="1:32" x14ac:dyDescent="0.3">
      <c r="A67" s="5" t="s">
        <v>156</v>
      </c>
      <c r="B67" s="5" t="s">
        <v>114</v>
      </c>
      <c r="C67" s="5" t="s">
        <v>27</v>
      </c>
      <c r="D67" s="5" t="s">
        <v>250</v>
      </c>
      <c r="E67" s="6">
        <v>54.738847200000002</v>
      </c>
      <c r="F67" s="6">
        <v>-120.7330381</v>
      </c>
      <c r="G67" s="6">
        <v>108</v>
      </c>
      <c r="H67" s="5" t="s">
        <v>22</v>
      </c>
      <c r="I67" s="6">
        <v>26.4</v>
      </c>
      <c r="J67" s="7">
        <v>476.30748000000006</v>
      </c>
      <c r="K67" s="7">
        <v>62.376135598209594</v>
      </c>
      <c r="L67" s="6" t="s">
        <v>22</v>
      </c>
      <c r="M67" s="6">
        <v>13.4</v>
      </c>
      <c r="N67" s="6">
        <v>55.7</v>
      </c>
      <c r="O67" s="6">
        <f>Table1[[#This Row],[R1 Length (km)]]+Table1[[#This Row],[T1 Length (km)]]</f>
        <v>69.100000000000009</v>
      </c>
      <c r="P67" s="5">
        <v>230</v>
      </c>
      <c r="Q67" s="6">
        <f>(Table1[[#This Row],[Linear Features (km)]]*0.4)*100</f>
        <v>2764.0000000000005</v>
      </c>
      <c r="R67" s="7">
        <v>14</v>
      </c>
      <c r="S67" s="8">
        <f>Table1[[#This Row],[ATG (ha)]]/Table1[[#This Row],[Linear Area (ha)]]</f>
        <v>5.0651230101302451E-3</v>
      </c>
      <c r="T67" s="5" t="s">
        <v>136</v>
      </c>
      <c r="U67" s="9" t="s">
        <v>22</v>
      </c>
      <c r="V67" s="7" t="s">
        <v>22</v>
      </c>
      <c r="W67" s="7" t="s">
        <v>22</v>
      </c>
      <c r="X67" s="11">
        <v>153.727758288383</v>
      </c>
      <c r="Y67" s="10">
        <f>Table1[[#This Row],[Raw Terrestrial Score]]/Table1[[#This Row],[Summed Raw Scores]]</f>
        <v>0.38343612464970361</v>
      </c>
      <c r="Z67" s="11">
        <v>247.19366879109299</v>
      </c>
      <c r="AA67" s="10">
        <f>Table1[[#This Row],[Raw Freshwater Score]]/Table1[[#This Row],[Summed Raw Scores]]</f>
        <v>0.61656387535029644</v>
      </c>
      <c r="AB67" s="10">
        <f>Table1[[#This Row],[Raw Terrestrial Score]]+Table1[[#This Row],[Raw Freshwater Score]]</f>
        <v>400.92142707947596</v>
      </c>
      <c r="AC67" s="12">
        <f>Table1[[#This Row],[Terrestrial % of Summed Score]]*Table1[[#This Row],[Scaled Summed Score]]</f>
        <v>3.0475120126978963E-2</v>
      </c>
      <c r="AD67" s="12">
        <f>Table1[[#This Row],[Freshwater % of Summed Score]]*Table1[[#This Row],[Scaled Summed Score]]</f>
        <v>4.9003880853484658E-2</v>
      </c>
      <c r="AE67" s="12">
        <f>Table1[[#This Row],[Summed Raw Scores]]/MAX(Table1[Summed Raw Scores])</f>
        <v>7.9479000980463621E-2</v>
      </c>
      <c r="AF67" s="7"/>
    </row>
    <row r="68" spans="1:32" x14ac:dyDescent="0.3">
      <c r="A68" s="5" t="s">
        <v>157</v>
      </c>
      <c r="B68" s="5" t="s">
        <v>114</v>
      </c>
      <c r="C68" s="5" t="s">
        <v>27</v>
      </c>
      <c r="D68" s="5" t="s">
        <v>250</v>
      </c>
      <c r="E68" s="15">
        <v>54.660196710000001</v>
      </c>
      <c r="F68" s="15">
        <v>-120.64686709999999</v>
      </c>
      <c r="G68" s="6">
        <v>99</v>
      </c>
      <c r="H68" s="5" t="s">
        <v>22</v>
      </c>
      <c r="I68" s="7">
        <v>24</v>
      </c>
      <c r="J68" s="7">
        <v>455.60760000000005</v>
      </c>
      <c r="K68" s="7">
        <v>62.647886314441195</v>
      </c>
      <c r="L68" s="6" t="s">
        <v>22</v>
      </c>
      <c r="M68" s="15">
        <v>7.4941132812499998</v>
      </c>
      <c r="N68" s="7">
        <v>66.314632812499994</v>
      </c>
      <c r="O68" s="7">
        <f>Table1[[#This Row],[R1 Length (km)]]+Table1[[#This Row],[T1 Length (km)]]</f>
        <v>73.808746093749988</v>
      </c>
      <c r="P68" s="18">
        <v>230</v>
      </c>
      <c r="Q68" s="15">
        <f>(Table1[[#This Row],[Linear Features (km)]]*0.4)*100</f>
        <v>2952.3498437499993</v>
      </c>
      <c r="R68" s="7">
        <v>12.72</v>
      </c>
      <c r="S68" s="8">
        <f>Table1[[#This Row],[ATG (ha)]]/Table1[[#This Row],[Linear Area (ha)]]</f>
        <v>4.3084324938413741E-3</v>
      </c>
      <c r="T68" s="18" t="s">
        <v>136</v>
      </c>
      <c r="U68" s="9" t="s">
        <v>22</v>
      </c>
      <c r="V68" s="7" t="s">
        <v>22</v>
      </c>
      <c r="W68" s="7" t="s">
        <v>22</v>
      </c>
      <c r="X68" s="11">
        <v>410.91395670175598</v>
      </c>
      <c r="Y68" s="10">
        <f>Table1[[#This Row],[Raw Terrestrial Score]]/Table1[[#This Row],[Summed Raw Scores]]</f>
        <v>0.45439849623803175</v>
      </c>
      <c r="Z68" s="11">
        <v>493.38911671005201</v>
      </c>
      <c r="AA68" s="10">
        <f>Table1[[#This Row],[Raw Freshwater Score]]/Table1[[#This Row],[Summed Raw Scores]]</f>
        <v>0.54560150376196825</v>
      </c>
      <c r="AB68" s="10">
        <f>Table1[[#This Row],[Raw Terrestrial Score]]+Table1[[#This Row],[Raw Freshwater Score]]</f>
        <v>904.30307341180799</v>
      </c>
      <c r="AC68" s="12">
        <f>Table1[[#This Row],[Terrestrial % of Summed Score]]*Table1[[#This Row],[Scaled Summed Score]]</f>
        <v>8.1459928459026817E-2</v>
      </c>
      <c r="AD68" s="12">
        <f>Table1[[#This Row],[Freshwater % of Summed Score]]*Table1[[#This Row],[Scaled Summed Score]]</f>
        <v>9.7809873561521501E-2</v>
      </c>
      <c r="AE68" s="12">
        <f>Table1[[#This Row],[Summed Raw Scores]]/MAX(Table1[Summed Raw Scores])</f>
        <v>0.17926980202054832</v>
      </c>
      <c r="AF68" s="7"/>
    </row>
    <row r="69" spans="1:32" x14ac:dyDescent="0.3">
      <c r="A69" s="5" t="s">
        <v>158</v>
      </c>
      <c r="B69" s="5" t="s">
        <v>114</v>
      </c>
      <c r="C69" s="5" t="s">
        <v>27</v>
      </c>
      <c r="D69" s="5" t="s">
        <v>250</v>
      </c>
      <c r="E69" s="6">
        <v>55.689261600000002</v>
      </c>
      <c r="F69" s="6">
        <v>-122.1239058</v>
      </c>
      <c r="G69" s="6">
        <v>102</v>
      </c>
      <c r="H69" s="5" t="s">
        <v>22</v>
      </c>
      <c r="I69" s="6">
        <v>25.2</v>
      </c>
      <c r="J69" s="7">
        <v>335.91096000000005</v>
      </c>
      <c r="K69" s="7">
        <v>68.72877135682117</v>
      </c>
      <c r="L69" s="6" t="s">
        <v>22</v>
      </c>
      <c r="M69" s="6">
        <v>1.4</v>
      </c>
      <c r="N69" s="6">
        <v>32.299999999999997</v>
      </c>
      <c r="O69" s="6">
        <f>Table1[[#This Row],[R1 Length (km)]]+Table1[[#This Row],[T1 Length (km)]]</f>
        <v>33.699999999999996</v>
      </c>
      <c r="P69" s="5">
        <v>130</v>
      </c>
      <c r="Q69" s="6">
        <f>(Table1[[#This Row],[Linear Features (km)]]*0.4)*100</f>
        <v>1347.9999999999998</v>
      </c>
      <c r="R69" s="7">
        <v>13.36</v>
      </c>
      <c r="S69" s="8">
        <f>Table1[[#This Row],[ATG (ha)]]/Table1[[#This Row],[Linear Area (ha)]]</f>
        <v>9.9109792284866483E-3</v>
      </c>
      <c r="T69" s="5" t="s">
        <v>136</v>
      </c>
      <c r="U69" s="9" t="s">
        <v>22</v>
      </c>
      <c r="V69" s="7" t="s">
        <v>22</v>
      </c>
      <c r="W69" s="7" t="s">
        <v>22</v>
      </c>
      <c r="X69" s="11">
        <v>785.17927653342497</v>
      </c>
      <c r="Y69" s="10">
        <f>Table1[[#This Row],[Raw Terrestrial Score]]/Table1[[#This Row],[Summed Raw Scores]]</f>
        <v>0.50202179830928861</v>
      </c>
      <c r="Z69" s="11">
        <v>778.85495301149797</v>
      </c>
      <c r="AA69" s="10">
        <f>Table1[[#This Row],[Raw Freshwater Score]]/Table1[[#This Row],[Summed Raw Scores]]</f>
        <v>0.49797820169071133</v>
      </c>
      <c r="AB69" s="10">
        <f>Table1[[#This Row],[Raw Terrestrial Score]]+Table1[[#This Row],[Raw Freshwater Score]]</f>
        <v>1564.0342295449229</v>
      </c>
      <c r="AC69" s="12">
        <f>Table1[[#This Row],[Terrestrial % of Summed Score]]*Table1[[#This Row],[Scaled Summed Score]]</f>
        <v>0.15565460031416328</v>
      </c>
      <c r="AD69" s="12">
        <f>Table1[[#This Row],[Freshwater % of Summed Score]]*Table1[[#This Row],[Scaled Summed Score]]</f>
        <v>0.15440086109882231</v>
      </c>
      <c r="AE69" s="12">
        <f>Table1[[#This Row],[Summed Raw Scores]]/MAX(Table1[Summed Raw Scores])</f>
        <v>0.31005546141298562</v>
      </c>
      <c r="AF69" s="7"/>
    </row>
    <row r="70" spans="1:32" x14ac:dyDescent="0.3">
      <c r="A70" s="5" t="s">
        <v>159</v>
      </c>
      <c r="B70" s="5" t="s">
        <v>114</v>
      </c>
      <c r="C70" s="5" t="s">
        <v>27</v>
      </c>
      <c r="D70" s="5" t="s">
        <v>250</v>
      </c>
      <c r="E70" s="15">
        <v>55.364116840000001</v>
      </c>
      <c r="F70" s="15">
        <v>-121.4835836</v>
      </c>
      <c r="G70" s="6">
        <v>138</v>
      </c>
      <c r="H70" s="5" t="s">
        <v>22</v>
      </c>
      <c r="I70" s="7">
        <v>33.6</v>
      </c>
      <c r="J70" s="7">
        <v>562.91759999999999</v>
      </c>
      <c r="K70" s="7">
        <v>52.49959951056757</v>
      </c>
      <c r="L70" s="6" t="s">
        <v>22</v>
      </c>
      <c r="M70" s="15">
        <v>7.1597988281300005</v>
      </c>
      <c r="N70" s="7">
        <v>18.976451171874999</v>
      </c>
      <c r="O70" s="7">
        <f>Table1[[#This Row],[R1 Length (km)]]+Table1[[#This Row],[T1 Length (km)]]</f>
        <v>26.136250000004999</v>
      </c>
      <c r="P70" s="18">
        <v>230</v>
      </c>
      <c r="Q70" s="15">
        <f>(Table1[[#This Row],[Linear Features (km)]]*0.4)*100</f>
        <v>1045.4500000001999</v>
      </c>
      <c r="R70" s="7">
        <v>17.809999999999999</v>
      </c>
      <c r="S70" s="8">
        <f>Table1[[#This Row],[ATG (ha)]]/Table1[[#This Row],[Linear Area (ha)]]</f>
        <v>1.7035726242284752E-2</v>
      </c>
      <c r="T70" s="18" t="s">
        <v>136</v>
      </c>
      <c r="U70" s="9" t="s">
        <v>22</v>
      </c>
      <c r="V70" s="7" t="s">
        <v>22</v>
      </c>
      <c r="W70" s="7" t="s">
        <v>22</v>
      </c>
      <c r="X70" s="11">
        <v>107.665150224231</v>
      </c>
      <c r="Y70" s="10">
        <f>Table1[[#This Row],[Raw Terrestrial Score]]/Table1[[#This Row],[Summed Raw Scores]]</f>
        <v>0.59776343144376731</v>
      </c>
      <c r="Z70" s="11">
        <v>72.448159758932903</v>
      </c>
      <c r="AA70" s="10">
        <f>Table1[[#This Row],[Raw Freshwater Score]]/Table1[[#This Row],[Summed Raw Scores]]</f>
        <v>0.40223656855623274</v>
      </c>
      <c r="AB70" s="10">
        <f>Table1[[#This Row],[Raw Terrestrial Score]]+Table1[[#This Row],[Raw Freshwater Score]]</f>
        <v>180.1133099831639</v>
      </c>
      <c r="AC70" s="12">
        <f>Table1[[#This Row],[Terrestrial % of Summed Score]]*Table1[[#This Row],[Scaled Summed Score]]</f>
        <v>2.1343629954048614E-2</v>
      </c>
      <c r="AD70" s="12">
        <f>Table1[[#This Row],[Freshwater % of Summed Score]]*Table1[[#This Row],[Scaled Summed Score]]</f>
        <v>1.4362184137820016E-2</v>
      </c>
      <c r="AE70" s="12">
        <f>Table1[[#This Row],[Summed Raw Scores]]/MAX(Table1[Summed Raw Scores])</f>
        <v>3.5705814091868626E-2</v>
      </c>
      <c r="AF70" s="7"/>
    </row>
    <row r="71" spans="1:32" x14ac:dyDescent="0.3">
      <c r="A71" s="5" t="s">
        <v>160</v>
      </c>
      <c r="B71" s="5" t="s">
        <v>114</v>
      </c>
      <c r="C71" s="5" t="s">
        <v>27</v>
      </c>
      <c r="D71" s="5" t="s">
        <v>250</v>
      </c>
      <c r="E71" s="15">
        <v>54.924725109999997</v>
      </c>
      <c r="F71" s="15">
        <v>-121.4223738</v>
      </c>
      <c r="G71" s="6">
        <v>117</v>
      </c>
      <c r="H71" s="5" t="s">
        <v>22</v>
      </c>
      <c r="I71" s="7">
        <v>27.599999999999998</v>
      </c>
      <c r="J71" s="7">
        <v>536.13828000000001</v>
      </c>
      <c r="K71" s="7">
        <v>54.493656577696221</v>
      </c>
      <c r="L71" s="6" t="s">
        <v>22</v>
      </c>
      <c r="M71" s="15">
        <v>3.4455847168</v>
      </c>
      <c r="N71" s="7">
        <v>33.058789062499997</v>
      </c>
      <c r="O71" s="7">
        <f>Table1[[#This Row],[R1 Length (km)]]+Table1[[#This Row],[T1 Length (km)]]</f>
        <v>36.504373779299996</v>
      </c>
      <c r="P71" s="18">
        <v>230</v>
      </c>
      <c r="Q71" s="15">
        <f>(Table1[[#This Row],[Linear Features (km)]]*0.4)*100</f>
        <v>1460.174951172</v>
      </c>
      <c r="R71" s="7">
        <v>14.63</v>
      </c>
      <c r="S71" s="8">
        <f>Table1[[#This Row],[ATG (ha)]]/Table1[[#This Row],[Linear Area (ha)]]</f>
        <v>1.0019347331124483E-2</v>
      </c>
      <c r="T71" s="18" t="s">
        <v>136</v>
      </c>
      <c r="U71" s="9" t="s">
        <v>22</v>
      </c>
      <c r="V71" s="7" t="s">
        <v>22</v>
      </c>
      <c r="W71" s="7" t="s">
        <v>22</v>
      </c>
      <c r="X71" s="11">
        <v>663.57863071560905</v>
      </c>
      <c r="Y71" s="10">
        <f>Table1[[#This Row],[Raw Terrestrial Score]]/Table1[[#This Row],[Summed Raw Scores]]</f>
        <v>0.44321471478319791</v>
      </c>
      <c r="Z71" s="11">
        <v>833.61586347036098</v>
      </c>
      <c r="AA71" s="10">
        <f>Table1[[#This Row],[Raw Freshwater Score]]/Table1[[#This Row],[Summed Raw Scores]]</f>
        <v>0.55678528521680204</v>
      </c>
      <c r="AB71" s="10">
        <f>Table1[[#This Row],[Raw Terrestrial Score]]+Table1[[#This Row],[Raw Freshwater Score]]</f>
        <v>1497.1944941859701</v>
      </c>
      <c r="AC71" s="12">
        <f>Table1[[#This Row],[Terrestrial % of Summed Score]]*Table1[[#This Row],[Scaled Summed Score]]</f>
        <v>0.13154838599036928</v>
      </c>
      <c r="AD71" s="12">
        <f>Table1[[#This Row],[Freshwater % of Summed Score]]*Table1[[#This Row],[Scaled Summed Score]]</f>
        <v>0.16525671005595047</v>
      </c>
      <c r="AE71" s="12">
        <f>Table1[[#This Row],[Summed Raw Scores]]/MAX(Table1[Summed Raw Scores])</f>
        <v>0.29680509604631977</v>
      </c>
      <c r="AF71" s="7"/>
    </row>
    <row r="72" spans="1:32" x14ac:dyDescent="0.3">
      <c r="A72" s="5" t="s">
        <v>161</v>
      </c>
      <c r="B72" s="5" t="s">
        <v>114</v>
      </c>
      <c r="C72" s="5" t="s">
        <v>27</v>
      </c>
      <c r="D72" s="5" t="s">
        <v>250</v>
      </c>
      <c r="E72" s="6">
        <v>54.783424879999998</v>
      </c>
      <c r="F72" s="6">
        <v>-120.28676</v>
      </c>
      <c r="G72" s="6">
        <v>156</v>
      </c>
      <c r="H72" s="5" t="s">
        <v>22</v>
      </c>
      <c r="I72" s="6">
        <v>38.4</v>
      </c>
      <c r="J72" s="7">
        <v>681.59807999999998</v>
      </c>
      <c r="K72" s="7">
        <v>53.877756587889799</v>
      </c>
      <c r="L72" s="6" t="s">
        <v>22</v>
      </c>
      <c r="M72" s="6">
        <v>7.3</v>
      </c>
      <c r="N72" s="6">
        <v>72.2</v>
      </c>
      <c r="O72" s="6">
        <f>Table1[[#This Row],[R1 Length (km)]]+Table1[[#This Row],[T1 Length (km)]]</f>
        <v>79.5</v>
      </c>
      <c r="P72" s="5">
        <v>230</v>
      </c>
      <c r="Q72" s="6">
        <f>(Table1[[#This Row],[Linear Features (km)]]*0.4)*100</f>
        <v>3180</v>
      </c>
      <c r="R72" s="7">
        <v>20.36</v>
      </c>
      <c r="S72" s="8">
        <f>Table1[[#This Row],[ATG (ha)]]/Table1[[#This Row],[Linear Area (ha)]]</f>
        <v>6.4025157232704402E-3</v>
      </c>
      <c r="T72" s="5" t="s">
        <v>136</v>
      </c>
      <c r="U72" s="9" t="s">
        <v>22</v>
      </c>
      <c r="V72" s="7" t="s">
        <v>22</v>
      </c>
      <c r="W72" s="7" t="s">
        <v>22</v>
      </c>
      <c r="X72" s="11">
        <v>382.43551254272501</v>
      </c>
      <c r="Y72" s="10">
        <f>Table1[[#This Row],[Raw Terrestrial Score]]/Table1[[#This Row],[Summed Raw Scores]]</f>
        <v>0.78652889274569471</v>
      </c>
      <c r="Z72" s="11">
        <v>103.796482327394</v>
      </c>
      <c r="AA72" s="10">
        <f>Table1[[#This Row],[Raw Freshwater Score]]/Table1[[#This Row],[Summed Raw Scores]]</f>
        <v>0.21347110725430529</v>
      </c>
      <c r="AB72" s="10">
        <f>Table1[[#This Row],[Raw Terrestrial Score]]+Table1[[#This Row],[Raw Freshwater Score]]</f>
        <v>486.23199487011902</v>
      </c>
      <c r="AC72" s="12">
        <f>Table1[[#This Row],[Terrestrial % of Summed Score]]*Table1[[#This Row],[Scaled Summed Score]]</f>
        <v>7.5814337731372819E-2</v>
      </c>
      <c r="AD72" s="12">
        <f>Table1[[#This Row],[Freshwater % of Summed Score]]*Table1[[#This Row],[Scaled Summed Score]]</f>
        <v>2.0576701975652378E-2</v>
      </c>
      <c r="AE72" s="12">
        <f>Table1[[#This Row],[Summed Raw Scores]]/MAX(Table1[Summed Raw Scores])</f>
        <v>9.63910397070252E-2</v>
      </c>
      <c r="AF72" s="7"/>
    </row>
    <row r="73" spans="1:32" x14ac:dyDescent="0.3">
      <c r="A73" s="5" t="s">
        <v>162</v>
      </c>
      <c r="B73" s="5" t="s">
        <v>114</v>
      </c>
      <c r="C73" s="5" t="s">
        <v>27</v>
      </c>
      <c r="D73" s="5" t="s">
        <v>250</v>
      </c>
      <c r="E73" s="15">
        <v>54.862150470000003</v>
      </c>
      <c r="F73" s="15">
        <v>-121.0169033</v>
      </c>
      <c r="G73" s="6">
        <v>99</v>
      </c>
      <c r="H73" s="5" t="s">
        <v>22</v>
      </c>
      <c r="I73" s="7">
        <v>24</v>
      </c>
      <c r="J73" s="7">
        <v>462.52800000000002</v>
      </c>
      <c r="K73" s="7">
        <v>57.646413028801121</v>
      </c>
      <c r="L73" s="6" t="s">
        <v>22</v>
      </c>
      <c r="M73" s="15">
        <v>15.8065888672</v>
      </c>
      <c r="N73" s="7">
        <v>35.176449218750001</v>
      </c>
      <c r="O73" s="7">
        <f>Table1[[#This Row],[R1 Length (km)]]+Table1[[#This Row],[T1 Length (km)]]</f>
        <v>50.98303808595</v>
      </c>
      <c r="P73" s="18">
        <v>230</v>
      </c>
      <c r="Q73" s="15">
        <f>(Table1[[#This Row],[Linear Features (km)]]*0.4)*100</f>
        <v>2039.3215234380002</v>
      </c>
      <c r="R73" s="7">
        <v>12.72</v>
      </c>
      <c r="S73" s="8">
        <f>Table1[[#This Row],[ATG (ha)]]/Table1[[#This Row],[Linear Area (ha)]]</f>
        <v>6.2373685825450054E-3</v>
      </c>
      <c r="T73" s="18" t="s">
        <v>136</v>
      </c>
      <c r="U73" s="9" t="s">
        <v>22</v>
      </c>
      <c r="V73" s="7" t="s">
        <v>22</v>
      </c>
      <c r="W73" s="7" t="s">
        <v>22</v>
      </c>
      <c r="X73" s="11">
        <v>781.95895117521297</v>
      </c>
      <c r="Y73" s="10">
        <f>Table1[[#This Row],[Raw Terrestrial Score]]/Table1[[#This Row],[Summed Raw Scores]]</f>
        <v>0.47915469633530478</v>
      </c>
      <c r="Z73" s="11">
        <v>849.99615049827798</v>
      </c>
      <c r="AA73" s="10">
        <f>Table1[[#This Row],[Raw Freshwater Score]]/Table1[[#This Row],[Summed Raw Scores]]</f>
        <v>0.52084530366469528</v>
      </c>
      <c r="AB73" s="10">
        <f>Table1[[#This Row],[Raw Terrestrial Score]]+Table1[[#This Row],[Raw Freshwater Score]]</f>
        <v>1631.9551016734908</v>
      </c>
      <c r="AC73" s="12">
        <f>Table1[[#This Row],[Terrestrial % of Summed Score]]*Table1[[#This Row],[Scaled Summed Score]]</f>
        <v>0.15501620030604402</v>
      </c>
      <c r="AD73" s="12">
        <f>Table1[[#This Row],[Freshwater % of Summed Score]]*Table1[[#This Row],[Scaled Summed Score]]</f>
        <v>0.16850395193632525</v>
      </c>
      <c r="AE73" s="12">
        <f>Table1[[#This Row],[Summed Raw Scores]]/MAX(Table1[Summed Raw Scores])</f>
        <v>0.32352015224236924</v>
      </c>
      <c r="AF73" s="7"/>
    </row>
    <row r="74" spans="1:32" x14ac:dyDescent="0.3">
      <c r="A74" s="5" t="s">
        <v>163</v>
      </c>
      <c r="B74" s="5" t="s">
        <v>114</v>
      </c>
      <c r="C74" s="5" t="s">
        <v>59</v>
      </c>
      <c r="D74" s="5"/>
      <c r="E74" s="6">
        <v>56.238809310000001</v>
      </c>
      <c r="F74" s="6">
        <v>-124.4981851</v>
      </c>
      <c r="G74" s="6">
        <v>207</v>
      </c>
      <c r="H74" s="5" t="s">
        <v>22</v>
      </c>
      <c r="I74" s="6">
        <v>49.199999999999996</v>
      </c>
      <c r="J74" s="6">
        <v>459.3656400000001</v>
      </c>
      <c r="K74" s="6">
        <v>121.35392801256627</v>
      </c>
      <c r="L74" s="6" t="s">
        <v>22</v>
      </c>
      <c r="M74" s="6">
        <v>3.4455849609400002</v>
      </c>
      <c r="N74" s="6">
        <v>181.21009375</v>
      </c>
      <c r="O74" s="6">
        <f>Table1[[#This Row],[R1 Length (km)]]+Table1[[#This Row],[T1 Length (km)]]</f>
        <v>184.65567871094001</v>
      </c>
      <c r="P74" s="5">
        <v>230</v>
      </c>
      <c r="Q74" s="6">
        <f>(Table1[[#This Row],[Linear Features (km)]]*0.4)*100</f>
        <v>7386.2271484376006</v>
      </c>
      <c r="R74" s="7">
        <f>2987057/10000</f>
        <v>298.70569999999998</v>
      </c>
      <c r="S74" s="8">
        <f>Table1[[#This Row],[ATG (ha)]]/Table1[[#This Row],[Linear Area (ha)]]</f>
        <v>4.0440903589484767E-2</v>
      </c>
      <c r="T74" s="5" t="s">
        <v>136</v>
      </c>
      <c r="U74" s="9" t="s">
        <v>22</v>
      </c>
      <c r="V74" s="7" t="s">
        <v>22</v>
      </c>
      <c r="W74" s="7" t="s">
        <v>22</v>
      </c>
      <c r="X74" s="11">
        <v>1416.9746628999701</v>
      </c>
      <c r="Y74" s="10">
        <f>Table1[[#This Row],[Raw Terrestrial Score]]/Table1[[#This Row],[Summed Raw Scores]]</f>
        <v>0.66308476551238993</v>
      </c>
      <c r="Z74" s="11">
        <v>719.96881189849205</v>
      </c>
      <c r="AA74" s="10">
        <f>Table1[[#This Row],[Raw Freshwater Score]]/Table1[[#This Row],[Summed Raw Scores]]</f>
        <v>0.33691523448761002</v>
      </c>
      <c r="AB74" s="10">
        <f>Table1[[#This Row],[Raw Terrestrial Score]]+Table1[[#This Row],[Raw Freshwater Score]]</f>
        <v>2136.9434747984624</v>
      </c>
      <c r="AC74" s="12">
        <f>Table1[[#This Row],[Terrestrial % of Summed Score]]*Table1[[#This Row],[Scaled Summed Score]]</f>
        <v>0.28090224920703444</v>
      </c>
      <c r="AD74" s="12">
        <f>Table1[[#This Row],[Freshwater % of Summed Score]]*Table1[[#This Row],[Scaled Summed Score]]</f>
        <v>0.14272722294645554</v>
      </c>
      <c r="AE74" s="12">
        <f>Table1[[#This Row],[Summed Raw Scores]]/MAX(Table1[Summed Raw Scores])</f>
        <v>0.42362947215349001</v>
      </c>
      <c r="AF74" s="7"/>
    </row>
    <row r="75" spans="1:32" x14ac:dyDescent="0.3">
      <c r="A75" s="5" t="s">
        <v>164</v>
      </c>
      <c r="B75" s="5" t="s">
        <v>114</v>
      </c>
      <c r="C75" s="5" t="s">
        <v>59</v>
      </c>
      <c r="D75" s="5"/>
      <c r="E75" s="6">
        <v>55.498280790000003</v>
      </c>
      <c r="F75" s="6">
        <v>-124.4117115</v>
      </c>
      <c r="G75" s="6">
        <v>54</v>
      </c>
      <c r="H75" s="5" t="s">
        <v>22</v>
      </c>
      <c r="I75" s="6">
        <v>13.2</v>
      </c>
      <c r="J75" s="6">
        <v>157.93403999999998</v>
      </c>
      <c r="K75" s="6">
        <v>134.85350200349799</v>
      </c>
      <c r="L75" s="6" t="s">
        <v>22</v>
      </c>
      <c r="M75" s="6">
        <v>9.0012187499999996</v>
      </c>
      <c r="N75" s="6">
        <v>92.210257812500004</v>
      </c>
      <c r="O75" s="6">
        <f>Table1[[#This Row],[R1 Length (km)]]+Table1[[#This Row],[T1 Length (km)]]</f>
        <v>101.2114765625</v>
      </c>
      <c r="P75" s="5">
        <v>130</v>
      </c>
      <c r="Q75" s="6">
        <f>(Table1[[#This Row],[Linear Features (km)]]*0.4)*100</f>
        <v>4048.4590625000001</v>
      </c>
      <c r="R75" s="7">
        <f>835260.1/10000</f>
        <v>83.526009999999999</v>
      </c>
      <c r="S75" s="8">
        <f>Table1[[#This Row],[ATG (ha)]]/Table1[[#This Row],[Linear Area (ha)]]</f>
        <v>2.0631556034167012E-2</v>
      </c>
      <c r="T75" s="5" t="s">
        <v>136</v>
      </c>
      <c r="U75" s="9" t="s">
        <v>22</v>
      </c>
      <c r="V75" s="7" t="s">
        <v>22</v>
      </c>
      <c r="W75" s="7" t="s">
        <v>22</v>
      </c>
      <c r="X75" s="11">
        <v>599.82485953811602</v>
      </c>
      <c r="Y75" s="10">
        <f>Table1[[#This Row],[Raw Terrestrial Score]]/Table1[[#This Row],[Summed Raw Scores]]</f>
        <v>0.65680225429268324</v>
      </c>
      <c r="Z75" s="11">
        <v>313.42544619366498</v>
      </c>
      <c r="AA75" s="10">
        <f>Table1[[#This Row],[Raw Freshwater Score]]/Table1[[#This Row],[Summed Raw Scores]]</f>
        <v>0.34319774570731665</v>
      </c>
      <c r="AB75" s="10">
        <f>Table1[[#This Row],[Raw Terrestrial Score]]+Table1[[#This Row],[Raw Freshwater Score]]</f>
        <v>913.25030573178105</v>
      </c>
      <c r="AC75" s="12">
        <f>Table1[[#This Row],[Terrestrial % of Summed Score]]*Table1[[#This Row],[Scaled Summed Score]]</f>
        <v>0.11890978475911168</v>
      </c>
      <c r="AD75" s="12">
        <f>Table1[[#This Row],[Freshwater % of Summed Score]]*Table1[[#This Row],[Scaled Summed Score]]</f>
        <v>6.2133724123431329E-2</v>
      </c>
      <c r="AE75" s="12">
        <f>Table1[[#This Row],[Summed Raw Scores]]/MAX(Table1[Summed Raw Scores])</f>
        <v>0.18104350888254303</v>
      </c>
      <c r="AF75" s="7"/>
    </row>
    <row r="76" spans="1:32" x14ac:dyDescent="0.3">
      <c r="A76" s="5" t="s">
        <v>165</v>
      </c>
      <c r="B76" s="5" t="s">
        <v>114</v>
      </c>
      <c r="C76" s="5" t="s">
        <v>59</v>
      </c>
      <c r="D76" s="5"/>
      <c r="E76" s="6">
        <v>55.481708900000001</v>
      </c>
      <c r="F76" s="6">
        <v>-123.9167898</v>
      </c>
      <c r="G76" s="6">
        <v>117</v>
      </c>
      <c r="H76" s="5" t="s">
        <v>22</v>
      </c>
      <c r="I76" s="6">
        <v>28.799999999999997</v>
      </c>
      <c r="J76" s="6">
        <v>308.42207999999999</v>
      </c>
      <c r="K76" s="6">
        <v>106.96629348122117</v>
      </c>
      <c r="L76" s="6" t="s">
        <v>22</v>
      </c>
      <c r="M76" s="6">
        <v>1.9242641601600001</v>
      </c>
      <c r="N76" s="6">
        <v>60.264675781249998</v>
      </c>
      <c r="O76" s="6">
        <f>Table1[[#This Row],[R1 Length (km)]]+Table1[[#This Row],[T1 Length (km)]]</f>
        <v>62.188939941409998</v>
      </c>
      <c r="P76" s="5">
        <v>130</v>
      </c>
      <c r="Q76" s="6">
        <f>(Table1[[#This Row],[Linear Features (km)]]*0.4)*100</f>
        <v>2487.5575976564</v>
      </c>
      <c r="R76" s="7">
        <f>1867770/10000</f>
        <v>186.77699999999999</v>
      </c>
      <c r="S76" s="8">
        <f>Table1[[#This Row],[ATG (ha)]]/Table1[[#This Row],[Linear Area (ha)]]</f>
        <v>7.5084492586611054E-2</v>
      </c>
      <c r="T76" s="5" t="s">
        <v>136</v>
      </c>
      <c r="U76" s="9" t="s">
        <v>22</v>
      </c>
      <c r="V76" s="7" t="s">
        <v>22</v>
      </c>
      <c r="W76" s="7" t="s">
        <v>22</v>
      </c>
      <c r="X76" s="11">
        <v>573.691428641789</v>
      </c>
      <c r="Y76" s="10">
        <f>Table1[[#This Row],[Raw Terrestrial Score]]/Table1[[#This Row],[Summed Raw Scores]]</f>
        <v>0.63228320917504377</v>
      </c>
      <c r="Z76" s="11">
        <v>333.64158339612197</v>
      </c>
      <c r="AA76" s="10">
        <f>Table1[[#This Row],[Raw Freshwater Score]]/Table1[[#This Row],[Summed Raw Scores]]</f>
        <v>0.36771679082495617</v>
      </c>
      <c r="AB76" s="10">
        <f>Table1[[#This Row],[Raw Terrestrial Score]]+Table1[[#This Row],[Raw Freshwater Score]]</f>
        <v>907.33301203791098</v>
      </c>
      <c r="AC76" s="12">
        <f>Table1[[#This Row],[Terrestrial % of Summed Score]]*Table1[[#This Row],[Scaled Summed Score]]</f>
        <v>0.11372907143340481</v>
      </c>
      <c r="AD76" s="12">
        <f>Table1[[#This Row],[Freshwater % of Summed Score]]*Table1[[#This Row],[Scaled Summed Score]]</f>
        <v>6.614138816932616E-2</v>
      </c>
      <c r="AE76" s="12">
        <f>Table1[[#This Row],[Summed Raw Scores]]/MAX(Table1[Summed Raw Scores])</f>
        <v>0.17987045960273099</v>
      </c>
      <c r="AF76" s="7"/>
    </row>
    <row r="77" spans="1:32" x14ac:dyDescent="0.3">
      <c r="A77" s="5" t="s">
        <v>166</v>
      </c>
      <c r="B77" s="5" t="s">
        <v>114</v>
      </c>
      <c r="C77" s="5" t="s">
        <v>59</v>
      </c>
      <c r="D77" s="5" t="s">
        <v>250</v>
      </c>
      <c r="E77" s="6">
        <v>55.22798306</v>
      </c>
      <c r="F77" s="6">
        <v>-123.42672570000001</v>
      </c>
      <c r="G77" s="6">
        <v>117</v>
      </c>
      <c r="H77" s="5" t="s">
        <v>22</v>
      </c>
      <c r="I77" s="6">
        <v>38.4</v>
      </c>
      <c r="J77" s="6">
        <v>477.38496000000004</v>
      </c>
      <c r="K77" s="6">
        <v>83.356993131118287</v>
      </c>
      <c r="L77" s="6" t="s">
        <v>22</v>
      </c>
      <c r="M77" s="6">
        <v>1.6485283203100001</v>
      </c>
      <c r="N77" s="6">
        <v>24.594826171874999</v>
      </c>
      <c r="O77" s="6">
        <f>Table1[[#This Row],[R1 Length (km)]]+Table1[[#This Row],[T1 Length (km)]]</f>
        <v>26.243354492184999</v>
      </c>
      <c r="P77" s="5">
        <v>130</v>
      </c>
      <c r="Q77" s="6">
        <f>(Table1[[#This Row],[Linear Features (km)]]*0.4)*100</f>
        <v>1049.7341796874</v>
      </c>
      <c r="R77" s="7">
        <v>20.36</v>
      </c>
      <c r="S77" s="8">
        <f>Table1[[#This Row],[ATG (ha)]]/Table1[[#This Row],[Linear Area (ha)]]</f>
        <v>1.9395386369207294E-2</v>
      </c>
      <c r="T77" s="5" t="s">
        <v>136</v>
      </c>
      <c r="U77" s="9" t="s">
        <v>22</v>
      </c>
      <c r="V77" s="7" t="s">
        <v>22</v>
      </c>
      <c r="W77" s="7" t="s">
        <v>22</v>
      </c>
      <c r="X77" s="11">
        <v>329.014106304385</v>
      </c>
      <c r="Y77" s="10">
        <f>Table1[[#This Row],[Raw Terrestrial Score]]/Table1[[#This Row],[Summed Raw Scores]]</f>
        <v>0.52670149610224726</v>
      </c>
      <c r="Z77" s="11">
        <v>295.65491161029797</v>
      </c>
      <c r="AA77" s="10">
        <f>Table1[[#This Row],[Raw Freshwater Score]]/Table1[[#This Row],[Summed Raw Scores]]</f>
        <v>0.4732985038977528</v>
      </c>
      <c r="AB77" s="10">
        <f>Table1[[#This Row],[Raw Terrestrial Score]]+Table1[[#This Row],[Raw Freshwater Score]]</f>
        <v>624.66901791468297</v>
      </c>
      <c r="AC77" s="12">
        <f>Table1[[#This Row],[Terrestrial % of Summed Score]]*Table1[[#This Row],[Scaled Summed Score]]</f>
        <v>6.5224033217782681E-2</v>
      </c>
      <c r="AD77" s="12">
        <f>Table1[[#This Row],[Freshwater % of Summed Score]]*Table1[[#This Row],[Scaled Summed Score]]</f>
        <v>5.8610878398114657E-2</v>
      </c>
      <c r="AE77" s="12">
        <f>Table1[[#This Row],[Summed Raw Scores]]/MAX(Table1[Summed Raw Scores])</f>
        <v>0.12383491161589734</v>
      </c>
      <c r="AF77" s="7"/>
    </row>
    <row r="78" spans="1:32" x14ac:dyDescent="0.3">
      <c r="A78" s="5" t="s">
        <v>167</v>
      </c>
      <c r="B78" s="5" t="s">
        <v>114</v>
      </c>
      <c r="C78" s="5" t="s">
        <v>27</v>
      </c>
      <c r="D78" s="5" t="s">
        <v>250</v>
      </c>
      <c r="E78" s="15">
        <v>55.543307339999998</v>
      </c>
      <c r="F78" s="15">
        <v>-122.3474683</v>
      </c>
      <c r="G78" s="6">
        <v>126</v>
      </c>
      <c r="H78" s="5" t="s">
        <v>22</v>
      </c>
      <c r="I78" s="7">
        <v>30</v>
      </c>
      <c r="J78" s="7">
        <v>518.37300000000005</v>
      </c>
      <c r="K78" s="7">
        <v>59.692496414795102</v>
      </c>
      <c r="L78" s="6" t="s">
        <v>22</v>
      </c>
      <c r="M78" s="15">
        <v>4.9526914062499996</v>
      </c>
      <c r="N78" s="7">
        <v>52.425691406250003</v>
      </c>
      <c r="O78" s="7">
        <f>Table1[[#This Row],[R1 Length (km)]]+Table1[[#This Row],[T1 Length (km)]]</f>
        <v>57.3783828125</v>
      </c>
      <c r="P78" s="18">
        <v>130</v>
      </c>
      <c r="Q78" s="15">
        <f>(Table1[[#This Row],[Linear Features (km)]]*0.4)*100</f>
        <v>2295.1353125000001</v>
      </c>
      <c r="R78" s="7">
        <v>15.9</v>
      </c>
      <c r="S78" s="8">
        <f>Table1[[#This Row],[ATG (ha)]]/Table1[[#This Row],[Linear Area (ha)]]</f>
        <v>6.927696120313168E-3</v>
      </c>
      <c r="T78" s="18" t="s">
        <v>136</v>
      </c>
      <c r="U78" s="9" t="s">
        <v>22</v>
      </c>
      <c r="V78" s="7" t="s">
        <v>22</v>
      </c>
      <c r="W78" s="7" t="s">
        <v>22</v>
      </c>
      <c r="X78" s="11">
        <v>656.76278667524502</v>
      </c>
      <c r="Y78" s="10">
        <f>Table1[[#This Row],[Raw Terrestrial Score]]/Table1[[#This Row],[Summed Raw Scores]]</f>
        <v>0.50657105106758327</v>
      </c>
      <c r="Z78" s="11">
        <v>639.72422199044399</v>
      </c>
      <c r="AA78" s="10">
        <f>Table1[[#This Row],[Raw Freshwater Score]]/Table1[[#This Row],[Summed Raw Scores]]</f>
        <v>0.49342894893241673</v>
      </c>
      <c r="AB78" s="10">
        <f>Table1[[#This Row],[Raw Terrestrial Score]]+Table1[[#This Row],[Raw Freshwater Score]]</f>
        <v>1296.487008665689</v>
      </c>
      <c r="AC78" s="12">
        <f>Table1[[#This Row],[Terrestrial % of Summed Score]]*Table1[[#This Row],[Scaled Summed Score]]</f>
        <v>0.13019720733396042</v>
      </c>
      <c r="AD78" s="12">
        <f>Table1[[#This Row],[Freshwater % of Summed Score]]*Table1[[#This Row],[Scaled Summed Score]]</f>
        <v>0.12681946793710711</v>
      </c>
      <c r="AE78" s="12">
        <f>Table1[[#This Row],[Summed Raw Scores]]/MAX(Table1[Summed Raw Scores])</f>
        <v>0.25701667527106753</v>
      </c>
      <c r="AF78" s="7"/>
    </row>
    <row r="79" spans="1:32" x14ac:dyDescent="0.3">
      <c r="A79" s="5" t="s">
        <v>168</v>
      </c>
      <c r="B79" s="5" t="s">
        <v>114</v>
      </c>
      <c r="C79" s="5" t="s">
        <v>27</v>
      </c>
      <c r="D79" s="5" t="s">
        <v>250</v>
      </c>
      <c r="E79" s="15">
        <v>55.088797079999999</v>
      </c>
      <c r="F79" s="15">
        <v>-120.8807972</v>
      </c>
      <c r="G79" s="6">
        <v>108</v>
      </c>
      <c r="H79" s="5" t="s">
        <v>22</v>
      </c>
      <c r="I79" s="6">
        <v>26.4</v>
      </c>
      <c r="J79" s="6">
        <v>349.97952000000004</v>
      </c>
      <c r="K79" s="6">
        <v>74.776098252114934</v>
      </c>
      <c r="L79" s="6" t="s">
        <v>22</v>
      </c>
      <c r="M79" s="6">
        <v>0.6</v>
      </c>
      <c r="N79" s="6">
        <v>18.7</v>
      </c>
      <c r="O79" s="6">
        <f>Table1[[#This Row],[R1 Length (km)]]+Table1[[#This Row],[T1 Length (km)]]</f>
        <v>19.3</v>
      </c>
      <c r="P79" s="5">
        <v>230</v>
      </c>
      <c r="Q79" s="6">
        <f>(Table1[[#This Row],[Linear Features (km)]]*0.4)*100</f>
        <v>772.00000000000011</v>
      </c>
      <c r="R79" s="7">
        <v>14</v>
      </c>
      <c r="S79" s="8">
        <f>Table1[[#This Row],[ATG (ha)]]/Table1[[#This Row],[Linear Area (ha)]]</f>
        <v>1.8134715025906734E-2</v>
      </c>
      <c r="T79" s="5" t="s">
        <v>136</v>
      </c>
      <c r="U79" s="9" t="s">
        <v>22</v>
      </c>
      <c r="V79" s="7" t="s">
        <v>22</v>
      </c>
      <c r="W79" s="7" t="s">
        <v>22</v>
      </c>
      <c r="X79" s="11">
        <v>174.36036527156801</v>
      </c>
      <c r="Y79" s="10">
        <f>Table1[[#This Row],[Raw Terrestrial Score]]/Table1[[#This Row],[Summed Raw Scores]]</f>
        <v>0.78306911879023788</v>
      </c>
      <c r="Z79" s="11">
        <v>48.3024381613359</v>
      </c>
      <c r="AA79" s="10">
        <f>Table1[[#This Row],[Raw Freshwater Score]]/Table1[[#This Row],[Summed Raw Scores]]</f>
        <v>0.21693088120976217</v>
      </c>
      <c r="AB79" s="10">
        <f>Table1[[#This Row],[Raw Terrestrial Score]]+Table1[[#This Row],[Raw Freshwater Score]]</f>
        <v>222.6628034329039</v>
      </c>
      <c r="AC79" s="12">
        <f>Table1[[#This Row],[Terrestrial % of Summed Score]]*Table1[[#This Row],[Scaled Summed Score]]</f>
        <v>3.4565345492561655E-2</v>
      </c>
      <c r="AD79" s="12">
        <f>Table1[[#This Row],[Freshwater % of Summed Score]]*Table1[[#This Row],[Scaled Summed Score]]</f>
        <v>9.5755159756591816E-3</v>
      </c>
      <c r="AE79" s="12">
        <f>Table1[[#This Row],[Summed Raw Scores]]/MAX(Table1[Summed Raw Scores])</f>
        <v>4.4140861468220834E-2</v>
      </c>
      <c r="AF79" s="7"/>
    </row>
    <row r="80" spans="1:32" x14ac:dyDescent="0.3">
      <c r="A80" s="5" t="s">
        <v>169</v>
      </c>
      <c r="B80" s="5" t="s">
        <v>114</v>
      </c>
      <c r="C80" s="5" t="s">
        <v>27</v>
      </c>
      <c r="D80" s="5" t="s">
        <v>250</v>
      </c>
      <c r="E80" s="15">
        <v>55.438547239999998</v>
      </c>
      <c r="F80" s="15">
        <v>-122.1718735</v>
      </c>
      <c r="G80" s="6">
        <v>153</v>
      </c>
      <c r="H80" s="5" t="s">
        <v>22</v>
      </c>
      <c r="I80" s="7">
        <v>36</v>
      </c>
      <c r="J80" s="7">
        <v>694.58039999999994</v>
      </c>
      <c r="K80" s="7">
        <v>50.959020257979866</v>
      </c>
      <c r="L80" s="6" t="s">
        <v>22</v>
      </c>
      <c r="M80" s="6">
        <v>4.9000000000000004</v>
      </c>
      <c r="N80" s="7">
        <v>45.674933593749998</v>
      </c>
      <c r="O80" s="7">
        <f>Table1[[#This Row],[R1 Length (km)]]+Table1[[#This Row],[T1 Length (km)]]</f>
        <v>50.574933593749996</v>
      </c>
      <c r="P80" s="18">
        <v>130</v>
      </c>
      <c r="Q80" s="15">
        <f>(Table1[[#This Row],[Linear Features (km)]]*0.4)*100</f>
        <v>2022.99734375</v>
      </c>
      <c r="R80" s="7">
        <v>19.09</v>
      </c>
      <c r="S80" s="8">
        <f>Table1[[#This Row],[ATG (ha)]]/Table1[[#This Row],[Linear Area (ha)]]</f>
        <v>9.4364928648957846E-3</v>
      </c>
      <c r="T80" s="18" t="s">
        <v>136</v>
      </c>
      <c r="U80" s="9" t="s">
        <v>22</v>
      </c>
      <c r="V80" s="7" t="s">
        <v>22</v>
      </c>
      <c r="W80" s="7" t="s">
        <v>22</v>
      </c>
      <c r="X80" s="11">
        <v>609.39562342688396</v>
      </c>
      <c r="Y80" s="10">
        <f>Table1[[#This Row],[Raw Terrestrial Score]]/Table1[[#This Row],[Summed Raw Scores]]</f>
        <v>0.50685613504738669</v>
      </c>
      <c r="Z80" s="11">
        <v>592.90929366741295</v>
      </c>
      <c r="AA80" s="10">
        <f>Table1[[#This Row],[Raw Freshwater Score]]/Table1[[#This Row],[Summed Raw Scores]]</f>
        <v>0.49314386495261342</v>
      </c>
      <c r="AB80" s="10">
        <f>Table1[[#This Row],[Raw Terrestrial Score]]+Table1[[#This Row],[Raw Freshwater Score]]</f>
        <v>1202.3049170942968</v>
      </c>
      <c r="AC80" s="12">
        <f>Table1[[#This Row],[Terrestrial % of Summed Score]]*Table1[[#This Row],[Scaled Summed Score]]</f>
        <v>0.12080710104385189</v>
      </c>
      <c r="AD80" s="12">
        <f>Table1[[#This Row],[Freshwater % of Summed Score]]*Table1[[#This Row],[Scaled Summed Score]]</f>
        <v>0.11753883716316513</v>
      </c>
      <c r="AE80" s="12">
        <f>Table1[[#This Row],[Summed Raw Scores]]/MAX(Table1[Summed Raw Scores])</f>
        <v>0.23834593820701699</v>
      </c>
      <c r="AF80" s="7"/>
    </row>
    <row r="81" spans="1:32" x14ac:dyDescent="0.3">
      <c r="A81" s="5" t="s">
        <v>170</v>
      </c>
      <c r="B81" s="5" t="s">
        <v>114</v>
      </c>
      <c r="C81" s="5" t="s">
        <v>27</v>
      </c>
      <c r="D81" s="5"/>
      <c r="E81" s="6">
        <v>55.576506389999999</v>
      </c>
      <c r="F81" s="6">
        <v>-121.70082429999999</v>
      </c>
      <c r="G81" s="6">
        <v>87</v>
      </c>
      <c r="H81" s="5" t="s">
        <v>22</v>
      </c>
      <c r="I81" s="6">
        <v>21.599999999999998</v>
      </c>
      <c r="J81" s="6">
        <v>213.57755999999998</v>
      </c>
      <c r="K81" s="6">
        <v>98.6800376344559</v>
      </c>
      <c r="L81" s="6" t="s">
        <v>22</v>
      </c>
      <c r="M81" s="6">
        <v>0.8</v>
      </c>
      <c r="N81" s="6">
        <v>15.891168945312501</v>
      </c>
      <c r="O81" s="6">
        <f>Table1[[#This Row],[R1 Length (km)]]+Table1[[#This Row],[T1 Length (km)]]</f>
        <v>16.691168945312501</v>
      </c>
      <c r="P81" s="5">
        <v>130</v>
      </c>
      <c r="Q81" s="6">
        <f>(Table1[[#This Row],[Linear Features (km)]]*0.4)*100</f>
        <v>667.64675781250014</v>
      </c>
      <c r="R81" s="7">
        <f>1542378/10000</f>
        <v>154.23779999999999</v>
      </c>
      <c r="S81" s="8">
        <f>Table1[[#This Row],[ATG (ha)]]/Table1[[#This Row],[Linear Area (ha)]]</f>
        <v>0.2310170733178572</v>
      </c>
      <c r="T81" s="5" t="s">
        <v>136</v>
      </c>
      <c r="U81" s="9" t="s">
        <v>22</v>
      </c>
      <c r="V81" s="7" t="s">
        <v>22</v>
      </c>
      <c r="W81" s="7" t="s">
        <v>22</v>
      </c>
      <c r="X81" s="11">
        <v>56.809225168079102</v>
      </c>
      <c r="Y81" s="10">
        <f>Table1[[#This Row],[Raw Terrestrial Score]]/Table1[[#This Row],[Summed Raw Scores]]</f>
        <v>0.78744941786276124</v>
      </c>
      <c r="Z81" s="11">
        <v>15.3341073170304</v>
      </c>
      <c r="AA81" s="10">
        <f>Table1[[#This Row],[Raw Freshwater Score]]/Table1[[#This Row],[Summed Raw Scores]]</f>
        <v>0.21255058213723887</v>
      </c>
      <c r="AB81" s="10">
        <f>Table1[[#This Row],[Raw Terrestrial Score]]+Table1[[#This Row],[Raw Freshwater Score]]</f>
        <v>72.143332485109497</v>
      </c>
      <c r="AC81" s="12">
        <f>Table1[[#This Row],[Terrestrial % of Summed Score]]*Table1[[#This Row],[Scaled Summed Score]]</f>
        <v>1.1261908588233392E-2</v>
      </c>
      <c r="AD81" s="12">
        <f>Table1[[#This Row],[Freshwater % of Summed Score]]*Table1[[#This Row],[Scaled Summed Score]]</f>
        <v>3.0398463343871088E-3</v>
      </c>
      <c r="AE81" s="12">
        <f>Table1[[#This Row],[Summed Raw Scores]]/MAX(Table1[Summed Raw Scores])</f>
        <v>1.4301754922620499E-2</v>
      </c>
      <c r="AF81" s="7"/>
    </row>
    <row r="82" spans="1:32" x14ac:dyDescent="0.3">
      <c r="A82" s="5" t="s">
        <v>171</v>
      </c>
      <c r="B82" s="5" t="s">
        <v>114</v>
      </c>
      <c r="C82" s="5" t="s">
        <v>27</v>
      </c>
      <c r="D82" s="5" t="s">
        <v>250</v>
      </c>
      <c r="E82" s="6">
        <v>55.808584250000003</v>
      </c>
      <c r="F82" s="6">
        <v>-121.38396040000001</v>
      </c>
      <c r="G82" s="6">
        <v>150</v>
      </c>
      <c r="H82" s="5" t="s">
        <v>22</v>
      </c>
      <c r="I82" s="6">
        <v>36</v>
      </c>
      <c r="J82" s="6">
        <v>383.81940000000003</v>
      </c>
      <c r="K82" s="6">
        <v>84.166982229582743</v>
      </c>
      <c r="L82" s="6" t="s">
        <v>22</v>
      </c>
      <c r="M82" s="6">
        <v>0.1</v>
      </c>
      <c r="N82" s="6">
        <v>20</v>
      </c>
      <c r="O82" s="6">
        <f>Table1[[#This Row],[R1 Length (km)]]+Table1[[#This Row],[T1 Length (km)]]</f>
        <v>20.100000000000001</v>
      </c>
      <c r="P82" s="5">
        <v>130</v>
      </c>
      <c r="Q82" s="6">
        <f>(Table1[[#This Row],[Linear Features (km)]]*0.4)*100</f>
        <v>804.00000000000011</v>
      </c>
      <c r="R82" s="7">
        <f>((PI()*(45^2))*Table1[[#This Row],[Number of Turbines - WIND]])/10000</f>
        <v>19.085175370557995</v>
      </c>
      <c r="S82" s="8">
        <f>Table1[[#This Row],[ATG (ha)]]/Table1[[#This Row],[Linear Area (ha)]]</f>
        <v>2.3737780311639294E-2</v>
      </c>
      <c r="T82" s="5" t="s">
        <v>115</v>
      </c>
      <c r="U82" s="5">
        <v>30</v>
      </c>
      <c r="V82" s="7" t="s">
        <v>22</v>
      </c>
      <c r="W82" s="7" t="s">
        <v>22</v>
      </c>
      <c r="X82" s="11">
        <f>12.9211374856532+6.255355</f>
        <v>19.176492485653199</v>
      </c>
      <c r="Y82" s="10">
        <f>Table1[[#This Row],[Raw Terrestrial Score]]/Table1[[#This Row],[Summed Raw Scores]]</f>
        <v>0.39883344750146504</v>
      </c>
      <c r="Z82" s="11">
        <v>28.904962582336701</v>
      </c>
      <c r="AA82" s="10">
        <f>Table1[[#This Row],[Raw Freshwater Score]]/Table1[[#This Row],[Summed Raw Scores]]</f>
        <v>0.60116655249853501</v>
      </c>
      <c r="AB82" s="10">
        <f>Table1[[#This Row],[Raw Terrestrial Score]]+Table1[[#This Row],[Raw Freshwater Score]]</f>
        <v>48.0814550679899</v>
      </c>
      <c r="AC82" s="12">
        <f>Table1[[#This Row],[Terrestrial % of Summed Score]]*Table1[[#This Row],[Scaled Summed Score]]</f>
        <v>3.8015640026317454E-3</v>
      </c>
      <c r="AD82" s="12">
        <f>Table1[[#This Row],[Freshwater % of Summed Score]]*Table1[[#This Row],[Scaled Summed Score]]</f>
        <v>5.7301440986999045E-3</v>
      </c>
      <c r="AE82" s="12">
        <f>Table1[[#This Row],[Summed Raw Scores]]/MAX(Table1[Summed Raw Scores])</f>
        <v>9.5317081013316495E-3</v>
      </c>
      <c r="AF82" s="7"/>
    </row>
    <row r="83" spans="1:32" x14ac:dyDescent="0.3">
      <c r="A83" s="5" t="s">
        <v>172</v>
      </c>
      <c r="B83" s="5" t="s">
        <v>114</v>
      </c>
      <c r="C83" s="5" t="s">
        <v>27</v>
      </c>
      <c r="D83" s="5" t="s">
        <v>250</v>
      </c>
      <c r="E83" s="6">
        <v>55.548454599999999</v>
      </c>
      <c r="F83" s="6">
        <v>-120.7554162</v>
      </c>
      <c r="G83" s="6">
        <v>351</v>
      </c>
      <c r="H83" s="5" t="s">
        <v>22</v>
      </c>
      <c r="I83" s="6">
        <v>84</v>
      </c>
      <c r="J83" s="6">
        <v>952.91280000000006</v>
      </c>
      <c r="K83" s="6">
        <v>77.43051985602311</v>
      </c>
      <c r="L83" s="6" t="s">
        <v>22</v>
      </c>
      <c r="M83" s="6">
        <v>1.4</v>
      </c>
      <c r="N83" s="6">
        <v>54.8</v>
      </c>
      <c r="O83" s="6">
        <f>Table1[[#This Row],[R1 Length (km)]]+Table1[[#This Row],[T1 Length (km)]]</f>
        <v>56.199999999999996</v>
      </c>
      <c r="P83" s="5">
        <v>230</v>
      </c>
      <c r="Q83" s="6">
        <f>(Table1[[#This Row],[Linear Features (km)]]*0.4)*100</f>
        <v>2248</v>
      </c>
      <c r="R83" s="7">
        <v>44.53</v>
      </c>
      <c r="S83" s="8">
        <f>Table1[[#This Row],[ATG (ha)]]/Table1[[#This Row],[Linear Area (ha)]]</f>
        <v>1.9808718861209964E-2</v>
      </c>
      <c r="T83" s="5" t="s">
        <v>136</v>
      </c>
      <c r="U83" s="9" t="s">
        <v>22</v>
      </c>
      <c r="V83" s="7" t="s">
        <v>22</v>
      </c>
      <c r="W83" s="7" t="s">
        <v>22</v>
      </c>
      <c r="X83" s="11">
        <v>220.41010135412199</v>
      </c>
      <c r="Y83" s="10">
        <f>Table1[[#This Row],[Raw Terrestrial Score]]/Table1[[#This Row],[Summed Raw Scores]]</f>
        <v>0.77682361161474189</v>
      </c>
      <c r="Z83" s="11">
        <v>63.322393460199201</v>
      </c>
      <c r="AA83" s="10">
        <f>Table1[[#This Row],[Raw Freshwater Score]]/Table1[[#This Row],[Summed Raw Scores]]</f>
        <v>0.22317638838525822</v>
      </c>
      <c r="AB83" s="10">
        <f>Table1[[#This Row],[Raw Terrestrial Score]]+Table1[[#This Row],[Raw Freshwater Score]]</f>
        <v>283.73249481432117</v>
      </c>
      <c r="AC83" s="12">
        <f>Table1[[#This Row],[Terrestrial % of Summed Score]]*Table1[[#This Row],[Scaled Summed Score]]</f>
        <v>4.3694283913031429E-2</v>
      </c>
      <c r="AD83" s="12">
        <f>Table1[[#This Row],[Freshwater % of Summed Score]]*Table1[[#This Row],[Scaled Summed Score]]</f>
        <v>1.2553084549683615E-2</v>
      </c>
      <c r="AE83" s="12">
        <f>Table1[[#This Row],[Summed Raw Scores]]/MAX(Table1[Summed Raw Scores])</f>
        <v>5.6247368462715039E-2</v>
      </c>
      <c r="AF83" s="7"/>
    </row>
    <row r="84" spans="1:32" x14ac:dyDescent="0.3">
      <c r="A84" s="5" t="s">
        <v>173</v>
      </c>
      <c r="B84" s="5" t="s">
        <v>114</v>
      </c>
      <c r="C84" s="5" t="s">
        <v>27</v>
      </c>
      <c r="D84" s="5" t="s">
        <v>250</v>
      </c>
      <c r="E84" s="6">
        <v>55.960574549999997</v>
      </c>
      <c r="F84" s="6">
        <v>-120.86637829999999</v>
      </c>
      <c r="G84" s="6">
        <v>171</v>
      </c>
      <c r="H84" s="5" t="s">
        <v>22</v>
      </c>
      <c r="I84" s="6">
        <v>42</v>
      </c>
      <c r="J84" s="6">
        <v>456.5274</v>
      </c>
      <c r="K84" s="6">
        <v>91.951307550862538</v>
      </c>
      <c r="L84" s="6" t="s">
        <v>22</v>
      </c>
      <c r="M84" s="6">
        <v>4.4041630859400005</v>
      </c>
      <c r="N84" s="6">
        <v>72.494023437500005</v>
      </c>
      <c r="O84" s="6">
        <f>Table1[[#This Row],[R1 Length (km)]]+Table1[[#This Row],[T1 Length (km)]]</f>
        <v>76.898186523440003</v>
      </c>
      <c r="P84" s="5">
        <v>230</v>
      </c>
      <c r="Q84" s="6">
        <f>(Table1[[#This Row],[Linear Features (km)]]*0.4)*100</f>
        <v>3075.9274609376002</v>
      </c>
      <c r="R84" s="7">
        <v>22.27</v>
      </c>
      <c r="S84" s="8">
        <f>Table1[[#This Row],[ATG (ha)]]/Table1[[#This Row],[Linear Area (ha)]]</f>
        <v>7.2400927144139109E-3</v>
      </c>
      <c r="T84" s="5" t="s">
        <v>136</v>
      </c>
      <c r="U84" s="9" t="s">
        <v>22</v>
      </c>
      <c r="V84" s="7" t="s">
        <v>22</v>
      </c>
      <c r="W84" s="7" t="s">
        <v>22</v>
      </c>
      <c r="X84" s="11">
        <v>622.38852633349597</v>
      </c>
      <c r="Y84" s="10">
        <f>Table1[[#This Row],[Raw Terrestrial Score]]/Table1[[#This Row],[Summed Raw Scores]]</f>
        <v>0.9502047036128024</v>
      </c>
      <c r="Z84" s="11">
        <v>32.616152097471101</v>
      </c>
      <c r="AA84" s="10">
        <f>Table1[[#This Row],[Raw Freshwater Score]]/Table1[[#This Row],[Summed Raw Scores]]</f>
        <v>4.9795296387197666E-2</v>
      </c>
      <c r="AB84" s="10">
        <f>Table1[[#This Row],[Raw Terrestrial Score]]+Table1[[#This Row],[Raw Freshwater Score]]</f>
        <v>655.00467843096703</v>
      </c>
      <c r="AC84" s="12">
        <f>Table1[[#This Row],[Terrestrial % of Summed Score]]*Table1[[#This Row],[Scaled Summed Score]]</f>
        <v>0.12338282504637316</v>
      </c>
      <c r="AD84" s="12">
        <f>Table1[[#This Row],[Freshwater % of Summed Score]]*Table1[[#This Row],[Scaled Summed Score]]</f>
        <v>6.4658534302283032E-3</v>
      </c>
      <c r="AE84" s="12">
        <f>Table1[[#This Row],[Summed Raw Scores]]/MAX(Table1[Summed Raw Scores])</f>
        <v>0.12984867847660145</v>
      </c>
      <c r="AF84" s="7"/>
    </row>
    <row r="85" spans="1:32" x14ac:dyDescent="0.3">
      <c r="A85" s="5" t="s">
        <v>174</v>
      </c>
      <c r="B85" s="5" t="s">
        <v>114</v>
      </c>
      <c r="C85" s="5" t="s">
        <v>27</v>
      </c>
      <c r="D85" s="5" t="s">
        <v>250</v>
      </c>
      <c r="E85" s="6">
        <v>56.54299082</v>
      </c>
      <c r="F85" s="6">
        <v>-123.0058961</v>
      </c>
      <c r="G85" s="6">
        <v>72</v>
      </c>
      <c r="H85" s="5" t="s">
        <v>22</v>
      </c>
      <c r="I85" s="6">
        <v>16.8</v>
      </c>
      <c r="J85" s="6">
        <v>283.66631999999998</v>
      </c>
      <c r="K85" s="6">
        <v>86.422963406889508</v>
      </c>
      <c r="L85" s="6" t="s">
        <v>22</v>
      </c>
      <c r="M85" s="6">
        <v>10.212486328100001</v>
      </c>
      <c r="N85" s="6">
        <v>85.097687500000006</v>
      </c>
      <c r="O85" s="6">
        <f>Table1[[#This Row],[R1 Length (km)]]+Table1[[#This Row],[T1 Length (km)]]</f>
        <v>95.310173828100005</v>
      </c>
      <c r="P85" s="5">
        <v>130</v>
      </c>
      <c r="Q85" s="6">
        <f>(Table1[[#This Row],[Linear Features (km)]]*0.4)*100</f>
        <v>3812.4069531240002</v>
      </c>
      <c r="R85" s="7">
        <v>8.91</v>
      </c>
      <c r="S85" s="8">
        <f>Table1[[#This Row],[ATG (ha)]]/Table1[[#This Row],[Linear Area (ha)]]</f>
        <v>2.3371062191298543E-3</v>
      </c>
      <c r="T85" s="5" t="s">
        <v>136</v>
      </c>
      <c r="U85" s="9" t="s">
        <v>22</v>
      </c>
      <c r="V85" s="7" t="s">
        <v>22</v>
      </c>
      <c r="W85" s="7" t="s">
        <v>22</v>
      </c>
      <c r="X85" s="11">
        <v>514.48069248721004</v>
      </c>
      <c r="Y85" s="10">
        <f>Table1[[#This Row],[Raw Terrestrial Score]]/Table1[[#This Row],[Summed Raw Scores]]</f>
        <v>0.53069003989226726</v>
      </c>
      <c r="Z85" s="11">
        <v>454.97540017217398</v>
      </c>
      <c r="AA85" s="10">
        <f>Table1[[#This Row],[Raw Freshwater Score]]/Table1[[#This Row],[Summed Raw Scores]]</f>
        <v>0.46930996010773274</v>
      </c>
      <c r="AB85" s="10">
        <f>Table1[[#This Row],[Raw Terrestrial Score]]+Table1[[#This Row],[Raw Freshwater Score]]</f>
        <v>969.45609265938401</v>
      </c>
      <c r="AC85" s="12">
        <f>Table1[[#This Row],[Terrestrial % of Summed Score]]*Table1[[#This Row],[Scaled Summed Score]]</f>
        <v>0.10199108528693013</v>
      </c>
      <c r="AD85" s="12">
        <f>Table1[[#This Row],[Freshwater % of Summed Score]]*Table1[[#This Row],[Scaled Summed Score]]</f>
        <v>9.0194706079410242E-2</v>
      </c>
      <c r="AE85" s="12">
        <f>Table1[[#This Row],[Summed Raw Scores]]/MAX(Table1[Summed Raw Scores])</f>
        <v>0.19218579136634037</v>
      </c>
      <c r="AF85" s="7"/>
    </row>
    <row r="86" spans="1:32" x14ac:dyDescent="0.3">
      <c r="A86" s="5" t="s">
        <v>175</v>
      </c>
      <c r="B86" s="5" t="s">
        <v>114</v>
      </c>
      <c r="C86" s="5" t="s">
        <v>27</v>
      </c>
      <c r="D86" s="5" t="s">
        <v>250</v>
      </c>
      <c r="E86" s="6">
        <v>55.866821960000003</v>
      </c>
      <c r="F86" s="6">
        <v>-121.7623816</v>
      </c>
      <c r="G86" s="6">
        <v>129</v>
      </c>
      <c r="H86" s="5" t="s">
        <v>22</v>
      </c>
      <c r="I86" s="6">
        <v>31.2</v>
      </c>
      <c r="J86" s="6">
        <v>344.60088000000002</v>
      </c>
      <c r="K86" s="6">
        <v>84.35861942811421</v>
      </c>
      <c r="L86" s="6" t="s">
        <v>22</v>
      </c>
      <c r="M86" s="6">
        <v>3.9213208007799998</v>
      </c>
      <c r="N86" s="6">
        <v>23.785281250000001</v>
      </c>
      <c r="O86" s="6">
        <f>Table1[[#This Row],[R1 Length (km)]]+Table1[[#This Row],[T1 Length (km)]]</f>
        <v>27.706602050779999</v>
      </c>
      <c r="P86" s="5">
        <v>130</v>
      </c>
      <c r="Q86" s="6">
        <f>(Table1[[#This Row],[Linear Features (km)]]*0.4)*100</f>
        <v>1108.2640820312001</v>
      </c>
      <c r="R86" s="7">
        <v>16.54</v>
      </c>
      <c r="S86" s="8">
        <f>Table1[[#This Row],[ATG (ha)]]/Table1[[#This Row],[Linear Area (ha)]]</f>
        <v>1.4924240772727995E-2</v>
      </c>
      <c r="T86" s="5" t="s">
        <v>136</v>
      </c>
      <c r="U86" s="9" t="s">
        <v>22</v>
      </c>
      <c r="V86" s="7" t="s">
        <v>22</v>
      </c>
      <c r="W86" s="7" t="s">
        <v>22</v>
      </c>
      <c r="X86" s="11">
        <v>183.39133496955</v>
      </c>
      <c r="Y86" s="10">
        <f>Table1[[#This Row],[Raw Terrestrial Score]]/Table1[[#This Row],[Summed Raw Scores]]</f>
        <v>0.64384043153127823</v>
      </c>
      <c r="Z86" s="11">
        <v>101.44839547946999</v>
      </c>
      <c r="AA86" s="10">
        <f>Table1[[#This Row],[Raw Freshwater Score]]/Table1[[#This Row],[Summed Raw Scores]]</f>
        <v>0.35615956846872177</v>
      </c>
      <c r="AB86" s="10">
        <f>Table1[[#This Row],[Raw Terrestrial Score]]+Table1[[#This Row],[Raw Freshwater Score]]</f>
        <v>284.83973044902001</v>
      </c>
      <c r="AC86" s="12">
        <f>Table1[[#This Row],[Terrestrial % of Summed Score]]*Table1[[#This Row],[Scaled Summed Score]]</f>
        <v>3.6355652522817139E-2</v>
      </c>
      <c r="AD86" s="12">
        <f>Table1[[#This Row],[Freshwater % of Summed Score]]*Table1[[#This Row],[Scaled Summed Score]]</f>
        <v>2.0111215263585547E-2</v>
      </c>
      <c r="AE86" s="12">
        <f>Table1[[#This Row],[Summed Raw Scores]]/MAX(Table1[Summed Raw Scores])</f>
        <v>5.646686778640269E-2</v>
      </c>
      <c r="AF86" s="7"/>
    </row>
    <row r="87" spans="1:32" x14ac:dyDescent="0.3">
      <c r="A87" s="5" t="s">
        <v>176</v>
      </c>
      <c r="B87" s="5" t="s">
        <v>114</v>
      </c>
      <c r="C87" s="5" t="s">
        <v>27</v>
      </c>
      <c r="D87" s="5" t="s">
        <v>250</v>
      </c>
      <c r="E87" s="6">
        <v>55.729118999999997</v>
      </c>
      <c r="F87" s="6">
        <v>-121.80133600000001</v>
      </c>
      <c r="G87" s="6">
        <v>186</v>
      </c>
      <c r="H87" s="5" t="s">
        <v>22</v>
      </c>
      <c r="I87" s="6">
        <v>45.6</v>
      </c>
      <c r="J87" s="6">
        <v>549.25199999999995</v>
      </c>
      <c r="K87" s="6">
        <v>76.208568497958495</v>
      </c>
      <c r="L87" s="6" t="s">
        <v>22</v>
      </c>
      <c r="M87" s="6">
        <v>8.5299999999999994</v>
      </c>
      <c r="N87" s="6">
        <v>26.352185546874999</v>
      </c>
      <c r="O87" s="6">
        <f>Table1[[#This Row],[R1 Length (km)]]+Table1[[#This Row],[T1 Length (km)]]</f>
        <v>34.882185546875</v>
      </c>
      <c r="P87" s="5">
        <v>230</v>
      </c>
      <c r="Q87" s="6">
        <f>(Table1[[#This Row],[Linear Features (km)]]*0.4)*100</f>
        <v>1395.2874218750001</v>
      </c>
      <c r="R87" s="7">
        <v>24.17</v>
      </c>
      <c r="S87" s="8">
        <f>Table1[[#This Row],[ATG (ha)]]/Table1[[#This Row],[Linear Area (ha)]]</f>
        <v>1.7322595775657559E-2</v>
      </c>
      <c r="T87" s="5" t="s">
        <v>136</v>
      </c>
      <c r="U87" s="9" t="s">
        <v>22</v>
      </c>
      <c r="V87" s="7" t="s">
        <v>22</v>
      </c>
      <c r="W87" s="7" t="s">
        <v>22</v>
      </c>
      <c r="X87" s="11">
        <v>543.53679183125496</v>
      </c>
      <c r="Y87" s="10">
        <f>Table1[[#This Row],[Raw Terrestrial Score]]/Table1[[#This Row],[Summed Raw Scores]]</f>
        <v>0.53432126959969428</v>
      </c>
      <c r="Z87" s="11">
        <v>473.710364057682</v>
      </c>
      <c r="AA87" s="10">
        <f>Table1[[#This Row],[Raw Freshwater Score]]/Table1[[#This Row],[Summed Raw Scores]]</f>
        <v>0.46567873040030566</v>
      </c>
      <c r="AB87" s="10">
        <f>Table1[[#This Row],[Raw Terrestrial Score]]+Table1[[#This Row],[Raw Freshwater Score]]</f>
        <v>1017.247155888937</v>
      </c>
      <c r="AC87" s="12">
        <f>Table1[[#This Row],[Terrestrial % of Summed Score]]*Table1[[#This Row],[Scaled Summed Score]]</f>
        <v>0.10775119086441527</v>
      </c>
      <c r="AD87" s="12">
        <f>Table1[[#This Row],[Freshwater % of Summed Score]]*Table1[[#This Row],[Scaled Summed Score]]</f>
        <v>9.39087410809121E-2</v>
      </c>
      <c r="AE87" s="12">
        <f>Table1[[#This Row],[Summed Raw Scores]]/MAX(Table1[Summed Raw Scores])</f>
        <v>0.20165993194532739</v>
      </c>
      <c r="AF87" s="7"/>
    </row>
    <row r="88" spans="1:32" x14ac:dyDescent="0.3">
      <c r="A88" s="5" t="s">
        <v>177</v>
      </c>
      <c r="B88" s="5" t="s">
        <v>114</v>
      </c>
      <c r="C88" s="5" t="s">
        <v>27</v>
      </c>
      <c r="D88" s="5" t="s">
        <v>250</v>
      </c>
      <c r="E88" s="6">
        <v>55.229832969999997</v>
      </c>
      <c r="F88" s="6">
        <v>-121.17872</v>
      </c>
      <c r="G88" s="6">
        <v>117</v>
      </c>
      <c r="H88" s="5" t="s">
        <v>22</v>
      </c>
      <c r="I88" s="6">
        <v>28.799999999999997</v>
      </c>
      <c r="J88" s="6">
        <v>417.64176000000003</v>
      </c>
      <c r="K88" s="6">
        <v>74.026330439887317</v>
      </c>
      <c r="L88" s="6" t="s">
        <v>22</v>
      </c>
      <c r="M88" s="6">
        <v>1.2</v>
      </c>
      <c r="N88" s="6">
        <v>10.5</v>
      </c>
      <c r="O88" s="6">
        <f>Table1[[#This Row],[R1 Length (km)]]+Table1[[#This Row],[T1 Length (km)]]</f>
        <v>11.7</v>
      </c>
      <c r="P88" s="5">
        <v>230</v>
      </c>
      <c r="Q88" s="6">
        <f>(Table1[[#This Row],[Linear Features (km)]]*0.4)*100</f>
        <v>468</v>
      </c>
      <c r="R88" s="7">
        <v>15.27</v>
      </c>
      <c r="S88" s="8">
        <f>Table1[[#This Row],[ATG (ha)]]/Table1[[#This Row],[Linear Area (ha)]]</f>
        <v>3.2628205128205127E-2</v>
      </c>
      <c r="T88" s="5" t="s">
        <v>136</v>
      </c>
      <c r="U88" s="9" t="s">
        <v>22</v>
      </c>
      <c r="V88" s="7" t="s">
        <v>22</v>
      </c>
      <c r="W88" s="7" t="s">
        <v>22</v>
      </c>
      <c r="X88" s="11">
        <v>379.13563200831402</v>
      </c>
      <c r="Y88" s="10">
        <f>Table1[[#This Row],[Raw Terrestrial Score]]/Table1[[#This Row],[Summed Raw Scores]]</f>
        <v>0.60131345162716343</v>
      </c>
      <c r="Z88" s="11">
        <v>251.37684194743599</v>
      </c>
      <c r="AA88" s="10">
        <f>Table1[[#This Row],[Raw Freshwater Score]]/Table1[[#This Row],[Summed Raw Scores]]</f>
        <v>0.39868654837283657</v>
      </c>
      <c r="AB88" s="10">
        <f>Table1[[#This Row],[Raw Terrestrial Score]]+Table1[[#This Row],[Raw Freshwater Score]]</f>
        <v>630.51247395575001</v>
      </c>
      <c r="AC88" s="12">
        <f>Table1[[#This Row],[Terrestrial % of Summed Score]]*Table1[[#This Row],[Scaled Summed Score]]</f>
        <v>7.5160166638197815E-2</v>
      </c>
      <c r="AD88" s="12">
        <f>Table1[[#This Row],[Freshwater % of Summed Score]]*Table1[[#This Row],[Scaled Summed Score]]</f>
        <v>4.9833156619103765E-2</v>
      </c>
      <c r="AE88" s="12">
        <f>Table1[[#This Row],[Summed Raw Scores]]/MAX(Table1[Summed Raw Scores])</f>
        <v>0.12499332325730157</v>
      </c>
      <c r="AF88" s="7"/>
    </row>
    <row r="89" spans="1:32" x14ac:dyDescent="0.3">
      <c r="A89" s="5" t="s">
        <v>178</v>
      </c>
      <c r="B89" s="5" t="s">
        <v>114</v>
      </c>
      <c r="C89" s="5" t="s">
        <v>27</v>
      </c>
      <c r="D89" s="5" t="s">
        <v>250</v>
      </c>
      <c r="E89" s="15">
        <v>55.162438520000002</v>
      </c>
      <c r="F89" s="15">
        <v>-121.5944693</v>
      </c>
      <c r="G89" s="6">
        <v>45</v>
      </c>
      <c r="H89" s="5" t="s">
        <v>22</v>
      </c>
      <c r="I89" s="7">
        <v>10.799999999999999</v>
      </c>
      <c r="J89" s="7">
        <v>196.35101999999998</v>
      </c>
      <c r="K89" s="7">
        <v>62.521940881479459</v>
      </c>
      <c r="L89" s="6" t="s">
        <v>22</v>
      </c>
      <c r="M89" s="15">
        <v>3.1798994140599999</v>
      </c>
      <c r="N89" s="7">
        <v>30.518376953124999</v>
      </c>
      <c r="O89" s="7">
        <f>Table1[[#This Row],[R1 Length (km)]]+Table1[[#This Row],[T1 Length (km)]]</f>
        <v>33.698276367185002</v>
      </c>
      <c r="P89" s="18">
        <v>69</v>
      </c>
      <c r="Q89" s="15">
        <f>(Table1[[#This Row],[Linear Features (km)]]*0.4)*100</f>
        <v>1347.9310546874001</v>
      </c>
      <c r="R89" s="7">
        <v>5.73</v>
      </c>
      <c r="S89" s="8">
        <f>Table1[[#This Row],[ATG (ha)]]/Table1[[#This Row],[Linear Area (ha)]]</f>
        <v>4.2509592609162421E-3</v>
      </c>
      <c r="T89" s="18" t="s">
        <v>136</v>
      </c>
      <c r="U89" s="9" t="s">
        <v>22</v>
      </c>
      <c r="V89" s="7" t="s">
        <v>22</v>
      </c>
      <c r="W89" s="7" t="s">
        <v>22</v>
      </c>
      <c r="X89" s="11">
        <v>280.92416617274301</v>
      </c>
      <c r="Y89" s="10">
        <f>Table1[[#This Row],[Raw Terrestrial Score]]/Table1[[#This Row],[Summed Raw Scores]]</f>
        <v>0.51592304608349504</v>
      </c>
      <c r="Z89" s="11">
        <v>263.583717910573</v>
      </c>
      <c r="AA89" s="10">
        <f>Table1[[#This Row],[Raw Freshwater Score]]/Table1[[#This Row],[Summed Raw Scores]]</f>
        <v>0.48407695391650502</v>
      </c>
      <c r="AB89" s="10">
        <f>Table1[[#This Row],[Raw Terrestrial Score]]+Table1[[#This Row],[Raw Freshwater Score]]</f>
        <v>544.50788408331596</v>
      </c>
      <c r="AC89" s="12">
        <f>Table1[[#This Row],[Terrestrial % of Summed Score]]*Table1[[#This Row],[Scaled Summed Score]]</f>
        <v>5.5690643030294563E-2</v>
      </c>
      <c r="AD89" s="12">
        <f>Table1[[#This Row],[Freshwater % of Summed Score]]*Table1[[#This Row],[Scaled Summed Score]]</f>
        <v>5.2253057979103262E-2</v>
      </c>
      <c r="AE89" s="12">
        <f>Table1[[#This Row],[Summed Raw Scores]]/MAX(Table1[Summed Raw Scores])</f>
        <v>0.10794370100939782</v>
      </c>
      <c r="AF89" s="7"/>
    </row>
    <row r="90" spans="1:32" x14ac:dyDescent="0.3">
      <c r="A90" s="5" t="s">
        <v>179</v>
      </c>
      <c r="B90" s="5" t="s">
        <v>114</v>
      </c>
      <c r="C90" s="5" t="s">
        <v>27</v>
      </c>
      <c r="D90" s="5" t="s">
        <v>250</v>
      </c>
      <c r="E90" s="6">
        <v>55.351133089999998</v>
      </c>
      <c r="F90" s="6">
        <v>-121.08614369999999</v>
      </c>
      <c r="G90" s="6">
        <v>63</v>
      </c>
      <c r="H90" s="5" t="s">
        <v>22</v>
      </c>
      <c r="I90" s="6">
        <v>15.6</v>
      </c>
      <c r="J90" s="6">
        <v>275.98818</v>
      </c>
      <c r="K90" s="6">
        <v>65.30162752178073</v>
      </c>
      <c r="L90" s="6" t="s">
        <v>22</v>
      </c>
      <c r="M90" s="6">
        <v>1.8</v>
      </c>
      <c r="N90" s="6">
        <v>23.4</v>
      </c>
      <c r="O90" s="6">
        <f>Table1[[#This Row],[R1 Length (km)]]+Table1[[#This Row],[T1 Length (km)]]</f>
        <v>25.2</v>
      </c>
      <c r="P90" s="5">
        <v>230</v>
      </c>
      <c r="Q90" s="6">
        <f>(Table1[[#This Row],[Linear Features (km)]]*0.4)*100</f>
        <v>1008</v>
      </c>
      <c r="R90" s="7">
        <v>8.27</v>
      </c>
      <c r="S90" s="8">
        <f>Table1[[#This Row],[ATG (ha)]]/Table1[[#This Row],[Linear Area (ha)]]</f>
        <v>8.2043650793650787E-3</v>
      </c>
      <c r="T90" s="5" t="s">
        <v>136</v>
      </c>
      <c r="U90" s="9" t="s">
        <v>22</v>
      </c>
      <c r="V90" s="7" t="s">
        <v>22</v>
      </c>
      <c r="W90" s="7" t="s">
        <v>22</v>
      </c>
      <c r="X90" s="11">
        <v>179.47854959964801</v>
      </c>
      <c r="Y90" s="10">
        <f>Table1[[#This Row],[Raw Terrestrial Score]]/Table1[[#This Row],[Summed Raw Scores]]</f>
        <v>0.62463266323096645</v>
      </c>
      <c r="Z90" s="11">
        <v>107.85600743629</v>
      </c>
      <c r="AA90" s="10">
        <f>Table1[[#This Row],[Raw Freshwater Score]]/Table1[[#This Row],[Summed Raw Scores]]</f>
        <v>0.37536733676903344</v>
      </c>
      <c r="AB90" s="10">
        <f>Table1[[#This Row],[Raw Terrestrial Score]]+Table1[[#This Row],[Raw Freshwater Score]]</f>
        <v>287.33455703593802</v>
      </c>
      <c r="AC90" s="12">
        <f>Table1[[#This Row],[Terrestrial % of Summed Score]]*Table1[[#This Row],[Scaled Summed Score]]</f>
        <v>3.5579978659446551E-2</v>
      </c>
      <c r="AD90" s="12">
        <f>Table1[[#This Row],[Freshwater % of Summed Score]]*Table1[[#This Row],[Scaled Summed Score]]</f>
        <v>2.1381465648326329E-2</v>
      </c>
      <c r="AE90" s="12">
        <f>Table1[[#This Row],[Summed Raw Scores]]/MAX(Table1[Summed Raw Scores])</f>
        <v>5.696144430777289E-2</v>
      </c>
      <c r="AF90" s="7"/>
    </row>
    <row r="91" spans="1:32" x14ac:dyDescent="0.3">
      <c r="A91" s="5" t="s">
        <v>180</v>
      </c>
      <c r="B91" s="5" t="s">
        <v>114</v>
      </c>
      <c r="C91" s="5" t="s">
        <v>27</v>
      </c>
      <c r="D91" s="5"/>
      <c r="E91" s="6">
        <v>54.702274119999998</v>
      </c>
      <c r="F91" s="6">
        <v>-120.40647</v>
      </c>
      <c r="G91" s="6">
        <v>39</v>
      </c>
      <c r="H91" s="5" t="s">
        <v>22</v>
      </c>
      <c r="I91" s="6">
        <v>9.6</v>
      </c>
      <c r="J91" s="6">
        <v>151.23263999999998</v>
      </c>
      <c r="K91" s="6">
        <v>107.36558583383237</v>
      </c>
      <c r="L91" s="6" t="s">
        <v>22</v>
      </c>
      <c r="M91" s="6">
        <v>2.1384777831999999</v>
      </c>
      <c r="N91" s="6">
        <v>69.236664062499997</v>
      </c>
      <c r="O91" s="6">
        <f>Table1[[#This Row],[R1 Length (km)]]+Table1[[#This Row],[T1 Length (km)]]</f>
        <v>71.3751418457</v>
      </c>
      <c r="P91" s="5">
        <v>230</v>
      </c>
      <c r="Q91" s="6">
        <f>(Table1[[#This Row],[Linear Features (km)]]*0.4)*100</f>
        <v>2855.005673828</v>
      </c>
      <c r="R91" s="7">
        <f>607232.1/10000</f>
        <v>60.723209999999995</v>
      </c>
      <c r="S91" s="8">
        <f>Table1[[#This Row],[ATG (ha)]]/Table1[[#This Row],[Linear Area (ha)]]</f>
        <v>2.12690330378861E-2</v>
      </c>
      <c r="T91" s="5" t="s">
        <v>136</v>
      </c>
      <c r="U91" s="9" t="s">
        <v>22</v>
      </c>
      <c r="V91" s="7" t="s">
        <v>22</v>
      </c>
      <c r="W91" s="7" t="s">
        <v>22</v>
      </c>
      <c r="X91" s="11">
        <v>236.90945979952801</v>
      </c>
      <c r="Y91" s="10">
        <f>Table1[[#This Row],[Raw Terrestrial Score]]/Table1[[#This Row],[Summed Raw Scores]]</f>
        <v>0.67057197666707091</v>
      </c>
      <c r="Z91" s="11">
        <v>116.38514248468</v>
      </c>
      <c r="AA91" s="10">
        <f>Table1[[#This Row],[Raw Freshwater Score]]/Table1[[#This Row],[Summed Raw Scores]]</f>
        <v>0.32942802333292914</v>
      </c>
      <c r="AB91" s="10">
        <f>Table1[[#This Row],[Raw Terrestrial Score]]+Table1[[#This Row],[Raw Freshwater Score]]</f>
        <v>353.294602284208</v>
      </c>
      <c r="AC91" s="12">
        <f>Table1[[#This Row],[Terrestrial % of Summed Score]]*Table1[[#This Row],[Scaled Summed Score]]</f>
        <v>4.6965130611378365E-2</v>
      </c>
      <c r="AD91" s="12">
        <f>Table1[[#This Row],[Freshwater % of Summed Score]]*Table1[[#This Row],[Scaled Summed Score]]</f>
        <v>2.3072288555476949E-2</v>
      </c>
      <c r="AE91" s="12">
        <f>Table1[[#This Row],[Summed Raw Scores]]/MAX(Table1[Summed Raw Scores])</f>
        <v>7.0037419166855311E-2</v>
      </c>
      <c r="AF91" s="7"/>
    </row>
    <row r="92" spans="1:32" x14ac:dyDescent="0.3">
      <c r="A92" s="5" t="s">
        <v>181</v>
      </c>
      <c r="B92" s="5" t="s">
        <v>114</v>
      </c>
      <c r="C92" s="5" t="s">
        <v>27</v>
      </c>
      <c r="D92" s="5" t="s">
        <v>250</v>
      </c>
      <c r="E92" s="6">
        <v>55.077247999999997</v>
      </c>
      <c r="F92" s="6">
        <v>-121.11845</v>
      </c>
      <c r="G92" s="6">
        <v>54</v>
      </c>
      <c r="H92" s="5" t="s">
        <v>22</v>
      </c>
      <c r="I92" s="6">
        <v>13.2</v>
      </c>
      <c r="J92" s="6">
        <v>216.81</v>
      </c>
      <c r="K92" s="6">
        <v>76.420343570647532</v>
      </c>
      <c r="L92" s="6" t="s">
        <v>22</v>
      </c>
      <c r="M92" s="6">
        <v>6.8</v>
      </c>
      <c r="N92" s="6">
        <v>8.4</v>
      </c>
      <c r="O92" s="6">
        <f>Table1[[#This Row],[R1 Length (km)]]+Table1[[#This Row],[T1 Length (km)]]</f>
        <v>15.2</v>
      </c>
      <c r="P92" s="5">
        <v>69</v>
      </c>
      <c r="Q92" s="6">
        <f>(Table1[[#This Row],[Linear Features (km)]]*0.4)*100</f>
        <v>608</v>
      </c>
      <c r="R92" s="7">
        <v>7</v>
      </c>
      <c r="S92" s="8">
        <f>Table1[[#This Row],[ATG (ha)]]/Table1[[#This Row],[Linear Area (ha)]]</f>
        <v>1.1513157894736841E-2</v>
      </c>
      <c r="T92" s="5" t="s">
        <v>136</v>
      </c>
      <c r="U92" s="9" t="s">
        <v>22</v>
      </c>
      <c r="V92" s="7" t="s">
        <v>22</v>
      </c>
      <c r="W92" s="7" t="s">
        <v>22</v>
      </c>
      <c r="X92" s="11">
        <v>54.586308240890503</v>
      </c>
      <c r="Y92" s="10">
        <f>Table1[[#This Row],[Raw Terrestrial Score]]/Table1[[#This Row],[Summed Raw Scores]]</f>
        <v>0.66406862714556147</v>
      </c>
      <c r="Z92" s="11">
        <v>27.613491613417899</v>
      </c>
      <c r="AA92" s="10">
        <f>Table1[[#This Row],[Raw Freshwater Score]]/Table1[[#This Row],[Summed Raw Scores]]</f>
        <v>0.33593137285443858</v>
      </c>
      <c r="AB92" s="10">
        <f>Table1[[#This Row],[Raw Terrestrial Score]]+Table1[[#This Row],[Raw Freshwater Score]]</f>
        <v>82.199799854308395</v>
      </c>
      <c r="AC92" s="12">
        <f>Table1[[#This Row],[Terrestrial % of Summed Score]]*Table1[[#This Row],[Scaled Summed Score]]</f>
        <v>1.0821235666552683E-2</v>
      </c>
      <c r="AD92" s="12">
        <f>Table1[[#This Row],[Freshwater % of Summed Score]]*Table1[[#This Row],[Scaled Summed Score]]</f>
        <v>5.4741218073680164E-3</v>
      </c>
      <c r="AE92" s="12">
        <f>Table1[[#This Row],[Summed Raw Scores]]/MAX(Table1[Summed Raw Scores])</f>
        <v>1.6295357473920698E-2</v>
      </c>
      <c r="AF92" s="7"/>
    </row>
    <row r="93" spans="1:32" x14ac:dyDescent="0.3">
      <c r="A93" s="5" t="s">
        <v>182</v>
      </c>
      <c r="B93" s="5" t="s">
        <v>114</v>
      </c>
      <c r="C93" s="5" t="s">
        <v>27</v>
      </c>
      <c r="D93" s="5"/>
      <c r="E93" s="6">
        <v>55.66993652</v>
      </c>
      <c r="F93" s="6">
        <v>-122.2744455</v>
      </c>
      <c r="G93" s="6">
        <v>33</v>
      </c>
      <c r="H93" s="5" t="s">
        <v>22</v>
      </c>
      <c r="I93" s="6">
        <v>8.4</v>
      </c>
      <c r="J93" s="6">
        <v>126.3192</v>
      </c>
      <c r="K93" s="6">
        <v>93.660845770732664</v>
      </c>
      <c r="L93" s="6" t="s">
        <v>22</v>
      </c>
      <c r="M93" s="6">
        <v>2.6727924804700001</v>
      </c>
      <c r="N93" s="6">
        <v>20.558074218750001</v>
      </c>
      <c r="O93" s="6">
        <f>Table1[[#This Row],[R1 Length (km)]]+Table1[[#This Row],[T1 Length (km)]]</f>
        <v>23.230866699220002</v>
      </c>
      <c r="P93" s="5">
        <v>69</v>
      </c>
      <c r="Q93" s="6">
        <f>(Table1[[#This Row],[Linear Features (km)]]*0.4)*100</f>
        <v>929.23466796880007</v>
      </c>
      <c r="R93" s="7">
        <f>618138/10000</f>
        <v>61.813800000000001</v>
      </c>
      <c r="S93" s="8">
        <f>Table1[[#This Row],[ATG (ha)]]/Table1[[#This Row],[Linear Area (ha)]]</f>
        <v>6.6521194409500287E-2</v>
      </c>
      <c r="T93" s="5" t="s">
        <v>136</v>
      </c>
      <c r="U93" s="9" t="s">
        <v>22</v>
      </c>
      <c r="V93" s="7" t="s">
        <v>22</v>
      </c>
      <c r="W93" s="7" t="s">
        <v>22</v>
      </c>
      <c r="X93" s="11">
        <v>1042.6909629628101</v>
      </c>
      <c r="Y93" s="10">
        <f>Table1[[#This Row],[Raw Terrestrial Score]]/Table1[[#This Row],[Summed Raw Scores]]</f>
        <v>0.49949384921559031</v>
      </c>
      <c r="Z93" s="11">
        <v>1044.8041375279399</v>
      </c>
      <c r="AA93" s="10">
        <f>Table1[[#This Row],[Raw Freshwater Score]]/Table1[[#This Row],[Summed Raw Scores]]</f>
        <v>0.50050615078440985</v>
      </c>
      <c r="AB93" s="10">
        <f>Table1[[#This Row],[Raw Terrestrial Score]]+Table1[[#This Row],[Raw Freshwater Score]]</f>
        <v>2087.4951004907498</v>
      </c>
      <c r="AC93" s="12">
        <f>Table1[[#This Row],[Terrestrial % of Summed Score]]*Table1[[#This Row],[Scaled Summed Score]]</f>
        <v>0.20670393366432308</v>
      </c>
      <c r="AD93" s="12">
        <f>Table1[[#This Row],[Freshwater % of Summed Score]]*Table1[[#This Row],[Scaled Summed Score]]</f>
        <v>0.20712285116782822</v>
      </c>
      <c r="AE93" s="12">
        <f>Table1[[#This Row],[Summed Raw Scores]]/MAX(Table1[Summed Raw Scores])</f>
        <v>0.41382678483215124</v>
      </c>
      <c r="AF93" s="7"/>
    </row>
    <row r="94" spans="1:32" x14ac:dyDescent="0.3">
      <c r="A94" s="5" t="s">
        <v>183</v>
      </c>
      <c r="B94" s="5" t="s">
        <v>114</v>
      </c>
      <c r="C94" s="5" t="s">
        <v>27</v>
      </c>
      <c r="D94" s="5" t="s">
        <v>250</v>
      </c>
      <c r="E94" s="6">
        <v>54.960041250000003</v>
      </c>
      <c r="F94" s="6">
        <v>-120.59689109999999</v>
      </c>
      <c r="G94" s="6">
        <v>150</v>
      </c>
      <c r="H94" s="5" t="s">
        <v>22</v>
      </c>
      <c r="I94" s="6">
        <v>36</v>
      </c>
      <c r="J94" s="6">
        <v>569.35620000000006</v>
      </c>
      <c r="K94" s="6">
        <v>62.193665264181391</v>
      </c>
      <c r="L94" s="6" t="s">
        <v>22</v>
      </c>
      <c r="M94" s="6">
        <v>0.2</v>
      </c>
      <c r="N94" s="6">
        <v>43.3</v>
      </c>
      <c r="O94" s="6">
        <f>Table1[[#This Row],[R1 Length (km)]]+Table1[[#This Row],[T1 Length (km)]]</f>
        <v>43.5</v>
      </c>
      <c r="P94" s="5">
        <v>230</v>
      </c>
      <c r="Q94" s="6">
        <f>(Table1[[#This Row],[Linear Features (km)]]*0.4)*100</f>
        <v>1740.0000000000002</v>
      </c>
      <c r="R94" s="7">
        <v>19.09</v>
      </c>
      <c r="S94" s="8">
        <f>Table1[[#This Row],[ATG (ha)]]/Table1[[#This Row],[Linear Area (ha)]]</f>
        <v>1.097126436781609E-2</v>
      </c>
      <c r="T94" s="5" t="s">
        <v>136</v>
      </c>
      <c r="U94" s="9" t="s">
        <v>22</v>
      </c>
      <c r="V94" s="7" t="s">
        <v>22</v>
      </c>
      <c r="W94" s="7" t="s">
        <v>22</v>
      </c>
      <c r="X94" s="11">
        <v>311.14422169327702</v>
      </c>
      <c r="Y94" s="10">
        <f>Table1[[#This Row],[Raw Terrestrial Score]]/Table1[[#This Row],[Summed Raw Scores]]</f>
        <v>0.88072181984317222</v>
      </c>
      <c r="Z94" s="11">
        <v>42.138977022841601</v>
      </c>
      <c r="AA94" s="10">
        <f>Table1[[#This Row],[Raw Freshwater Score]]/Table1[[#This Row],[Summed Raw Scores]]</f>
        <v>0.11927818015682784</v>
      </c>
      <c r="AB94" s="10">
        <f>Table1[[#This Row],[Raw Terrestrial Score]]+Table1[[#This Row],[Raw Freshwater Score]]</f>
        <v>353.28319871611859</v>
      </c>
      <c r="AC94" s="12">
        <f>Table1[[#This Row],[Terrestrial % of Summed Score]]*Table1[[#This Row],[Scaled Summed Score]]</f>
        <v>6.1681492259388168E-2</v>
      </c>
      <c r="AD94" s="12">
        <f>Table1[[#This Row],[Freshwater % of Summed Score]]*Table1[[#This Row],[Scaled Summed Score]]</f>
        <v>8.3536662545358204E-3</v>
      </c>
      <c r="AE94" s="12">
        <f>Table1[[#This Row],[Summed Raw Scores]]/MAX(Table1[Summed Raw Scores])</f>
        <v>7.0035158513923987E-2</v>
      </c>
      <c r="AF94" s="7"/>
    </row>
    <row r="95" spans="1:32" x14ac:dyDescent="0.3">
      <c r="A95" s="5" t="s">
        <v>34</v>
      </c>
      <c r="B95" s="5" t="s">
        <v>24</v>
      </c>
      <c r="C95" s="5" t="s">
        <v>32</v>
      </c>
      <c r="D95" s="5" t="s">
        <v>250</v>
      </c>
      <c r="E95" s="15">
        <v>50.6678</v>
      </c>
      <c r="F95" s="15">
        <v>-123.47042500000001</v>
      </c>
      <c r="G95" s="6">
        <v>99</v>
      </c>
      <c r="H95" s="6">
        <v>89</v>
      </c>
      <c r="I95" s="6" t="s">
        <v>22</v>
      </c>
      <c r="J95" s="16">
        <v>656.90040010200858</v>
      </c>
      <c r="K95" s="14">
        <v>97.683961438932542</v>
      </c>
      <c r="L95" s="6" t="s">
        <v>22</v>
      </c>
      <c r="M95" s="15">
        <v>0.75</v>
      </c>
      <c r="N95" s="7">
        <v>66.571992187500001</v>
      </c>
      <c r="O95" s="7">
        <f>Table1[[#This Row],[R1 Length (km)]]+Table1[[#This Row],[T1 Length (km)]]</f>
        <v>67.321992187500001</v>
      </c>
      <c r="P95" s="9">
        <v>230</v>
      </c>
      <c r="Q95" s="7">
        <f>(Table1[[#This Row],[Linear Features (km)]]*0.4)*100</f>
        <v>2692.8796875000003</v>
      </c>
      <c r="R95" s="7">
        <v>26.5</v>
      </c>
      <c r="S95" s="8">
        <f>Table1[[#This Row],[ATG (ha)]]/Table1[[#This Row],[Linear Area (ha)]]</f>
        <v>9.8407664193129671E-3</v>
      </c>
      <c r="T95" s="9" t="s">
        <v>22</v>
      </c>
      <c r="U95" s="9" t="s">
        <v>22</v>
      </c>
      <c r="V95" s="7" t="s">
        <v>22</v>
      </c>
      <c r="W95" s="7" t="s">
        <v>22</v>
      </c>
      <c r="X95" s="11">
        <v>833.52051243185997</v>
      </c>
      <c r="Y95" s="10">
        <f>Table1[[#This Row],[Raw Terrestrial Score]]/Table1[[#This Row],[Summed Raw Scores]]</f>
        <v>0.3303788881554176</v>
      </c>
      <c r="Z95" s="11">
        <v>1689.40253838897</v>
      </c>
      <c r="AA95" s="10">
        <f>Table1[[#This Row],[Raw Freshwater Score]]/Table1[[#This Row],[Summed Raw Scores]]</f>
        <v>0.66962111184458228</v>
      </c>
      <c r="AB95" s="10">
        <f>Table1[[#This Row],[Raw Terrestrial Score]]+Table1[[#This Row],[Raw Freshwater Score]]</f>
        <v>2522.9230508208302</v>
      </c>
      <c r="AC95" s="12">
        <f>Table1[[#This Row],[Terrestrial % of Summed Score]]*Table1[[#This Row],[Scaled Summed Score]]</f>
        <v>0.16523780758586373</v>
      </c>
      <c r="AD95" s="12">
        <f>Table1[[#This Row],[Freshwater % of Summed Score]]*Table1[[#This Row],[Scaled Summed Score]]</f>
        <v>0.33490858042465638</v>
      </c>
      <c r="AE95" s="12">
        <f>Table1[[#This Row],[Summed Raw Scores]]/MAX(Table1[Summed Raw Scores])</f>
        <v>0.50014638801052014</v>
      </c>
      <c r="AF95" s="7"/>
    </row>
    <row r="96" spans="1:32" x14ac:dyDescent="0.3">
      <c r="A96" s="5" t="s">
        <v>46</v>
      </c>
      <c r="B96" s="5" t="s">
        <v>42</v>
      </c>
      <c r="C96" s="5" t="s">
        <v>21</v>
      </c>
      <c r="D96" s="5" t="s">
        <v>250</v>
      </c>
      <c r="E96" s="13">
        <v>49.311390001299998</v>
      </c>
      <c r="F96" s="13">
        <v>-125.72295</v>
      </c>
      <c r="G96" s="6">
        <v>500</v>
      </c>
      <c r="H96" s="6" t="s">
        <v>22</v>
      </c>
      <c r="I96" s="7">
        <v>408</v>
      </c>
      <c r="J96" s="5" t="s">
        <v>22</v>
      </c>
      <c r="K96" s="5" t="s">
        <v>22</v>
      </c>
      <c r="L96" s="14">
        <v>193.71809398773007</v>
      </c>
      <c r="M96" s="13">
        <v>1.9727923584</v>
      </c>
      <c r="N96" s="7">
        <v>82.961731573007143</v>
      </c>
      <c r="O96" s="7">
        <f>Table1[[#This Row],[R1 Length (km)]]+Table1[[#This Row],[T1 Length (km)]]</f>
        <v>84.934523931407142</v>
      </c>
      <c r="P96" s="9">
        <v>500</v>
      </c>
      <c r="Q96" s="7">
        <f>(Table1[[#This Row],[Linear Features (km)]]*0.4)*100</f>
        <v>3397.3809572562859</v>
      </c>
      <c r="R96" s="7">
        <v>74.47</v>
      </c>
      <c r="S96" s="8">
        <f>Table1[[#This Row],[ATG (ha)]]/Table1[[#This Row],[Linear Area (ha)]]</f>
        <v>2.1919826165194538E-2</v>
      </c>
      <c r="T96" s="9" t="s">
        <v>22</v>
      </c>
      <c r="U96" s="9" t="s">
        <v>22</v>
      </c>
      <c r="V96" s="7" t="s">
        <v>22</v>
      </c>
      <c r="W96" s="7" t="s">
        <v>22</v>
      </c>
      <c r="X96" s="11">
        <v>783.49370205309197</v>
      </c>
      <c r="Y96" s="10">
        <f>Table1[[#This Row],[Raw Terrestrial Score]]/Table1[[#This Row],[Summed Raw Scores]]</f>
        <v>0.59129890402216856</v>
      </c>
      <c r="Z96" s="11">
        <v>541.544610589743</v>
      </c>
      <c r="AA96" s="10">
        <f>Table1[[#This Row],[Raw Freshwater Score]]/Table1[[#This Row],[Summed Raw Scores]]</f>
        <v>0.40870109597783133</v>
      </c>
      <c r="AB96" s="10">
        <f>Table1[[#This Row],[Raw Terrestrial Score]]+Table1[[#This Row],[Raw Freshwater Score]]</f>
        <v>1325.0383126428351</v>
      </c>
      <c r="AC96" s="12">
        <f>Table1[[#This Row],[Terrestrial % of Summed Score]]*Table1[[#This Row],[Scaled Summed Score]]</f>
        <v>0.15532045061118802</v>
      </c>
      <c r="AD96" s="12">
        <f>Table1[[#This Row],[Freshwater % of Summed Score]]*Table1[[#This Row],[Scaled Summed Score]]</f>
        <v>0.10735625917917012</v>
      </c>
      <c r="AE96" s="12">
        <f>Table1[[#This Row],[Summed Raw Scores]]/MAX(Table1[Summed Raw Scores])</f>
        <v>0.26267670979035818</v>
      </c>
      <c r="AF96" s="7"/>
    </row>
    <row r="97" spans="1:32" x14ac:dyDescent="0.3">
      <c r="A97" s="5" t="s">
        <v>52</v>
      </c>
      <c r="B97" s="5" t="s">
        <v>53</v>
      </c>
      <c r="C97" s="5" t="s">
        <v>32</v>
      </c>
      <c r="D97" s="5" t="s">
        <v>250</v>
      </c>
      <c r="E97" s="6">
        <v>50.371716999999997</v>
      </c>
      <c r="F97" s="6">
        <v>-122.7530678</v>
      </c>
      <c r="G97" s="6">
        <v>15.82</v>
      </c>
      <c r="H97" s="6" t="s">
        <v>22</v>
      </c>
      <c r="I97" s="6">
        <v>2</v>
      </c>
      <c r="J97" s="6">
        <v>37</v>
      </c>
      <c r="K97" s="6">
        <v>86.53</v>
      </c>
      <c r="L97" s="6" t="s">
        <v>22</v>
      </c>
      <c r="M97" s="6">
        <f>200.000000002/1000</f>
        <v>0.20000000000199999</v>
      </c>
      <c r="N97" s="6">
        <f>5234.07068874/1000</f>
        <v>5.2340706887400001</v>
      </c>
      <c r="O97" s="6">
        <f>Table1[[#This Row],[R1 Length (km)]]+Table1[[#This Row],[T1 Length (km)]]</f>
        <v>5.4340706887420005</v>
      </c>
      <c r="P97" s="5">
        <v>69</v>
      </c>
      <c r="Q97" s="6">
        <f>(Table1[[#This Row],[Linear Features (km)]]*0.4)*100</f>
        <v>217.36282754968005</v>
      </c>
      <c r="R97" s="7">
        <v>6.85</v>
      </c>
      <c r="S97" s="8">
        <f>Table1[[#This Row],[ATG (ha)]]/Table1[[#This Row],[Linear Area (ha)]]</f>
        <v>3.1514128138742471E-2</v>
      </c>
      <c r="T97" s="9" t="s">
        <v>22</v>
      </c>
      <c r="U97" s="9" t="s">
        <v>22</v>
      </c>
      <c r="V97" s="7" t="s">
        <v>22</v>
      </c>
      <c r="W97" s="7" t="s">
        <v>22</v>
      </c>
      <c r="X97" s="11">
        <v>115.498947143555</v>
      </c>
      <c r="Y97" s="10">
        <f>Table1[[#This Row],[Raw Terrestrial Score]]/Table1[[#This Row],[Summed Raw Scores]]</f>
        <v>0.70575384217444515</v>
      </c>
      <c r="Z97" s="11">
        <v>48.154355525970502</v>
      </c>
      <c r="AA97" s="10">
        <f>Table1[[#This Row],[Raw Freshwater Score]]/Table1[[#This Row],[Summed Raw Scores]]</f>
        <v>0.29424615782555491</v>
      </c>
      <c r="AB97" s="10">
        <f>Table1[[#This Row],[Raw Terrestrial Score]]+Table1[[#This Row],[Raw Freshwater Score]]</f>
        <v>163.65330266952549</v>
      </c>
      <c r="AC97" s="12">
        <f>Table1[[#This Row],[Terrestrial % of Summed Score]]*Table1[[#This Row],[Scaled Summed Score]]</f>
        <v>2.2896608445538119E-2</v>
      </c>
      <c r="AD97" s="12">
        <f>Table1[[#This Row],[Freshwater % of Summed Score]]*Table1[[#This Row],[Scaled Summed Score]]</f>
        <v>9.5461599494494308E-3</v>
      </c>
      <c r="AE97" s="12">
        <f>Table1[[#This Row],[Summed Raw Scores]]/MAX(Table1[Summed Raw Scores])</f>
        <v>3.2442768394987546E-2</v>
      </c>
      <c r="AF97" s="7"/>
    </row>
    <row r="98" spans="1:32" x14ac:dyDescent="0.3">
      <c r="A98" s="5" t="s">
        <v>54</v>
      </c>
      <c r="B98" s="5" t="s">
        <v>53</v>
      </c>
      <c r="C98" s="5" t="s">
        <v>32</v>
      </c>
      <c r="D98" s="5" t="s">
        <v>250</v>
      </c>
      <c r="E98" s="13">
        <v>49.712198797900001</v>
      </c>
      <c r="F98" s="13">
        <v>-122.750093851</v>
      </c>
      <c r="G98" s="6">
        <v>27.09</v>
      </c>
      <c r="H98" s="6" t="s">
        <v>22</v>
      </c>
      <c r="I98" s="6">
        <v>4</v>
      </c>
      <c r="J98" s="6">
        <v>78</v>
      </c>
      <c r="K98" s="6">
        <v>85.28</v>
      </c>
      <c r="L98" s="6" t="s">
        <v>22</v>
      </c>
      <c r="M98" s="13">
        <v>0.1</v>
      </c>
      <c r="N98" s="7">
        <v>65.222750000000005</v>
      </c>
      <c r="O98" s="7">
        <f>Table1[[#This Row],[R1 Length (km)]]+Table1[[#This Row],[T1 Length (km)]]</f>
        <v>65.322749999999999</v>
      </c>
      <c r="P98" s="9">
        <v>69</v>
      </c>
      <c r="Q98" s="7">
        <f>(Table1[[#This Row],[Linear Features (km)]]*0.4)*100</f>
        <v>2612.9100000000003</v>
      </c>
      <c r="R98" s="7">
        <v>5.01</v>
      </c>
      <c r="S98" s="8">
        <f>Table1[[#This Row],[ATG (ha)]]/Table1[[#This Row],[Linear Area (ha)]]</f>
        <v>1.9174024363640535E-3</v>
      </c>
      <c r="T98" s="9" t="s">
        <v>22</v>
      </c>
      <c r="U98" s="9" t="s">
        <v>22</v>
      </c>
      <c r="V98" s="7" t="s">
        <v>22</v>
      </c>
      <c r="W98" s="7" t="s">
        <v>22</v>
      </c>
      <c r="X98" s="11">
        <v>363.910695528612</v>
      </c>
      <c r="Y98" s="10">
        <f>Table1[[#This Row],[Raw Terrestrial Score]]/Table1[[#This Row],[Summed Raw Scores]]</f>
        <v>0.23011148267486645</v>
      </c>
      <c r="Z98" s="11">
        <v>1217.5431776046801</v>
      </c>
      <c r="AA98" s="10">
        <f>Table1[[#This Row],[Raw Freshwater Score]]/Table1[[#This Row],[Summed Raw Scores]]</f>
        <v>0.76988851732513353</v>
      </c>
      <c r="AB98" s="10">
        <f>Table1[[#This Row],[Raw Terrestrial Score]]+Table1[[#This Row],[Raw Freshwater Score]]</f>
        <v>1581.4538731332921</v>
      </c>
      <c r="AC98" s="12">
        <f>Table1[[#This Row],[Terrestrial % of Summed Score]]*Table1[[#This Row],[Scaled Summed Score]]</f>
        <v>7.2141962422442932E-2</v>
      </c>
      <c r="AD98" s="12">
        <f>Table1[[#This Row],[Freshwater % of Summed Score]]*Table1[[#This Row],[Scaled Summed Score]]</f>
        <v>0.24136678378982299</v>
      </c>
      <c r="AE98" s="12">
        <f>Table1[[#This Row],[Summed Raw Scores]]/MAX(Table1[Summed Raw Scores])</f>
        <v>0.31350874621226593</v>
      </c>
      <c r="AF98" s="7"/>
    </row>
    <row r="99" spans="1:32" x14ac:dyDescent="0.3">
      <c r="A99" s="5" t="s">
        <v>55</v>
      </c>
      <c r="B99" s="5" t="s">
        <v>53</v>
      </c>
      <c r="C99" s="5" t="s">
        <v>56</v>
      </c>
      <c r="D99" s="5" t="s">
        <v>250</v>
      </c>
      <c r="E99" s="13">
        <v>51.656905572900001</v>
      </c>
      <c r="F99" s="13">
        <v>-118.616383477</v>
      </c>
      <c r="G99" s="6">
        <v>49.27</v>
      </c>
      <c r="H99" s="6" t="s">
        <v>22</v>
      </c>
      <c r="I99" s="6">
        <v>7</v>
      </c>
      <c r="J99" s="6">
        <v>151</v>
      </c>
      <c r="K99" s="6">
        <v>84.37</v>
      </c>
      <c r="L99" s="6" t="s">
        <v>22</v>
      </c>
      <c r="M99" s="13">
        <v>0.14142135620100002</v>
      </c>
      <c r="N99" s="7">
        <v>4.7698486328124998</v>
      </c>
      <c r="O99" s="7">
        <f>Table1[[#This Row],[R1 Length (km)]]+Table1[[#This Row],[T1 Length (km)]]</f>
        <v>4.9112699890134994</v>
      </c>
      <c r="P99" s="9">
        <v>69</v>
      </c>
      <c r="Q99" s="7">
        <f>(Table1[[#This Row],[Linear Features (km)]]*0.4)*100</f>
        <v>196.45079956053999</v>
      </c>
      <c r="R99" s="7">
        <v>5.75</v>
      </c>
      <c r="S99" s="8">
        <f>Table1[[#This Row],[ATG (ha)]]/Table1[[#This Row],[Linear Area (ha)]]</f>
        <v>2.926941510476281E-2</v>
      </c>
      <c r="T99" s="9" t="s">
        <v>22</v>
      </c>
      <c r="U99" s="9" t="s">
        <v>22</v>
      </c>
      <c r="V99" s="7" t="s">
        <v>22</v>
      </c>
      <c r="W99" s="7" t="s">
        <v>22</v>
      </c>
      <c r="X99" s="11">
        <v>41.267023324966402</v>
      </c>
      <c r="Y99" s="10">
        <f>Table1[[#This Row],[Raw Terrestrial Score]]/Table1[[#This Row],[Summed Raw Scores]]</f>
        <v>0.54281012194854572</v>
      </c>
      <c r="Z99" s="11">
        <v>34.757762610912302</v>
      </c>
      <c r="AA99" s="10">
        <f>Table1[[#This Row],[Raw Freshwater Score]]/Table1[[#This Row],[Summed Raw Scores]]</f>
        <v>0.45718987805145433</v>
      </c>
      <c r="AB99" s="10">
        <f>Table1[[#This Row],[Raw Terrestrial Score]]+Table1[[#This Row],[Raw Freshwater Score]]</f>
        <v>76.024785935878697</v>
      </c>
      <c r="AC99" s="12">
        <f>Table1[[#This Row],[Terrestrial % of Summed Score]]*Table1[[#This Row],[Scaled Summed Score]]</f>
        <v>8.1808094199356477E-3</v>
      </c>
      <c r="AD99" s="12">
        <f>Table1[[#This Row],[Freshwater % of Summed Score]]*Table1[[#This Row],[Scaled Summed Score]]</f>
        <v>6.8904081000484892E-3</v>
      </c>
      <c r="AE99" s="12">
        <f>Table1[[#This Row],[Summed Raw Scores]]/MAX(Table1[Summed Raw Scores])</f>
        <v>1.5071217519984135E-2</v>
      </c>
      <c r="AF99" s="7"/>
    </row>
    <row r="100" spans="1:32" x14ac:dyDescent="0.3">
      <c r="A100" s="5" t="s">
        <v>184</v>
      </c>
      <c r="B100" s="5" t="s">
        <v>114</v>
      </c>
      <c r="C100" s="5" t="s">
        <v>25</v>
      </c>
      <c r="D100" s="5" t="s">
        <v>250</v>
      </c>
      <c r="E100" s="6">
        <v>51.005977790000003</v>
      </c>
      <c r="F100" s="6">
        <v>-120.4973311</v>
      </c>
      <c r="G100" s="6">
        <v>171</v>
      </c>
      <c r="H100" s="5" t="s">
        <v>22</v>
      </c>
      <c r="I100" s="6">
        <v>58.8</v>
      </c>
      <c r="J100" s="6">
        <v>613.38396</v>
      </c>
      <c r="K100" s="6">
        <v>86.696270973203369</v>
      </c>
      <c r="L100" s="6" t="s">
        <v>22</v>
      </c>
      <c r="M100" s="6">
        <v>0.3</v>
      </c>
      <c r="N100" s="6">
        <v>43.9</v>
      </c>
      <c r="O100" s="6">
        <f>Table1[[#This Row],[R1 Length (km)]]+Table1[[#This Row],[T1 Length (km)]]</f>
        <v>44.199999999999996</v>
      </c>
      <c r="P100" s="5">
        <v>230</v>
      </c>
      <c r="Q100" s="6">
        <f>(Table1[[#This Row],[Linear Features (km)]]*0.4)*100</f>
        <v>1768</v>
      </c>
      <c r="R100" s="7">
        <f>((PI()*(45^2))*Table1[[#This Row],[Number of Turbines - WIND]])/10000</f>
        <v>31.17245310524472</v>
      </c>
      <c r="S100" s="8">
        <f>Table1[[#This Row],[ATG (ha)]]/Table1[[#This Row],[Linear Area (ha)]]</f>
        <v>1.7631478000704026E-2</v>
      </c>
      <c r="T100" s="5" t="s">
        <v>115</v>
      </c>
      <c r="U100" s="5">
        <v>49</v>
      </c>
      <c r="V100" s="7" t="s">
        <v>22</v>
      </c>
      <c r="W100" s="7" t="s">
        <v>22</v>
      </c>
      <c r="X100" s="11">
        <f>657.657628266141+60.78119</f>
        <v>718.43881826614108</v>
      </c>
      <c r="Y100" s="10">
        <f>Table1[[#This Row],[Raw Terrestrial Score]]/Table1[[#This Row],[Summed Raw Scores]]</f>
        <v>0.35909962622703817</v>
      </c>
      <c r="Z100" s="11">
        <v>1282.228310838341</v>
      </c>
      <c r="AA100" s="10">
        <f>Table1[[#This Row],[Raw Freshwater Score]]/Table1[[#This Row],[Summed Raw Scores]]</f>
        <v>0.64090037377296183</v>
      </c>
      <c r="AB100" s="10">
        <f>Table1[[#This Row],[Raw Terrestrial Score]]+Table1[[#This Row],[Raw Freshwater Score]]</f>
        <v>2000.6671291044822</v>
      </c>
      <c r="AC100" s="12">
        <f>Table1[[#This Row],[Terrestrial % of Summed Score]]*Table1[[#This Row],[Scaled Summed Score]]</f>
        <v>0.14242391572166702</v>
      </c>
      <c r="AD100" s="12">
        <f>Table1[[#This Row],[Freshwater % of Summed Score]]*Table1[[#This Row],[Scaled Summed Score]]</f>
        <v>0.25419001901860622</v>
      </c>
      <c r="AE100" s="12">
        <f>Table1[[#This Row],[Summed Raw Scores]]/MAX(Table1[Summed Raw Scores])</f>
        <v>0.39661393474027323</v>
      </c>
      <c r="AF100" s="7"/>
    </row>
    <row r="101" spans="1:32" x14ac:dyDescent="0.3">
      <c r="A101" s="5" t="s">
        <v>185</v>
      </c>
      <c r="B101" s="5" t="s">
        <v>114</v>
      </c>
      <c r="C101" s="5" t="s">
        <v>25</v>
      </c>
      <c r="D101" s="5"/>
      <c r="E101" s="6">
        <v>50.930347140000002</v>
      </c>
      <c r="F101" s="6">
        <v>-121.1762619</v>
      </c>
      <c r="G101" s="6">
        <v>69</v>
      </c>
      <c r="H101" s="5" t="s">
        <v>22</v>
      </c>
      <c r="I101" s="6">
        <v>16.8</v>
      </c>
      <c r="J101" s="6">
        <v>169.12056000000001</v>
      </c>
      <c r="K101" s="6">
        <v>109.20568239922603</v>
      </c>
      <c r="L101" s="6" t="s">
        <v>22</v>
      </c>
      <c r="M101" s="6">
        <v>0.1</v>
      </c>
      <c r="N101" s="6">
        <v>35.428636718749999</v>
      </c>
      <c r="O101" s="6">
        <f>Table1[[#This Row],[R1 Length (km)]]+Table1[[#This Row],[T1 Length (km)]]</f>
        <v>35.528636718750001</v>
      </c>
      <c r="P101" s="5">
        <v>130</v>
      </c>
      <c r="Q101" s="6">
        <f>(Table1[[#This Row],[Linear Features (km)]]*0.4)*100</f>
        <v>1421.1454687500002</v>
      </c>
      <c r="R101" s="7">
        <f>((PI()*(45^2))*Table1[[#This Row],[Number of Turbines - WIND]])/10000</f>
        <v>8.906415172927062</v>
      </c>
      <c r="S101" s="8">
        <f>Table1[[#This Row],[ATG (ha)]]/Table1[[#This Row],[Linear Area (ha)]]</f>
        <v>6.2670679172350287E-3</v>
      </c>
      <c r="T101" s="5" t="s">
        <v>115</v>
      </c>
      <c r="U101" s="5">
        <v>14</v>
      </c>
      <c r="V101" s="7" t="s">
        <v>22</v>
      </c>
      <c r="W101" s="7" t="s">
        <v>22</v>
      </c>
      <c r="X101" s="11">
        <f>668.914031046443+42.80531</f>
        <v>711.71934104644299</v>
      </c>
      <c r="Y101" s="10">
        <f>Table1[[#This Row],[Raw Terrestrial Score]]/Table1[[#This Row],[Summed Raw Scores]]</f>
        <v>0.45284568964936811</v>
      </c>
      <c r="Z101" s="11">
        <v>859.94040379404998</v>
      </c>
      <c r="AA101" s="10">
        <f>Table1[[#This Row],[Raw Freshwater Score]]/Table1[[#This Row],[Summed Raw Scores]]</f>
        <v>0.54715431035063189</v>
      </c>
      <c r="AB101" s="10">
        <f>Table1[[#This Row],[Raw Terrestrial Score]]+Table1[[#This Row],[Raw Freshwater Score]]</f>
        <v>1571.659744840493</v>
      </c>
      <c r="AC101" s="12">
        <f>Table1[[#This Row],[Terrestrial % of Summed Score]]*Table1[[#This Row],[Scaled Summed Score]]</f>
        <v>0.1410918409048558</v>
      </c>
      <c r="AD101" s="12">
        <f>Table1[[#This Row],[Freshwater % of Summed Score]]*Table1[[#This Row],[Scaled Summed Score]]</f>
        <v>0.17047530907530892</v>
      </c>
      <c r="AE101" s="12">
        <f>Table1[[#This Row],[Summed Raw Scores]]/MAX(Table1[Summed Raw Scores])</f>
        <v>0.31156714998016471</v>
      </c>
      <c r="AF101" s="7"/>
    </row>
    <row r="102" spans="1:32" x14ac:dyDescent="0.3">
      <c r="A102" s="5" t="s">
        <v>186</v>
      </c>
      <c r="B102" s="5" t="s">
        <v>114</v>
      </c>
      <c r="C102" s="5" t="s">
        <v>25</v>
      </c>
      <c r="D102" s="5" t="s">
        <v>250</v>
      </c>
      <c r="E102" s="6">
        <v>51.02296982</v>
      </c>
      <c r="F102" s="6">
        <v>-121.1465226</v>
      </c>
      <c r="G102" s="6">
        <v>150</v>
      </c>
      <c r="H102" s="5" t="s">
        <v>22</v>
      </c>
      <c r="I102" s="6">
        <v>36.479999999999997</v>
      </c>
      <c r="J102" s="6">
        <v>392.26579199999998</v>
      </c>
      <c r="K102" s="6">
        <v>86.678770695404879</v>
      </c>
      <c r="L102" s="6" t="s">
        <v>22</v>
      </c>
      <c r="M102" s="6">
        <v>0.1</v>
      </c>
      <c r="N102" s="6">
        <v>43</v>
      </c>
      <c r="O102" s="6">
        <f>Table1[[#This Row],[R1 Length (km)]]+Table1[[#This Row],[T1 Length (km)]]</f>
        <v>43.1</v>
      </c>
      <c r="P102" s="5">
        <v>130</v>
      </c>
      <c r="Q102" s="6">
        <f>(Table1[[#This Row],[Linear Features (km)]]*0.4)*100</f>
        <v>1724.0000000000002</v>
      </c>
      <c r="R102" s="7">
        <f>((PI()*(45^2))*Table1[[#This Row],[Number of Turbines - WIND]])/10000</f>
        <v>19.085175370557995</v>
      </c>
      <c r="S102" s="8">
        <f>Table1[[#This Row],[ATG (ha)]]/Table1[[#This Row],[Linear Area (ha)]]</f>
        <v>1.1070287337910668E-2</v>
      </c>
      <c r="T102" s="5" t="s">
        <v>115</v>
      </c>
      <c r="U102" s="5">
        <v>30</v>
      </c>
      <c r="V102" s="7" t="s">
        <v>22</v>
      </c>
      <c r="W102" s="7" t="s">
        <v>22</v>
      </c>
      <c r="X102" s="11">
        <f>602.685322701931+104.7562</f>
        <v>707.44152270193104</v>
      </c>
      <c r="Y102" s="10">
        <f>Table1[[#This Row],[Raw Terrestrial Score]]/Table1[[#This Row],[Summed Raw Scores]]</f>
        <v>0.55653580867921582</v>
      </c>
      <c r="Z102" s="11">
        <v>563.71032713294005</v>
      </c>
      <c r="AA102" s="10">
        <f>Table1[[#This Row],[Raw Freshwater Score]]/Table1[[#This Row],[Summed Raw Scores]]</f>
        <v>0.44346419132078424</v>
      </c>
      <c r="AB102" s="10">
        <f>Table1[[#This Row],[Raw Terrestrial Score]]+Table1[[#This Row],[Raw Freshwater Score]]</f>
        <v>1271.151849834871</v>
      </c>
      <c r="AC102" s="12">
        <f>Table1[[#This Row],[Terrestrial % of Summed Score]]*Table1[[#This Row],[Scaled Summed Score]]</f>
        <v>0.14024380259751357</v>
      </c>
      <c r="AD102" s="12">
        <f>Table1[[#This Row],[Freshwater % of Summed Score]]*Table1[[#This Row],[Scaled Summed Score]]</f>
        <v>0.11175040947366213</v>
      </c>
      <c r="AE102" s="12">
        <f>Table1[[#This Row],[Summed Raw Scores]]/MAX(Table1[Summed Raw Scores])</f>
        <v>0.25199421207117567</v>
      </c>
      <c r="AF102" s="7"/>
    </row>
    <row r="103" spans="1:32" x14ac:dyDescent="0.3">
      <c r="A103" s="5" t="s">
        <v>187</v>
      </c>
      <c r="B103" s="5" t="s">
        <v>114</v>
      </c>
      <c r="C103" s="5" t="s">
        <v>25</v>
      </c>
      <c r="D103" s="5" t="s">
        <v>250</v>
      </c>
      <c r="E103" s="6">
        <v>50.631984799999998</v>
      </c>
      <c r="F103" s="6">
        <v>-121.1327119</v>
      </c>
      <c r="G103" s="6">
        <v>96</v>
      </c>
      <c r="H103" s="5" t="s">
        <v>22</v>
      </c>
      <c r="I103" s="6">
        <v>24</v>
      </c>
      <c r="J103" s="6">
        <v>279.7944</v>
      </c>
      <c r="K103" s="6">
        <v>84.949897322398115</v>
      </c>
      <c r="L103" s="6" t="s">
        <v>22</v>
      </c>
      <c r="M103" s="6">
        <v>2.2000000000000002</v>
      </c>
      <c r="N103" s="6">
        <v>28.8</v>
      </c>
      <c r="O103" s="6">
        <f>Table1[[#This Row],[R1 Length (km)]]+Table1[[#This Row],[T1 Length (km)]]</f>
        <v>31</v>
      </c>
      <c r="P103" s="5">
        <v>130</v>
      </c>
      <c r="Q103" s="6">
        <f>(Table1[[#This Row],[Linear Features (km)]]*0.4)*100</f>
        <v>1240</v>
      </c>
      <c r="R103" s="7">
        <f>((PI()*(45^2))*Table1[[#This Row],[Number of Turbines - WIND]])/10000</f>
        <v>12.723450247038663</v>
      </c>
      <c r="S103" s="8">
        <f>Table1[[#This Row],[ATG (ha)]]/Table1[[#This Row],[Linear Area (ha)]]</f>
        <v>1.0260846973418277E-2</v>
      </c>
      <c r="T103" s="5" t="s">
        <v>188</v>
      </c>
      <c r="U103" s="5">
        <v>20</v>
      </c>
      <c r="V103" s="7" t="s">
        <v>22</v>
      </c>
      <c r="W103" s="7" t="s">
        <v>22</v>
      </c>
      <c r="X103" s="11">
        <v>343.95881008822499</v>
      </c>
      <c r="Y103" s="10">
        <f>Table1[[#This Row],[Raw Terrestrial Score]]/Table1[[#This Row],[Summed Raw Scores]]</f>
        <v>0.55712478973985335</v>
      </c>
      <c r="Z103" s="11">
        <v>273.42317761480803</v>
      </c>
      <c r="AA103" s="10">
        <f>Table1[[#This Row],[Raw Freshwater Score]]/Table1[[#This Row],[Summed Raw Scores]]</f>
        <v>0.44287521026014665</v>
      </c>
      <c r="AB103" s="10">
        <f>Table1[[#This Row],[Raw Terrestrial Score]]+Table1[[#This Row],[Raw Freshwater Score]]</f>
        <v>617.38198770303302</v>
      </c>
      <c r="AC103" s="12">
        <f>Table1[[#This Row],[Terrestrial % of Summed Score]]*Table1[[#This Row],[Scaled Summed Score]]</f>
        <v>6.8186683868163359E-2</v>
      </c>
      <c r="AD103" s="12">
        <f>Table1[[#This Row],[Freshwater % of Summed Score]]*Table1[[#This Row],[Scaled Summed Score]]</f>
        <v>5.4203640748342746E-2</v>
      </c>
      <c r="AE103" s="12">
        <f>Table1[[#This Row],[Summed Raw Scores]]/MAX(Table1[Summed Raw Scores])</f>
        <v>0.1223903246165061</v>
      </c>
      <c r="AF103" s="7"/>
    </row>
    <row r="104" spans="1:32" x14ac:dyDescent="0.3">
      <c r="A104" s="5" t="s">
        <v>189</v>
      </c>
      <c r="B104" s="5" t="s">
        <v>114</v>
      </c>
      <c r="C104" s="5" t="s">
        <v>25</v>
      </c>
      <c r="D104" s="5" t="s">
        <v>250</v>
      </c>
      <c r="E104" s="6">
        <v>50.597885300000002</v>
      </c>
      <c r="F104" s="6">
        <v>-120.67581060000001</v>
      </c>
      <c r="G104" s="6">
        <v>144</v>
      </c>
      <c r="H104" s="5" t="s">
        <v>22</v>
      </c>
      <c r="I104" s="6">
        <v>34.799999999999997</v>
      </c>
      <c r="J104" s="6">
        <v>388.55417999999997</v>
      </c>
      <c r="K104" s="6">
        <v>81.42411060961723</v>
      </c>
      <c r="L104" s="6" t="s">
        <v>22</v>
      </c>
      <c r="M104" s="6">
        <v>0.3</v>
      </c>
      <c r="N104" s="6">
        <v>21</v>
      </c>
      <c r="O104" s="6">
        <f>Table1[[#This Row],[R1 Length (km)]]+Table1[[#This Row],[T1 Length (km)]]</f>
        <v>21.3</v>
      </c>
      <c r="P104" s="5">
        <v>130</v>
      </c>
      <c r="Q104" s="6">
        <f>(Table1[[#This Row],[Linear Features (km)]]*0.4)*100</f>
        <v>852.00000000000011</v>
      </c>
      <c r="R104" s="7">
        <f>((PI()*(45^2))*Table1[[#This Row],[Number of Turbines - WIND]])/10000</f>
        <v>18.449002858206061</v>
      </c>
      <c r="S104" s="8">
        <f>Table1[[#This Row],[ATG (ha)]]/Table1[[#This Row],[Linear Area (ha)]]</f>
        <v>2.1653759223246548E-2</v>
      </c>
      <c r="T104" s="5" t="s">
        <v>188</v>
      </c>
      <c r="U104" s="5">
        <v>29</v>
      </c>
      <c r="V104" s="7" t="s">
        <v>22</v>
      </c>
      <c r="W104" s="7" t="s">
        <v>22</v>
      </c>
      <c r="X104" s="11">
        <v>142.30765485856699</v>
      </c>
      <c r="Y104" s="10">
        <f>Table1[[#This Row],[Raw Terrestrial Score]]/Table1[[#This Row],[Summed Raw Scores]]</f>
        <v>0.53134064615684673</v>
      </c>
      <c r="Z104" s="11">
        <v>125.519878923893</v>
      </c>
      <c r="AA104" s="10">
        <f>Table1[[#This Row],[Raw Freshwater Score]]/Table1[[#This Row],[Summed Raw Scores]]</f>
        <v>0.46865935384315321</v>
      </c>
      <c r="AB104" s="10">
        <f>Table1[[#This Row],[Raw Terrestrial Score]]+Table1[[#This Row],[Raw Freshwater Score]]</f>
        <v>267.82753378246002</v>
      </c>
      <c r="AC104" s="12">
        <f>Table1[[#This Row],[Terrestrial % of Summed Score]]*Table1[[#This Row],[Scaled Summed Score]]</f>
        <v>2.8211189215859529E-2</v>
      </c>
      <c r="AD104" s="12">
        <f>Table1[[#This Row],[Freshwater % of Summed Score]]*Table1[[#This Row],[Scaled Summed Score]]</f>
        <v>2.4883166391808122E-2</v>
      </c>
      <c r="AE104" s="12">
        <f>Table1[[#This Row],[Summed Raw Scores]]/MAX(Table1[Summed Raw Scores])</f>
        <v>5.3094355607667655E-2</v>
      </c>
      <c r="AF104" s="7"/>
    </row>
    <row r="105" spans="1:32" x14ac:dyDescent="0.3">
      <c r="A105" s="5" t="s">
        <v>190</v>
      </c>
      <c r="B105" s="5" t="s">
        <v>114</v>
      </c>
      <c r="C105" s="5" t="s">
        <v>25</v>
      </c>
      <c r="D105" s="5" t="s">
        <v>250</v>
      </c>
      <c r="E105" s="6">
        <v>50.438525319999997</v>
      </c>
      <c r="F105" s="6">
        <v>-121.0431569</v>
      </c>
      <c r="G105" s="6">
        <v>129</v>
      </c>
      <c r="H105" s="5" t="s">
        <v>22</v>
      </c>
      <c r="I105" s="6">
        <v>31.2</v>
      </c>
      <c r="J105" s="6">
        <v>320.00280000000004</v>
      </c>
      <c r="K105" s="6">
        <v>89.222821877244428</v>
      </c>
      <c r="L105" s="6" t="s">
        <v>22</v>
      </c>
      <c r="M105" s="6">
        <v>1.6899497070299998</v>
      </c>
      <c r="N105" s="6">
        <v>17.96984765625</v>
      </c>
      <c r="O105" s="6">
        <f>Table1[[#This Row],[R1 Length (km)]]+Table1[[#This Row],[T1 Length (km)]]</f>
        <v>19.659797363279999</v>
      </c>
      <c r="P105" s="5">
        <v>130</v>
      </c>
      <c r="Q105" s="6">
        <f>(Table1[[#This Row],[Linear Features (km)]]*0.4)*100</f>
        <v>786.39189453120002</v>
      </c>
      <c r="R105" s="7">
        <f>((PI()*(45^2))*Table1[[#This Row],[Number of Turbines - WIND]])/10000</f>
        <v>16.54048532115026</v>
      </c>
      <c r="S105" s="8">
        <f>Table1[[#This Row],[ATG (ha)]]/Table1[[#This Row],[Linear Area (ha)]]</f>
        <v>2.1033387343101638E-2</v>
      </c>
      <c r="T105" s="5" t="s">
        <v>115</v>
      </c>
      <c r="U105" s="5">
        <v>26</v>
      </c>
      <c r="V105" s="7" t="s">
        <v>22</v>
      </c>
      <c r="W105" s="7" t="s">
        <v>22</v>
      </c>
      <c r="X105" s="11">
        <f>203.790025423281+62.93112</f>
        <v>266.72114542328103</v>
      </c>
      <c r="Y105" s="10">
        <f>Table1[[#This Row],[Raw Terrestrial Score]]/Table1[[#This Row],[Summed Raw Scores]]</f>
        <v>0.46316100301026752</v>
      </c>
      <c r="Z105" s="11">
        <v>309.15019022405158</v>
      </c>
      <c r="AA105" s="10">
        <f>Table1[[#This Row],[Raw Freshwater Score]]/Table1[[#This Row],[Summed Raw Scores]]</f>
        <v>0.53683899698973236</v>
      </c>
      <c r="AB105" s="10">
        <f>Table1[[#This Row],[Raw Terrestrial Score]]+Table1[[#This Row],[Raw Freshwater Score]]</f>
        <v>575.87133564733267</v>
      </c>
      <c r="AC105" s="12">
        <f>Table1[[#This Row],[Terrestrial % of Summed Score]]*Table1[[#This Row],[Scaled Summed Score]]</f>
        <v>5.2875024248591827E-2</v>
      </c>
      <c r="AD105" s="12">
        <f>Table1[[#This Row],[Freshwater % of Summed Score]]*Table1[[#This Row],[Scaled Summed Score]]</f>
        <v>6.1286193783444583E-2</v>
      </c>
      <c r="AE105" s="12">
        <f>Table1[[#This Row],[Summed Raw Scores]]/MAX(Table1[Summed Raw Scores])</f>
        <v>0.11416121803203642</v>
      </c>
      <c r="AF105" s="7"/>
    </row>
    <row r="106" spans="1:32" x14ac:dyDescent="0.3">
      <c r="A106" s="5" t="s">
        <v>191</v>
      </c>
      <c r="B106" s="5" t="s">
        <v>114</v>
      </c>
      <c r="C106" s="5" t="s">
        <v>25</v>
      </c>
      <c r="D106" s="5"/>
      <c r="E106" s="6">
        <v>50.360553060000001</v>
      </c>
      <c r="F106" s="6">
        <v>-120.57558160000001</v>
      </c>
      <c r="G106" s="6">
        <v>117</v>
      </c>
      <c r="H106" s="5" t="s">
        <v>22</v>
      </c>
      <c r="I106" s="6">
        <v>28.799999999999997</v>
      </c>
      <c r="J106" s="6">
        <v>291.07727999999997</v>
      </c>
      <c r="K106" s="6">
        <v>92.450222284973009</v>
      </c>
      <c r="L106" s="6" t="s">
        <v>22</v>
      </c>
      <c r="M106" s="6">
        <v>2.3071069335900001</v>
      </c>
      <c r="N106" s="6">
        <v>18.539697265625001</v>
      </c>
      <c r="O106" s="6">
        <f>Table1[[#This Row],[R1 Length (km)]]+Table1[[#This Row],[T1 Length (km)]]</f>
        <v>20.846804199215001</v>
      </c>
      <c r="P106" s="5">
        <v>130</v>
      </c>
      <c r="Q106" s="6">
        <f>(Table1[[#This Row],[Linear Features (km)]]*0.4)*100</f>
        <v>833.87216796860014</v>
      </c>
      <c r="R106" s="7">
        <f>((PI()*(45^2))*Table1[[#This Row],[Number of Turbines - WIND]])/10000</f>
        <v>15.268140296446392</v>
      </c>
      <c r="S106" s="8">
        <f>Table1[[#This Row],[ATG (ha)]]/Table1[[#This Row],[Linear Area (ha)]]</f>
        <v>1.8309929126956209E-2</v>
      </c>
      <c r="T106" s="5" t="s">
        <v>115</v>
      </c>
      <c r="U106" s="5">
        <v>24</v>
      </c>
      <c r="V106" s="7" t="s">
        <v>22</v>
      </c>
      <c r="W106" s="7" t="s">
        <v>22</v>
      </c>
      <c r="X106" s="11">
        <f>235.90833312273+108.8936</f>
        <v>344.80193312273002</v>
      </c>
      <c r="Y106" s="10">
        <f>Table1[[#This Row],[Raw Terrestrial Score]]/Table1[[#This Row],[Summed Raw Scores]]</f>
        <v>0.62283816491879329</v>
      </c>
      <c r="Z106" s="11">
        <v>208.79601983457769</v>
      </c>
      <c r="AA106" s="10">
        <f>Table1[[#This Row],[Raw Freshwater Score]]/Table1[[#This Row],[Summed Raw Scores]]</f>
        <v>0.37716183508120665</v>
      </c>
      <c r="AB106" s="10">
        <f>Table1[[#This Row],[Raw Terrestrial Score]]+Table1[[#This Row],[Raw Freshwater Score]]</f>
        <v>553.59795295730771</v>
      </c>
      <c r="AC106" s="12">
        <f>Table1[[#This Row],[Terrestrial % of Summed Score]]*Table1[[#This Row],[Scaled Summed Score]]</f>
        <v>6.8353825287803149E-2</v>
      </c>
      <c r="AD106" s="12">
        <f>Table1[[#This Row],[Freshwater % of Summed Score]]*Table1[[#This Row],[Scaled Summed Score]]</f>
        <v>4.1391898622219668E-2</v>
      </c>
      <c r="AE106" s="12">
        <f>Table1[[#This Row],[Summed Raw Scores]]/MAX(Table1[Summed Raw Scores])</f>
        <v>0.10974572391002282</v>
      </c>
      <c r="AF106" s="7"/>
    </row>
    <row r="107" spans="1:32" x14ac:dyDescent="0.3">
      <c r="A107" s="5" t="s">
        <v>192</v>
      </c>
      <c r="B107" s="5" t="s">
        <v>114</v>
      </c>
      <c r="C107" s="5" t="s">
        <v>25</v>
      </c>
      <c r="D107" s="5"/>
      <c r="E107" s="6">
        <v>50.337349539999998</v>
      </c>
      <c r="F107" s="6">
        <v>-120.2431879</v>
      </c>
      <c r="G107" s="6">
        <v>96</v>
      </c>
      <c r="H107" s="5" t="s">
        <v>22</v>
      </c>
      <c r="I107" s="6">
        <v>22.8</v>
      </c>
      <c r="J107" s="6">
        <v>233.51532</v>
      </c>
      <c r="K107" s="6">
        <v>95.607254920173048</v>
      </c>
      <c r="L107" s="6" t="s">
        <v>22</v>
      </c>
      <c r="M107" s="6">
        <v>0.66568542480500004</v>
      </c>
      <c r="N107" s="6">
        <v>22.027921875000001</v>
      </c>
      <c r="O107" s="6">
        <f>Table1[[#This Row],[R1 Length (km)]]+Table1[[#This Row],[T1 Length (km)]]</f>
        <v>22.693607299805002</v>
      </c>
      <c r="P107" s="5">
        <v>130</v>
      </c>
      <c r="Q107" s="6">
        <f>(Table1[[#This Row],[Linear Features (km)]]*0.4)*100</f>
        <v>907.74429199220015</v>
      </c>
      <c r="R107" s="7">
        <f>((PI()*(45^2))*Table1[[#This Row],[Number of Turbines - WIND]])/10000</f>
        <v>12.087277734686728</v>
      </c>
      <c r="S107" s="8">
        <f>Table1[[#This Row],[ATG (ha)]]/Table1[[#This Row],[Linear Area (ha)]]</f>
        <v>1.3315729816553436E-2</v>
      </c>
      <c r="T107" s="5" t="s">
        <v>115</v>
      </c>
      <c r="U107" s="5">
        <v>19</v>
      </c>
      <c r="V107" s="7" t="s">
        <v>22</v>
      </c>
      <c r="W107" s="7" t="s">
        <v>22</v>
      </c>
      <c r="X107" s="11">
        <f>347.154174506664+85.12455</f>
        <v>432.27872450666399</v>
      </c>
      <c r="Y107" s="10">
        <f>Table1[[#This Row],[Raw Terrestrial Score]]/Table1[[#This Row],[Summed Raw Scores]]</f>
        <v>0.64869219953987267</v>
      </c>
      <c r="Z107" s="11">
        <v>234.1062340503928</v>
      </c>
      <c r="AA107" s="10">
        <f>Table1[[#This Row],[Raw Freshwater Score]]/Table1[[#This Row],[Summed Raw Scores]]</f>
        <v>0.3513078004601275</v>
      </c>
      <c r="AB107" s="10">
        <f>Table1[[#This Row],[Raw Terrestrial Score]]+Table1[[#This Row],[Raw Freshwater Score]]</f>
        <v>666.38495855705673</v>
      </c>
      <c r="AC107" s="12">
        <f>Table1[[#This Row],[Terrestrial % of Summed Score]]*Table1[[#This Row],[Scaled Summed Score]]</f>
        <v>8.5695298001840142E-2</v>
      </c>
      <c r="AD107" s="12">
        <f>Table1[[#This Row],[Freshwater % of Summed Score]]*Table1[[#This Row],[Scaled Summed Score]]</f>
        <v>4.6409416780648603E-2</v>
      </c>
      <c r="AE107" s="12">
        <f>Table1[[#This Row],[Summed Raw Scores]]/MAX(Table1[Summed Raw Scores])</f>
        <v>0.13210471478248872</v>
      </c>
      <c r="AF107" s="7"/>
    </row>
    <row r="108" spans="1:32" x14ac:dyDescent="0.3">
      <c r="A108" s="5" t="s">
        <v>193</v>
      </c>
      <c r="B108" s="5" t="s">
        <v>114</v>
      </c>
      <c r="C108" s="5" t="s">
        <v>25</v>
      </c>
      <c r="D108" s="5" t="s">
        <v>250</v>
      </c>
      <c r="E108" s="6">
        <v>50.469392810000002</v>
      </c>
      <c r="F108" s="6">
        <v>-119.96195470000001</v>
      </c>
      <c r="G108" s="6">
        <v>117</v>
      </c>
      <c r="H108" s="5" t="s">
        <v>22</v>
      </c>
      <c r="I108" s="6">
        <v>27.599999999999998</v>
      </c>
      <c r="J108" s="6">
        <v>332.44200000000001</v>
      </c>
      <c r="K108" s="6">
        <v>80.465695323400553</v>
      </c>
      <c r="L108" s="6" t="s">
        <v>22</v>
      </c>
      <c r="M108" s="6">
        <v>0.3</v>
      </c>
      <c r="N108" s="6">
        <v>35</v>
      </c>
      <c r="O108" s="6">
        <f>Table1[[#This Row],[R1 Length (km)]]+Table1[[#This Row],[T1 Length (km)]]</f>
        <v>35.299999999999997</v>
      </c>
      <c r="P108" s="5">
        <v>130</v>
      </c>
      <c r="Q108" s="6">
        <f>(Table1[[#This Row],[Linear Features (km)]]*0.4)*100</f>
        <v>1412</v>
      </c>
      <c r="R108" s="7">
        <f>((PI()*(45^2))*Table1[[#This Row],[Number of Turbines - WIND]])/10000</f>
        <v>14.631967784094462</v>
      </c>
      <c r="S108" s="8">
        <f>Table1[[#This Row],[ATG (ha)]]/Table1[[#This Row],[Linear Area (ha)]]</f>
        <v>1.0362583416497494E-2</v>
      </c>
      <c r="T108" s="5" t="s">
        <v>115</v>
      </c>
      <c r="U108" s="5">
        <v>23</v>
      </c>
      <c r="V108" s="7" t="s">
        <v>22</v>
      </c>
      <c r="W108" s="7" t="s">
        <v>22</v>
      </c>
      <c r="X108" s="11">
        <f>508.861299294047+12.9929</f>
        <v>521.85419929404702</v>
      </c>
      <c r="Y108" s="10">
        <f>Table1[[#This Row],[Raw Terrestrial Score]]/Table1[[#This Row],[Summed Raw Scores]]</f>
        <v>0.55484291984811196</v>
      </c>
      <c r="Z108" s="11">
        <v>418.6898369115595</v>
      </c>
      <c r="AA108" s="10">
        <f>Table1[[#This Row],[Raw Freshwater Score]]/Table1[[#This Row],[Summed Raw Scores]]</f>
        <v>0.4451570801518881</v>
      </c>
      <c r="AB108" s="10">
        <f>Table1[[#This Row],[Raw Terrestrial Score]]+Table1[[#This Row],[Raw Freshwater Score]]</f>
        <v>940.54403620560652</v>
      </c>
      <c r="AC108" s="12">
        <f>Table1[[#This Row],[Terrestrial % of Summed Score]]*Table1[[#This Row],[Scaled Summed Score]]</f>
        <v>0.10345281547929992</v>
      </c>
      <c r="AD108" s="12">
        <f>Table1[[#This Row],[Freshwater % of Summed Score]]*Table1[[#This Row],[Scaled Summed Score]]</f>
        <v>8.3001425493298406E-2</v>
      </c>
      <c r="AE108" s="12">
        <f>Table1[[#This Row],[Summed Raw Scores]]/MAX(Table1[Summed Raw Scores])</f>
        <v>0.18645424097259833</v>
      </c>
      <c r="AF108" s="7"/>
    </row>
    <row r="109" spans="1:32" x14ac:dyDescent="0.3">
      <c r="A109" s="5" t="s">
        <v>194</v>
      </c>
      <c r="B109" s="5" t="s">
        <v>114</v>
      </c>
      <c r="C109" s="5" t="s">
        <v>87</v>
      </c>
      <c r="D109" s="5" t="s">
        <v>250</v>
      </c>
      <c r="E109" s="6">
        <v>50.614013720000003</v>
      </c>
      <c r="F109" s="6">
        <v>-119.4703877</v>
      </c>
      <c r="G109" s="6">
        <v>138</v>
      </c>
      <c r="H109" s="5" t="s">
        <v>22</v>
      </c>
      <c r="I109" s="6">
        <v>33.6</v>
      </c>
      <c r="J109" s="6">
        <v>366.44832000000002</v>
      </c>
      <c r="K109" s="6">
        <v>83.191183022405298</v>
      </c>
      <c r="L109" s="6" t="s">
        <v>22</v>
      </c>
      <c r="M109" s="6">
        <v>0.2</v>
      </c>
      <c r="N109" s="6">
        <v>18.899999999999999</v>
      </c>
      <c r="O109" s="6">
        <f>Table1[[#This Row],[R1 Length (km)]]+Table1[[#This Row],[T1 Length (km)]]</f>
        <v>19.099999999999998</v>
      </c>
      <c r="P109" s="5">
        <v>130</v>
      </c>
      <c r="Q109" s="6">
        <f>(Table1[[#This Row],[Linear Features (km)]]*0.4)*100</f>
        <v>764</v>
      </c>
      <c r="R109" s="7">
        <f>((PI()*(45^2))*Table1[[#This Row],[Number of Turbines - WIND]])/10000</f>
        <v>17.812830345854124</v>
      </c>
      <c r="S109" s="8">
        <f>Table1[[#This Row],[ATG (ha)]]/Table1[[#This Row],[Linear Area (ha)]]</f>
        <v>2.3315222965777649E-2</v>
      </c>
      <c r="T109" s="5" t="s">
        <v>115</v>
      </c>
      <c r="U109" s="5">
        <v>28</v>
      </c>
      <c r="V109" s="7" t="s">
        <v>22</v>
      </c>
      <c r="W109" s="7" t="s">
        <v>22</v>
      </c>
      <c r="X109" s="11">
        <f>80.2717117723078+10.7826</f>
        <v>91.054311772307798</v>
      </c>
      <c r="Y109" s="10">
        <f>Table1[[#This Row],[Raw Terrestrial Score]]/Table1[[#This Row],[Summed Raw Scores]]</f>
        <v>0.2025732871945175</v>
      </c>
      <c r="Z109" s="11">
        <v>358.43393533736401</v>
      </c>
      <c r="AA109" s="10">
        <f>Table1[[#This Row],[Raw Freshwater Score]]/Table1[[#This Row],[Summed Raw Scores]]</f>
        <v>0.7974267128054825</v>
      </c>
      <c r="AB109" s="10">
        <f>Table1[[#This Row],[Raw Terrestrial Score]]+Table1[[#This Row],[Raw Freshwater Score]]</f>
        <v>449.48824710967182</v>
      </c>
      <c r="AC109" s="12">
        <f>Table1[[#This Row],[Terrestrial % of Summed Score]]*Table1[[#This Row],[Scaled Summed Score]]</f>
        <v>1.8050683365426853E-2</v>
      </c>
      <c r="AD109" s="12">
        <f>Table1[[#This Row],[Freshwater % of Summed Score]]*Table1[[#This Row],[Scaled Summed Score]]</f>
        <v>7.1056244874790703E-2</v>
      </c>
      <c r="AE109" s="12">
        <f>Table1[[#This Row],[Summed Raw Scores]]/MAX(Table1[Summed Raw Scores])</f>
        <v>8.9106928240217556E-2</v>
      </c>
      <c r="AF109" s="7"/>
    </row>
    <row r="110" spans="1:32" x14ac:dyDescent="0.3">
      <c r="A110" s="5" t="s">
        <v>195</v>
      </c>
      <c r="B110" s="5" t="s">
        <v>114</v>
      </c>
      <c r="C110" s="5" t="s">
        <v>87</v>
      </c>
      <c r="D110" s="5" t="s">
        <v>250</v>
      </c>
      <c r="E110" s="6">
        <v>50.342679080000003</v>
      </c>
      <c r="F110" s="6">
        <v>-119.65686049999999</v>
      </c>
      <c r="G110" s="6">
        <v>186</v>
      </c>
      <c r="H110" s="5" t="s">
        <v>22</v>
      </c>
      <c r="I110" s="6">
        <v>44.4</v>
      </c>
      <c r="J110" s="6">
        <v>583.90218000000004</v>
      </c>
      <c r="K110" s="6">
        <v>73.214955174331507</v>
      </c>
      <c r="L110" s="6" t="s">
        <v>22</v>
      </c>
      <c r="M110" s="6">
        <v>0.1</v>
      </c>
      <c r="N110" s="6">
        <v>51.7</v>
      </c>
      <c r="O110" s="6">
        <f>Table1[[#This Row],[R1 Length (km)]]+Table1[[#This Row],[T1 Length (km)]]</f>
        <v>51.800000000000004</v>
      </c>
      <c r="P110" s="5">
        <v>230</v>
      </c>
      <c r="Q110" s="6">
        <f>(Table1[[#This Row],[Linear Features (km)]]*0.4)*100</f>
        <v>2072.0000000000005</v>
      </c>
      <c r="R110" s="7">
        <f>((PI()*(45^2))*Table1[[#This Row],[Number of Turbines - WIND]])/10000</f>
        <v>23.538382957021522</v>
      </c>
      <c r="S110" s="8">
        <f>Table1[[#This Row],[ATG (ha)]]/Table1[[#This Row],[Linear Area (ha)]]</f>
        <v>1.1360223434855944E-2</v>
      </c>
      <c r="T110" s="5" t="s">
        <v>115</v>
      </c>
      <c r="U110" s="5">
        <v>37</v>
      </c>
      <c r="V110" s="7" t="s">
        <v>22</v>
      </c>
      <c r="W110" s="7" t="s">
        <v>22</v>
      </c>
      <c r="X110" s="11">
        <f>435.98377745226+13.60593</f>
        <v>449.58970745225997</v>
      </c>
      <c r="Y110" s="10">
        <f>Table1[[#This Row],[Raw Terrestrial Score]]/Table1[[#This Row],[Summed Raw Scores]]</f>
        <v>0.7865506084538223</v>
      </c>
      <c r="Z110" s="11">
        <v>122.00696111564061</v>
      </c>
      <c r="AA110" s="10">
        <f>Table1[[#This Row],[Raw Freshwater Score]]/Table1[[#This Row],[Summed Raw Scores]]</f>
        <v>0.21344939154617776</v>
      </c>
      <c r="AB110" s="10">
        <f>Table1[[#This Row],[Raw Terrestrial Score]]+Table1[[#This Row],[Raw Freshwater Score]]</f>
        <v>571.59666856790056</v>
      </c>
      <c r="AC110" s="12">
        <f>Table1[[#This Row],[Terrestrial % of Summed Score]]*Table1[[#This Row],[Scaled Summed Score]]</f>
        <v>8.9127041823886019E-2</v>
      </c>
      <c r="AD110" s="12">
        <f>Table1[[#This Row],[Freshwater % of Summed Score]]*Table1[[#This Row],[Scaled Summed Score]]</f>
        <v>2.4186762610248616E-2</v>
      </c>
      <c r="AE110" s="12">
        <f>Table1[[#This Row],[Summed Raw Scores]]/MAX(Table1[Summed Raw Scores])</f>
        <v>0.11331380443413464</v>
      </c>
      <c r="AF110" s="7"/>
    </row>
    <row r="111" spans="1:32" x14ac:dyDescent="0.3">
      <c r="A111" s="5" t="s">
        <v>196</v>
      </c>
      <c r="B111" s="5" t="s">
        <v>114</v>
      </c>
      <c r="C111" s="5" t="s">
        <v>87</v>
      </c>
      <c r="D111" s="5" t="s">
        <v>250</v>
      </c>
      <c r="E111" s="6">
        <v>50.018305660000003</v>
      </c>
      <c r="F111" s="6">
        <v>-118.79677030000001</v>
      </c>
      <c r="G111" s="6">
        <v>162</v>
      </c>
      <c r="H111" s="5" t="s">
        <v>22</v>
      </c>
      <c r="I111" s="6">
        <v>56.4</v>
      </c>
      <c r="J111" s="6">
        <v>618.81515999999988</v>
      </c>
      <c r="K111" s="6">
        <v>85.512634441569176</v>
      </c>
      <c r="L111" s="6" t="s">
        <v>22</v>
      </c>
      <c r="M111" s="6">
        <v>1</v>
      </c>
      <c r="N111" s="6">
        <v>66.8</v>
      </c>
      <c r="O111" s="6">
        <f>Table1[[#This Row],[R1 Length (km)]]+Table1[[#This Row],[T1 Length (km)]]</f>
        <v>67.8</v>
      </c>
      <c r="P111" s="5">
        <v>230</v>
      </c>
      <c r="Q111" s="6">
        <f>(Table1[[#This Row],[Linear Features (km)]]*0.4)*100</f>
        <v>2712</v>
      </c>
      <c r="R111" s="7">
        <f>((PI()*(45^2))*Table1[[#This Row],[Number of Turbines - WIND]])/10000</f>
        <v>29.900108080540853</v>
      </c>
      <c r="S111" s="8">
        <f>Table1[[#This Row],[ATG (ha)]]/Table1[[#This Row],[Linear Area (ha)]]</f>
        <v>1.1025113599019488E-2</v>
      </c>
      <c r="T111" s="5" t="s">
        <v>115</v>
      </c>
      <c r="U111" s="5">
        <v>47</v>
      </c>
      <c r="V111" s="7" t="s">
        <v>22</v>
      </c>
      <c r="W111" s="7" t="s">
        <v>22</v>
      </c>
      <c r="X111" s="11">
        <f>998.466659545898+349.1881</f>
        <v>1347.6547595458981</v>
      </c>
      <c r="Y111" s="10">
        <f>Table1[[#This Row],[Raw Terrestrial Score]]/Table1[[#This Row],[Summed Raw Scores]]</f>
        <v>0.50484473841052657</v>
      </c>
      <c r="Z111" s="11">
        <v>1321.7892437508549</v>
      </c>
      <c r="AA111" s="10">
        <f>Table1[[#This Row],[Raw Freshwater Score]]/Table1[[#This Row],[Summed Raw Scores]]</f>
        <v>0.49515526158947337</v>
      </c>
      <c r="AB111" s="10">
        <f>Table1[[#This Row],[Raw Terrestrial Score]]+Table1[[#This Row],[Raw Freshwater Score]]</f>
        <v>2669.4440032967532</v>
      </c>
      <c r="AC111" s="12">
        <f>Table1[[#This Row],[Terrestrial % of Summed Score]]*Table1[[#This Row],[Scaled Summed Score]]</f>
        <v>0.26716021325056816</v>
      </c>
      <c r="AD111" s="12">
        <f>Table1[[#This Row],[Freshwater % of Summed Score]]*Table1[[#This Row],[Scaled Summed Score]]</f>
        <v>0.26203261163992408</v>
      </c>
      <c r="AE111" s="12">
        <f>Table1[[#This Row],[Summed Raw Scores]]/MAX(Table1[Summed Raw Scores])</f>
        <v>0.52919282489049224</v>
      </c>
      <c r="AF111" s="7"/>
    </row>
    <row r="112" spans="1:32" x14ac:dyDescent="0.3">
      <c r="A112" s="5" t="s">
        <v>197</v>
      </c>
      <c r="B112" s="5" t="s">
        <v>114</v>
      </c>
      <c r="C112" s="5" t="s">
        <v>87</v>
      </c>
      <c r="D112" s="5" t="s">
        <v>250</v>
      </c>
      <c r="E112" s="6">
        <v>50.190878660000003</v>
      </c>
      <c r="F112" s="6">
        <v>-119.67523540000001</v>
      </c>
      <c r="G112" s="6">
        <v>81</v>
      </c>
      <c r="H112" s="5" t="s">
        <v>22</v>
      </c>
      <c r="I112" s="6">
        <v>20.399999999999999</v>
      </c>
      <c r="J112" s="6">
        <v>258.37619999999998</v>
      </c>
      <c r="K112" s="6">
        <v>85.143636170844871</v>
      </c>
      <c r="L112" s="6" t="s">
        <v>22</v>
      </c>
      <c r="M112" s="6">
        <v>0.1</v>
      </c>
      <c r="N112" s="6">
        <v>36.799999999999997</v>
      </c>
      <c r="O112" s="6">
        <f>Table1[[#This Row],[R1 Length (km)]]+Table1[[#This Row],[T1 Length (km)]]</f>
        <v>36.9</v>
      </c>
      <c r="P112" s="5">
        <v>130</v>
      </c>
      <c r="Q112" s="6">
        <f>(Table1[[#This Row],[Linear Features (km)]]*0.4)*100</f>
        <v>1476</v>
      </c>
      <c r="R112" s="7">
        <f>((PI()*(45^2))*Table1[[#This Row],[Number of Turbines - WIND]])/10000</f>
        <v>10.814932709982862</v>
      </c>
      <c r="S112" s="8">
        <f>Table1[[#This Row],[ATG (ha)]]/Table1[[#This Row],[Linear Area (ha)]]</f>
        <v>7.3271901829152185E-3</v>
      </c>
      <c r="T112" s="5" t="s">
        <v>115</v>
      </c>
      <c r="U112" s="5">
        <v>17</v>
      </c>
      <c r="V112" s="7" t="s">
        <v>22</v>
      </c>
      <c r="W112" s="7" t="s">
        <v>22</v>
      </c>
      <c r="X112" s="11">
        <f>543.637012104504+11.25231</f>
        <v>554.889322104504</v>
      </c>
      <c r="Y112" s="10">
        <f>Table1[[#This Row],[Raw Terrestrial Score]]/Table1[[#This Row],[Summed Raw Scores]]</f>
        <v>0.72556103560991425</v>
      </c>
      <c r="Z112" s="11">
        <v>209.88344665099871</v>
      </c>
      <c r="AA112" s="10">
        <f>Table1[[#This Row],[Raw Freshwater Score]]/Table1[[#This Row],[Summed Raw Scores]]</f>
        <v>0.27443896439008575</v>
      </c>
      <c r="AB112" s="10">
        <f>Table1[[#This Row],[Raw Terrestrial Score]]+Table1[[#This Row],[Raw Freshwater Score]]</f>
        <v>764.77276875550274</v>
      </c>
      <c r="AC112" s="12">
        <f>Table1[[#This Row],[Terrestrial % of Summed Score]]*Table1[[#This Row],[Scaled Summed Score]]</f>
        <v>0.11000172601613079</v>
      </c>
      <c r="AD112" s="12">
        <f>Table1[[#This Row],[Freshwater % of Summed Score]]*Table1[[#This Row],[Scaled Summed Score]]</f>
        <v>4.1607471029107695E-2</v>
      </c>
      <c r="AE112" s="12">
        <f>Table1[[#This Row],[Summed Raw Scores]]/MAX(Table1[Summed Raw Scores])</f>
        <v>0.15160919704523848</v>
      </c>
      <c r="AF112" s="7"/>
    </row>
    <row r="113" spans="1:32" x14ac:dyDescent="0.3">
      <c r="A113" s="5" t="s">
        <v>198</v>
      </c>
      <c r="B113" s="5" t="s">
        <v>114</v>
      </c>
      <c r="C113" s="5" t="s">
        <v>25</v>
      </c>
      <c r="D113" s="5" t="s">
        <v>250</v>
      </c>
      <c r="E113" s="6">
        <v>50.09076254</v>
      </c>
      <c r="F113" s="6">
        <v>-119.7530118</v>
      </c>
      <c r="G113" s="6">
        <v>303</v>
      </c>
      <c r="H113" s="5" t="s">
        <v>22</v>
      </c>
      <c r="I113" s="6">
        <v>73.2</v>
      </c>
      <c r="J113" s="6">
        <v>902.53403999999989</v>
      </c>
      <c r="K113" s="6">
        <v>75.242059453167954</v>
      </c>
      <c r="L113" s="6" t="s">
        <v>22</v>
      </c>
      <c r="M113" s="6">
        <v>0</v>
      </c>
      <c r="N113" s="6">
        <v>79.900000000000006</v>
      </c>
      <c r="O113" s="6">
        <f>Table1[[#This Row],[R1 Length (km)]]+Table1[[#This Row],[T1 Length (km)]]</f>
        <v>79.900000000000006</v>
      </c>
      <c r="P113" s="5">
        <v>230</v>
      </c>
      <c r="Q113" s="6">
        <f>(Table1[[#This Row],[Linear Features (km)]]*0.4)*100</f>
        <v>3196.0000000000005</v>
      </c>
      <c r="R113" s="7">
        <f>((PI()*(45^2))*Table1[[#This Row],[Number of Turbines - WIND]])/10000</f>
        <v>38.806523253467915</v>
      </c>
      <c r="S113" s="8">
        <f>Table1[[#This Row],[ATG (ha)]]/Table1[[#This Row],[Linear Area (ha)]]</f>
        <v>1.2142216287067556E-2</v>
      </c>
      <c r="T113" s="5" t="s">
        <v>115</v>
      </c>
      <c r="U113" s="5">
        <v>61</v>
      </c>
      <c r="V113" s="7" t="s">
        <v>22</v>
      </c>
      <c r="W113" s="7" t="s">
        <v>22</v>
      </c>
      <c r="X113" s="11">
        <f>824.101459652185+92.51847</f>
        <v>916.61992965218496</v>
      </c>
      <c r="Y113" s="10">
        <f>Table1[[#This Row],[Raw Terrestrial Score]]/Table1[[#This Row],[Summed Raw Scores]]</f>
        <v>0.54215276109081145</v>
      </c>
      <c r="Z113" s="11">
        <v>774.08423241450907</v>
      </c>
      <c r="AA113" s="10">
        <f>Table1[[#This Row],[Raw Freshwater Score]]/Table1[[#This Row],[Summed Raw Scores]]</f>
        <v>0.45784723890918849</v>
      </c>
      <c r="AB113" s="10">
        <f>Table1[[#This Row],[Raw Terrestrial Score]]+Table1[[#This Row],[Raw Freshwater Score]]</f>
        <v>1690.7041620666942</v>
      </c>
      <c r="AC113" s="12">
        <f>Table1[[#This Row],[Terrestrial % of Summed Score]]*Table1[[#This Row],[Scaled Summed Score]]</f>
        <v>0.1817115059632291</v>
      </c>
      <c r="AD113" s="12">
        <f>Table1[[#This Row],[Freshwater % of Summed Score]]*Table1[[#This Row],[Scaled Summed Score]]</f>
        <v>0.15345510943429375</v>
      </c>
      <c r="AE113" s="12">
        <f>Table1[[#This Row],[Summed Raw Scores]]/MAX(Table1[Summed Raw Scores])</f>
        <v>0.33516661539752285</v>
      </c>
      <c r="AF113" s="7"/>
    </row>
    <row r="114" spans="1:32" x14ac:dyDescent="0.3">
      <c r="A114" s="5" t="s">
        <v>199</v>
      </c>
      <c r="B114" s="5" t="s">
        <v>114</v>
      </c>
      <c r="C114" s="5" t="s">
        <v>25</v>
      </c>
      <c r="D114" s="5" t="s">
        <v>250</v>
      </c>
      <c r="E114" s="6">
        <v>51.20302839</v>
      </c>
      <c r="F114" s="6">
        <v>-122.80802730000001</v>
      </c>
      <c r="G114" s="6">
        <v>117</v>
      </c>
      <c r="H114" s="5" t="s">
        <v>22</v>
      </c>
      <c r="I114" s="6">
        <v>27.599999999999998</v>
      </c>
      <c r="J114" s="6">
        <v>349.46706</v>
      </c>
      <c r="K114" s="6">
        <v>91.343677990623945</v>
      </c>
      <c r="L114" s="6" t="s">
        <v>22</v>
      </c>
      <c r="M114" s="6">
        <v>2.7</v>
      </c>
      <c r="N114" s="6">
        <v>69.8</v>
      </c>
      <c r="O114" s="6">
        <f>Table1[[#This Row],[R1 Length (km)]]+Table1[[#This Row],[T1 Length (km)]]</f>
        <v>72.5</v>
      </c>
      <c r="P114" s="5">
        <v>230</v>
      </c>
      <c r="Q114" s="6">
        <f>(Table1[[#This Row],[Linear Features (km)]]*0.4)*100</f>
        <v>2900</v>
      </c>
      <c r="R114" s="7">
        <v>14.63</v>
      </c>
      <c r="S114" s="8">
        <f>Table1[[#This Row],[ATG (ha)]]/Table1[[#This Row],[Linear Area (ha)]]</f>
        <v>5.0448275862068973E-3</v>
      </c>
      <c r="T114" s="5" t="s">
        <v>136</v>
      </c>
      <c r="U114" s="9" t="s">
        <v>22</v>
      </c>
      <c r="V114" s="7" t="s">
        <v>22</v>
      </c>
      <c r="W114" s="7" t="s">
        <v>22</v>
      </c>
      <c r="X114" s="11">
        <v>784.87793678045296</v>
      </c>
      <c r="Y114" s="10">
        <f>Table1[[#This Row],[Raw Terrestrial Score]]/Table1[[#This Row],[Summed Raw Scores]]</f>
        <v>0.51196589733018916</v>
      </c>
      <c r="Z114" s="11">
        <v>748.18889613449596</v>
      </c>
      <c r="AA114" s="10">
        <f>Table1[[#This Row],[Raw Freshwater Score]]/Table1[[#This Row],[Summed Raw Scores]]</f>
        <v>0.48803410266981084</v>
      </c>
      <c r="AB114" s="10">
        <f>Table1[[#This Row],[Raw Terrestrial Score]]+Table1[[#This Row],[Raw Freshwater Score]]</f>
        <v>1533.0668329149489</v>
      </c>
      <c r="AC114" s="12">
        <f>Table1[[#This Row],[Terrestrial % of Summed Score]]*Table1[[#This Row],[Scaled Summed Score]]</f>
        <v>0.15559486246803125</v>
      </c>
      <c r="AD114" s="12">
        <f>Table1[[#This Row],[Freshwater % of Summed Score]]*Table1[[#This Row],[Scaled Summed Score]]</f>
        <v>0.14832159618562266</v>
      </c>
      <c r="AE114" s="12">
        <f>Table1[[#This Row],[Summed Raw Scores]]/MAX(Table1[Summed Raw Scores])</f>
        <v>0.30391645865365391</v>
      </c>
      <c r="AF114" s="7"/>
    </row>
    <row r="115" spans="1:32" x14ac:dyDescent="0.3">
      <c r="A115" s="5" t="s">
        <v>200</v>
      </c>
      <c r="B115" s="5" t="s">
        <v>114</v>
      </c>
      <c r="C115" s="5" t="s">
        <v>25</v>
      </c>
      <c r="D115" s="5" t="s">
        <v>250</v>
      </c>
      <c r="E115" s="6">
        <v>51.175719659999999</v>
      </c>
      <c r="F115" s="6">
        <v>-122.474124</v>
      </c>
      <c r="G115" s="6">
        <v>54</v>
      </c>
      <c r="H115" s="5" t="s">
        <v>22</v>
      </c>
      <c r="I115" s="6">
        <v>13.2</v>
      </c>
      <c r="J115" s="6">
        <v>160.05395999999999</v>
      </c>
      <c r="K115" s="6">
        <v>89.798275246286522</v>
      </c>
      <c r="L115" s="6" t="s">
        <v>22</v>
      </c>
      <c r="M115" s="6">
        <v>2.6</v>
      </c>
      <c r="N115" s="6">
        <v>38.5</v>
      </c>
      <c r="O115" s="6">
        <f>Table1[[#This Row],[R1 Length (km)]]+Table1[[#This Row],[T1 Length (km)]]</f>
        <v>41.1</v>
      </c>
      <c r="P115" s="5">
        <v>69</v>
      </c>
      <c r="Q115" s="6">
        <f>(Table1[[#This Row],[Linear Features (km)]]*0.4)*100</f>
        <v>1644.0000000000002</v>
      </c>
      <c r="R115" s="7">
        <v>7</v>
      </c>
      <c r="S115" s="8">
        <f>Table1[[#This Row],[ATG (ha)]]/Table1[[#This Row],[Linear Area (ha)]]</f>
        <v>4.2579075425790746E-3</v>
      </c>
      <c r="T115" s="5" t="s">
        <v>136</v>
      </c>
      <c r="U115" s="9" t="s">
        <v>22</v>
      </c>
      <c r="V115" s="7" t="s">
        <v>22</v>
      </c>
      <c r="W115" s="7" t="s">
        <v>22</v>
      </c>
      <c r="X115" s="11">
        <v>240.34546804428101</v>
      </c>
      <c r="Y115" s="10">
        <f>Table1[[#This Row],[Raw Terrestrial Score]]/Table1[[#This Row],[Summed Raw Scores]]</f>
        <v>0.44514102196366695</v>
      </c>
      <c r="Z115" s="11">
        <v>299.58560140430899</v>
      </c>
      <c r="AA115" s="10">
        <f>Table1[[#This Row],[Raw Freshwater Score]]/Table1[[#This Row],[Summed Raw Scores]]</f>
        <v>0.55485897803633299</v>
      </c>
      <c r="AB115" s="10">
        <f>Table1[[#This Row],[Raw Terrestrial Score]]+Table1[[#This Row],[Raw Freshwater Score]]</f>
        <v>539.93106944859005</v>
      </c>
      <c r="AC115" s="12">
        <f>Table1[[#This Row],[Terrestrial % of Summed Score]]*Table1[[#This Row],[Scaled Summed Score]]</f>
        <v>4.7646287776369367E-2</v>
      </c>
      <c r="AD115" s="12">
        <f>Table1[[#This Row],[Freshwater % of Summed Score]]*Table1[[#This Row],[Scaled Summed Score]]</f>
        <v>5.9390101649582756E-2</v>
      </c>
      <c r="AE115" s="12">
        <f>Table1[[#This Row],[Summed Raw Scores]]/MAX(Table1[Summed Raw Scores])</f>
        <v>0.10703638942595213</v>
      </c>
      <c r="AF115" s="7"/>
    </row>
    <row r="116" spans="1:32" x14ac:dyDescent="0.3">
      <c r="A116" s="5" t="s">
        <v>201</v>
      </c>
      <c r="B116" s="5" t="s">
        <v>114</v>
      </c>
      <c r="C116" s="5" t="s">
        <v>25</v>
      </c>
      <c r="D116" s="5" t="s">
        <v>250</v>
      </c>
      <c r="E116" s="6">
        <v>51.025660500000001</v>
      </c>
      <c r="F116" s="6">
        <v>-122.15500520000001</v>
      </c>
      <c r="G116" s="6">
        <v>39</v>
      </c>
      <c r="H116" s="5" t="s">
        <v>22</v>
      </c>
      <c r="I116" s="6">
        <v>9.6</v>
      </c>
      <c r="J116" s="6">
        <v>124.21679999999999</v>
      </c>
      <c r="K116" s="6">
        <v>88.564118456528348</v>
      </c>
      <c r="L116" s="6" t="s">
        <v>22</v>
      </c>
      <c r="M116" s="6">
        <v>1.1000000000000001</v>
      </c>
      <c r="N116" s="6">
        <v>30</v>
      </c>
      <c r="O116" s="6">
        <f>Table1[[#This Row],[R1 Length (km)]]+Table1[[#This Row],[T1 Length (km)]]</f>
        <v>31.1</v>
      </c>
      <c r="P116" s="5">
        <v>69</v>
      </c>
      <c r="Q116" s="6">
        <f>(Table1[[#This Row],[Linear Features (km)]]*0.4)*100</f>
        <v>1244.0000000000002</v>
      </c>
      <c r="R116" s="7">
        <v>5.09</v>
      </c>
      <c r="S116" s="8">
        <f>Table1[[#This Row],[ATG (ha)]]/Table1[[#This Row],[Linear Area (ha)]]</f>
        <v>4.0916398713826355E-3</v>
      </c>
      <c r="T116" s="5" t="s">
        <v>136</v>
      </c>
      <c r="U116" s="9" t="s">
        <v>22</v>
      </c>
      <c r="V116" s="7" t="s">
        <v>22</v>
      </c>
      <c r="W116" s="7" t="s">
        <v>22</v>
      </c>
      <c r="X116" s="11">
        <v>334.53487586975098</v>
      </c>
      <c r="Y116" s="10">
        <f>Table1[[#This Row],[Raw Terrestrial Score]]/Table1[[#This Row],[Summed Raw Scores]]</f>
        <v>0.53355556999720477</v>
      </c>
      <c r="Z116" s="11">
        <v>292.45675289630901</v>
      </c>
      <c r="AA116" s="10">
        <f>Table1[[#This Row],[Raw Freshwater Score]]/Table1[[#This Row],[Summed Raw Scores]]</f>
        <v>0.46644443000279517</v>
      </c>
      <c r="AB116" s="10">
        <f>Table1[[#This Row],[Raw Terrestrial Score]]+Table1[[#This Row],[Raw Freshwater Score]]</f>
        <v>626.99162876605999</v>
      </c>
      <c r="AC116" s="12">
        <f>Table1[[#This Row],[Terrestrial % of Summed Score]]*Table1[[#This Row],[Scaled Summed Score]]</f>
        <v>6.6318475220783074E-2</v>
      </c>
      <c r="AD116" s="12">
        <f>Table1[[#This Row],[Freshwater % of Summed Score]]*Table1[[#This Row],[Scaled Summed Score]]</f>
        <v>5.797687272419387E-2</v>
      </c>
      <c r="AE116" s="12">
        <f>Table1[[#This Row],[Summed Raw Scores]]/MAX(Table1[Summed Raw Scores])</f>
        <v>0.12429534794497694</v>
      </c>
      <c r="AF116" s="7"/>
    </row>
    <row r="117" spans="1:32" x14ac:dyDescent="0.3">
      <c r="A117" s="5" t="s">
        <v>202</v>
      </c>
      <c r="B117" s="5" t="s">
        <v>114</v>
      </c>
      <c r="C117" s="5" t="s">
        <v>25</v>
      </c>
      <c r="D117" s="5" t="s">
        <v>250</v>
      </c>
      <c r="E117" s="6">
        <v>50.762156240000003</v>
      </c>
      <c r="F117" s="6">
        <v>-121.717804</v>
      </c>
      <c r="G117" s="6">
        <v>48</v>
      </c>
      <c r="H117" s="5" t="s">
        <v>22</v>
      </c>
      <c r="I117" s="6">
        <v>12</v>
      </c>
      <c r="J117" s="6">
        <v>141.036</v>
      </c>
      <c r="K117" s="6">
        <v>88.914457851157948</v>
      </c>
      <c r="L117" s="6" t="s">
        <v>22</v>
      </c>
      <c r="M117" s="6">
        <v>0.74142138671900004</v>
      </c>
      <c r="N117" s="6">
        <v>15.603658203125001</v>
      </c>
      <c r="O117" s="6">
        <f>Table1[[#This Row],[R1 Length (km)]]+Table1[[#This Row],[T1 Length (km)]]</f>
        <v>16.345079589844001</v>
      </c>
      <c r="P117" s="5">
        <v>69</v>
      </c>
      <c r="Q117" s="6">
        <f>(Table1[[#This Row],[Linear Features (km)]]*0.4)*100</f>
        <v>653.80318359376008</v>
      </c>
      <c r="R117" s="7">
        <f>((PI()*(45^2))*Table1[[#This Row],[Number of Turbines - WIND]])/10000</f>
        <v>6.3617251235193315</v>
      </c>
      <c r="S117" s="8">
        <f>Table1[[#This Row],[ATG (ha)]]/Table1[[#This Row],[Linear Area (ha)]]</f>
        <v>9.7303367177731317E-3</v>
      </c>
      <c r="T117" s="5" t="s">
        <v>115</v>
      </c>
      <c r="U117" s="5">
        <v>10</v>
      </c>
      <c r="V117" s="7" t="s">
        <v>22</v>
      </c>
      <c r="W117" s="7" t="s">
        <v>22</v>
      </c>
      <c r="X117" s="11">
        <f>50.2753414474428+4.198735</f>
        <v>54.474076447442798</v>
      </c>
      <c r="Y117" s="10">
        <f>Table1[[#This Row],[Raw Terrestrial Score]]/Table1[[#This Row],[Summed Raw Scores]]</f>
        <v>0.35513355980289008</v>
      </c>
      <c r="Z117" s="11">
        <v>98.916316951811197</v>
      </c>
      <c r="AA117" s="10">
        <f>Table1[[#This Row],[Raw Freshwater Score]]/Table1[[#This Row],[Summed Raw Scores]]</f>
        <v>0.64486644019711004</v>
      </c>
      <c r="AB117" s="10">
        <f>Table1[[#This Row],[Raw Terrestrial Score]]+Table1[[#This Row],[Raw Freshwater Score]]</f>
        <v>153.39039339925398</v>
      </c>
      <c r="AC117" s="12">
        <f>Table1[[#This Row],[Terrestrial % of Summed Score]]*Table1[[#This Row],[Scaled Summed Score]]</f>
        <v>1.0798986741404311E-2</v>
      </c>
      <c r="AD117" s="12">
        <f>Table1[[#This Row],[Freshwater % of Summed Score]]*Table1[[#This Row],[Scaled Summed Score]]</f>
        <v>1.9609253886144599E-2</v>
      </c>
      <c r="AE117" s="12">
        <f>Table1[[#This Row],[Summed Raw Scores]]/MAX(Table1[Summed Raw Scores])</f>
        <v>3.0408240627548908E-2</v>
      </c>
      <c r="AF117" s="7"/>
    </row>
    <row r="118" spans="1:32" x14ac:dyDescent="0.3">
      <c r="A118" s="5" t="s">
        <v>203</v>
      </c>
      <c r="B118" s="5" t="s">
        <v>114</v>
      </c>
      <c r="C118" s="5" t="s">
        <v>25</v>
      </c>
      <c r="D118" s="5" t="s">
        <v>250</v>
      </c>
      <c r="E118" s="6">
        <v>50.152938370000001</v>
      </c>
      <c r="F118" s="6">
        <v>-121.27388120000001</v>
      </c>
      <c r="G118" s="6">
        <v>192</v>
      </c>
      <c r="H118" s="5" t="s">
        <v>22</v>
      </c>
      <c r="I118" s="6">
        <v>46.8</v>
      </c>
      <c r="J118" s="6">
        <v>671.15178000000003</v>
      </c>
      <c r="K118" s="6">
        <v>77.926025114283874</v>
      </c>
      <c r="L118" s="6" t="s">
        <v>22</v>
      </c>
      <c r="M118" s="6">
        <v>2.7</v>
      </c>
      <c r="N118" s="6">
        <v>80.900000000000006</v>
      </c>
      <c r="O118" s="6">
        <f>Table1[[#This Row],[R1 Length (km)]]+Table1[[#This Row],[T1 Length (km)]]</f>
        <v>83.600000000000009</v>
      </c>
      <c r="P118" s="5">
        <v>230</v>
      </c>
      <c r="Q118" s="6">
        <f>(Table1[[#This Row],[Linear Features (km)]]*0.4)*100</f>
        <v>3344.0000000000005</v>
      </c>
      <c r="R118" s="7">
        <v>24.81</v>
      </c>
      <c r="S118" s="8">
        <f>Table1[[#This Row],[ATG (ha)]]/Table1[[#This Row],[Linear Area (ha)]]</f>
        <v>7.4192583732057404E-3</v>
      </c>
      <c r="T118" s="5" t="s">
        <v>136</v>
      </c>
      <c r="U118" s="9" t="s">
        <v>22</v>
      </c>
      <c r="V118" s="7" t="s">
        <v>22</v>
      </c>
      <c r="W118" s="7" t="s">
        <v>22</v>
      </c>
      <c r="X118" s="11">
        <v>297.60600563883798</v>
      </c>
      <c r="Y118" s="10">
        <f>Table1[[#This Row],[Raw Terrestrial Score]]/Table1[[#This Row],[Summed Raw Scores]]</f>
        <v>0.28972400138758297</v>
      </c>
      <c r="Z118" s="11">
        <v>729.59921109676395</v>
      </c>
      <c r="AA118" s="10">
        <f>Table1[[#This Row],[Raw Freshwater Score]]/Table1[[#This Row],[Summed Raw Scores]]</f>
        <v>0.71027599861241708</v>
      </c>
      <c r="AB118" s="10">
        <f>Table1[[#This Row],[Raw Terrestrial Score]]+Table1[[#This Row],[Raw Freshwater Score]]</f>
        <v>1027.2052167356019</v>
      </c>
      <c r="AC118" s="12">
        <f>Table1[[#This Row],[Terrestrial % of Summed Score]]*Table1[[#This Row],[Scaled Summed Score]]</f>
        <v>5.8997664919695533E-2</v>
      </c>
      <c r="AD118" s="12">
        <f>Table1[[#This Row],[Freshwater % of Summed Score]]*Table1[[#This Row],[Scaled Summed Score]]</f>
        <v>0.14463636138512018</v>
      </c>
      <c r="AE118" s="12">
        <f>Table1[[#This Row],[Summed Raw Scores]]/MAX(Table1[Summed Raw Scores])</f>
        <v>0.2036340263048157</v>
      </c>
      <c r="AF118" s="7"/>
    </row>
    <row r="119" spans="1:32" x14ac:dyDescent="0.3">
      <c r="A119" s="5" t="s">
        <v>204</v>
      </c>
      <c r="B119" s="5" t="s">
        <v>114</v>
      </c>
      <c r="C119" s="5" t="s">
        <v>32</v>
      </c>
      <c r="D119" s="5"/>
      <c r="E119" s="6">
        <v>49.827369490000002</v>
      </c>
      <c r="F119" s="6">
        <v>-121.24361380000001</v>
      </c>
      <c r="G119" s="6">
        <v>87</v>
      </c>
      <c r="H119" s="5" t="s">
        <v>22</v>
      </c>
      <c r="I119" s="6">
        <v>21.599999999999998</v>
      </c>
      <c r="J119" s="6">
        <v>271.44612000000001</v>
      </c>
      <c r="K119" s="6">
        <v>100.79640958290931</v>
      </c>
      <c r="L119" s="6" t="s">
        <v>22</v>
      </c>
      <c r="M119" s="6">
        <v>1.02426416016</v>
      </c>
      <c r="N119" s="6">
        <v>76.394023437499996</v>
      </c>
      <c r="O119" s="6">
        <f>Table1[[#This Row],[R1 Length (km)]]+Table1[[#This Row],[T1 Length (km)]]</f>
        <v>77.418287597659997</v>
      </c>
      <c r="P119" s="5">
        <v>130</v>
      </c>
      <c r="Q119" s="6">
        <f>(Table1[[#This Row],[Linear Features (km)]]*0.4)*100</f>
        <v>3096.7315039064001</v>
      </c>
      <c r="R119" s="7">
        <f>1273528/10000</f>
        <v>127.3528</v>
      </c>
      <c r="S119" s="8">
        <f>Table1[[#This Row],[ATG (ha)]]/Table1[[#This Row],[Linear Area (ha)]]</f>
        <v>4.1124908581628615E-2</v>
      </c>
      <c r="T119" s="5" t="s">
        <v>136</v>
      </c>
      <c r="U119" s="9" t="s">
        <v>22</v>
      </c>
      <c r="V119" s="7" t="s">
        <v>22</v>
      </c>
      <c r="W119" s="7" t="s">
        <v>22</v>
      </c>
      <c r="X119" s="11">
        <v>517.04563375935004</v>
      </c>
      <c r="Y119" s="10">
        <f>Table1[[#This Row],[Raw Terrestrial Score]]/Table1[[#This Row],[Summed Raw Scores]]</f>
        <v>0.41622555517978876</v>
      </c>
      <c r="Z119" s="11">
        <v>725.178990185261</v>
      </c>
      <c r="AA119" s="10">
        <f>Table1[[#This Row],[Raw Freshwater Score]]/Table1[[#This Row],[Summed Raw Scores]]</f>
        <v>0.58377444482021124</v>
      </c>
      <c r="AB119" s="10">
        <f>Table1[[#This Row],[Raw Terrestrial Score]]+Table1[[#This Row],[Raw Freshwater Score]]</f>
        <v>1242.224623944611</v>
      </c>
      <c r="AC119" s="12">
        <f>Table1[[#This Row],[Terrestrial % of Summed Score]]*Table1[[#This Row],[Scaled Summed Score]]</f>
        <v>0.10249956140248291</v>
      </c>
      <c r="AD119" s="12">
        <f>Table1[[#This Row],[Freshwater % of Summed Score]]*Table1[[#This Row],[Scaled Summed Score]]</f>
        <v>0.14376009307310111</v>
      </c>
      <c r="AE119" s="12">
        <f>Table1[[#This Row],[Summed Raw Scores]]/MAX(Table1[Summed Raw Scores])</f>
        <v>0.24625965447558401</v>
      </c>
      <c r="AF119" s="7"/>
    </row>
    <row r="120" spans="1:32" x14ac:dyDescent="0.3">
      <c r="A120" s="5" t="s">
        <v>205</v>
      </c>
      <c r="B120" s="5" t="s">
        <v>114</v>
      </c>
      <c r="C120" s="5" t="s">
        <v>25</v>
      </c>
      <c r="D120" s="5" t="s">
        <v>250</v>
      </c>
      <c r="E120" s="6">
        <v>49.717218209999999</v>
      </c>
      <c r="F120" s="6">
        <v>-120.94528649999999</v>
      </c>
      <c r="G120" s="6">
        <v>87</v>
      </c>
      <c r="H120" s="5" t="s">
        <v>22</v>
      </c>
      <c r="I120" s="6">
        <v>21.599999999999998</v>
      </c>
      <c r="J120" s="6">
        <v>282.40487999999999</v>
      </c>
      <c r="K120" s="6">
        <v>95.046143232935094</v>
      </c>
      <c r="L120" s="6" t="s">
        <v>22</v>
      </c>
      <c r="M120" s="6">
        <v>0.88284277343799999</v>
      </c>
      <c r="N120" s="6">
        <v>69.087421875000004</v>
      </c>
      <c r="O120" s="6">
        <f>Table1[[#This Row],[R1 Length (km)]]+Table1[[#This Row],[T1 Length (km)]]</f>
        <v>69.970264648438004</v>
      </c>
      <c r="P120" s="5">
        <v>130</v>
      </c>
      <c r="Q120" s="6">
        <f>(Table1[[#This Row],[Linear Features (km)]]*0.4)*100</f>
        <v>2798.8105859375205</v>
      </c>
      <c r="R120" s="7">
        <v>11.45</v>
      </c>
      <c r="S120" s="8">
        <f>Table1[[#This Row],[ATG (ha)]]/Table1[[#This Row],[Linear Area (ha)]]</f>
        <v>4.0910235431900728E-3</v>
      </c>
      <c r="T120" s="5" t="s">
        <v>136</v>
      </c>
      <c r="U120" s="9" t="s">
        <v>22</v>
      </c>
      <c r="V120" s="7" t="s">
        <v>22</v>
      </c>
      <c r="W120" s="7" t="s">
        <v>22</v>
      </c>
      <c r="X120" s="11">
        <v>392.59668981283897</v>
      </c>
      <c r="Y120" s="10">
        <f>Table1[[#This Row],[Raw Terrestrial Score]]/Table1[[#This Row],[Summed Raw Scores]]</f>
        <v>0.32858030828100432</v>
      </c>
      <c r="Z120" s="11">
        <v>802.23051047418301</v>
      </c>
      <c r="AA120" s="10">
        <f>Table1[[#This Row],[Raw Freshwater Score]]/Table1[[#This Row],[Summed Raw Scores]]</f>
        <v>0.67141969171899574</v>
      </c>
      <c r="AB120" s="10">
        <f>Table1[[#This Row],[Raw Terrestrial Score]]+Table1[[#This Row],[Raw Freshwater Score]]</f>
        <v>1194.8272002870219</v>
      </c>
      <c r="AC120" s="12">
        <f>Table1[[#This Row],[Terrestrial % of Summed Score]]*Table1[[#This Row],[Scaled Summed Score]]</f>
        <v>7.7828698061517904E-2</v>
      </c>
      <c r="AD120" s="12">
        <f>Table1[[#This Row],[Freshwater % of Summed Score]]*Table1[[#This Row],[Scaled Summed Score]]</f>
        <v>0.15903485127497557</v>
      </c>
      <c r="AE120" s="12">
        <f>Table1[[#This Row],[Summed Raw Scores]]/MAX(Table1[Summed Raw Scores])</f>
        <v>0.23686354933649348</v>
      </c>
      <c r="AF120" s="7"/>
    </row>
    <row r="121" spans="1:32" x14ac:dyDescent="0.3">
      <c r="A121" s="5" t="s">
        <v>206</v>
      </c>
      <c r="B121" s="5" t="s">
        <v>114</v>
      </c>
      <c r="C121" s="5" t="s">
        <v>25</v>
      </c>
      <c r="D121" s="5" t="s">
        <v>250</v>
      </c>
      <c r="E121" s="6">
        <v>49.421347300000001</v>
      </c>
      <c r="F121" s="6">
        <v>-120.8643541</v>
      </c>
      <c r="G121" s="6">
        <v>117</v>
      </c>
      <c r="H121" s="5" t="s">
        <v>22</v>
      </c>
      <c r="I121" s="6">
        <v>27.599999999999998</v>
      </c>
      <c r="J121" s="6">
        <v>333.34866000000005</v>
      </c>
      <c r="K121" s="6">
        <v>90.442200022550978</v>
      </c>
      <c r="L121" s="6" t="s">
        <v>22</v>
      </c>
      <c r="M121" s="6">
        <v>1.3899495849600001</v>
      </c>
      <c r="N121" s="6">
        <v>98.132296874999994</v>
      </c>
      <c r="O121" s="6">
        <f>Table1[[#This Row],[R1 Length (km)]]+Table1[[#This Row],[T1 Length (km)]]</f>
        <v>99.522246459960002</v>
      </c>
      <c r="P121" s="5">
        <v>130</v>
      </c>
      <c r="Q121" s="6">
        <f>(Table1[[#This Row],[Linear Features (km)]]*0.4)*100</f>
        <v>3980.8898583984005</v>
      </c>
      <c r="R121" s="7">
        <v>14.63</v>
      </c>
      <c r="S121" s="8">
        <f>Table1[[#This Row],[ATG (ha)]]/Table1[[#This Row],[Linear Area (ha)]]</f>
        <v>3.67505771834792E-3</v>
      </c>
      <c r="T121" s="5" t="s">
        <v>136</v>
      </c>
      <c r="U121" s="9" t="s">
        <v>22</v>
      </c>
      <c r="V121" s="7" t="s">
        <v>22</v>
      </c>
      <c r="W121" s="7" t="s">
        <v>22</v>
      </c>
      <c r="X121" s="11">
        <v>426.97199804708401</v>
      </c>
      <c r="Y121" s="10">
        <f>Table1[[#This Row],[Raw Terrestrial Score]]/Table1[[#This Row],[Summed Raw Scores]]</f>
        <v>0.4453901770772945</v>
      </c>
      <c r="Z121" s="11">
        <v>531.67509392276395</v>
      </c>
      <c r="AA121" s="10">
        <f>Table1[[#This Row],[Raw Freshwater Score]]/Table1[[#This Row],[Summed Raw Scores]]</f>
        <v>0.55460982292270555</v>
      </c>
      <c r="AB121" s="10">
        <f>Table1[[#This Row],[Raw Terrestrial Score]]+Table1[[#This Row],[Raw Freshwater Score]]</f>
        <v>958.64709196984791</v>
      </c>
      <c r="AC121" s="12">
        <f>Table1[[#This Row],[Terrestrial % of Summed Score]]*Table1[[#This Row],[Scaled Summed Score]]</f>
        <v>8.4643288084195092E-2</v>
      </c>
      <c r="AD121" s="12">
        <f>Table1[[#This Row],[Freshwater % of Summed Score]]*Table1[[#This Row],[Scaled Summed Score]]</f>
        <v>0.10539971789235077</v>
      </c>
      <c r="AE121" s="12">
        <f>Table1[[#This Row],[Summed Raw Scores]]/MAX(Table1[Summed Raw Scores])</f>
        <v>0.19004300597654586</v>
      </c>
      <c r="AF121" s="7"/>
    </row>
    <row r="122" spans="1:32" x14ac:dyDescent="0.3">
      <c r="A122" s="5" t="s">
        <v>207</v>
      </c>
      <c r="B122" s="5" t="s">
        <v>114</v>
      </c>
      <c r="C122" s="5" t="s">
        <v>25</v>
      </c>
      <c r="D122" s="5" t="s">
        <v>250</v>
      </c>
      <c r="E122" s="6">
        <v>49.315802069999997</v>
      </c>
      <c r="F122" s="6">
        <v>-120.7780903</v>
      </c>
      <c r="G122" s="6">
        <v>150</v>
      </c>
      <c r="H122" s="5" t="s">
        <v>22</v>
      </c>
      <c r="I122" s="6">
        <v>36</v>
      </c>
      <c r="J122" s="6">
        <v>428.36399999999998</v>
      </c>
      <c r="K122" s="6">
        <v>86.437385455994203</v>
      </c>
      <c r="L122" s="6" t="s">
        <v>22</v>
      </c>
      <c r="M122" s="6">
        <v>0.9</v>
      </c>
      <c r="N122" s="6">
        <v>106.2</v>
      </c>
      <c r="O122" s="6">
        <f>Table1[[#This Row],[R1 Length (km)]]+Table1[[#This Row],[T1 Length (km)]]</f>
        <v>107.10000000000001</v>
      </c>
      <c r="P122" s="5">
        <v>130</v>
      </c>
      <c r="Q122" s="6">
        <f>(Table1[[#This Row],[Linear Features (km)]]*0.4)*100</f>
        <v>4284</v>
      </c>
      <c r="R122" s="7">
        <f>((PI()*(45^2))*Table1[[#This Row],[Number of Turbines - WIND]])/10000</f>
        <v>19.085175370557995</v>
      </c>
      <c r="S122" s="8">
        <f>Table1[[#This Row],[ATG (ha)]]/Table1[[#This Row],[Linear Area (ha)]]</f>
        <v>4.454989582296451E-3</v>
      </c>
      <c r="T122" s="5" t="s">
        <v>115</v>
      </c>
      <c r="U122" s="5">
        <v>30</v>
      </c>
      <c r="V122" s="7" t="s">
        <v>22</v>
      </c>
      <c r="W122" s="7" t="s">
        <v>22</v>
      </c>
      <c r="X122" s="11">
        <f>428.536271903664+10.76955</f>
        <v>439.30582190366397</v>
      </c>
      <c r="Y122" s="10">
        <f>Table1[[#This Row],[Raw Terrestrial Score]]/Table1[[#This Row],[Summed Raw Scores]]</f>
        <v>0.46923185470842294</v>
      </c>
      <c r="Z122" s="11">
        <v>496.91753440842024</v>
      </c>
      <c r="AA122" s="10">
        <f>Table1[[#This Row],[Raw Freshwater Score]]/Table1[[#This Row],[Summed Raw Scores]]</f>
        <v>0.53076814529157712</v>
      </c>
      <c r="AB122" s="10">
        <f>Table1[[#This Row],[Raw Terrestrial Score]]+Table1[[#This Row],[Raw Freshwater Score]]</f>
        <v>936.22335631208421</v>
      </c>
      <c r="AC122" s="12">
        <f>Table1[[#This Row],[Terrestrial % of Summed Score]]*Table1[[#This Row],[Scaled Summed Score]]</f>
        <v>8.7088355701385983E-2</v>
      </c>
      <c r="AD122" s="12">
        <f>Table1[[#This Row],[Freshwater % of Summed Score]]*Table1[[#This Row],[Scaled Summed Score]]</f>
        <v>9.8509350054336892E-2</v>
      </c>
      <c r="AE122" s="12">
        <f>Table1[[#This Row],[Summed Raw Scores]]/MAX(Table1[Summed Raw Scores])</f>
        <v>0.18559770575572287</v>
      </c>
      <c r="AF122" s="7"/>
    </row>
    <row r="123" spans="1:32" x14ac:dyDescent="0.3">
      <c r="A123" s="5" t="s">
        <v>208</v>
      </c>
      <c r="B123" s="5" t="s">
        <v>114</v>
      </c>
      <c r="C123" s="5" t="s">
        <v>25</v>
      </c>
      <c r="D123" s="5"/>
      <c r="E123" s="6">
        <v>49.23297204</v>
      </c>
      <c r="F123" s="6">
        <v>-120.2964695</v>
      </c>
      <c r="G123" s="6">
        <v>144</v>
      </c>
      <c r="H123" s="5" t="s">
        <v>22</v>
      </c>
      <c r="I123" s="6">
        <v>34.799999999999997</v>
      </c>
      <c r="J123" s="6">
        <v>372.04158000000001</v>
      </c>
      <c r="K123" s="6">
        <v>100.9320839148305</v>
      </c>
      <c r="L123" s="6" t="s">
        <v>22</v>
      </c>
      <c r="M123" s="6">
        <v>9.308326171880001</v>
      </c>
      <c r="N123" s="6">
        <v>90.772703125000007</v>
      </c>
      <c r="O123" s="6">
        <f>Table1[[#This Row],[R1 Length (km)]]+Table1[[#This Row],[T1 Length (km)]]</f>
        <v>100.08102929688</v>
      </c>
      <c r="P123" s="5">
        <v>130</v>
      </c>
      <c r="Q123" s="6">
        <f>(Table1[[#This Row],[Linear Features (km)]]*0.4)*100</f>
        <v>4003.2411718752001</v>
      </c>
      <c r="R123" s="7">
        <f>((PI()*(45^2))*Table1[[#This Row],[Number of Turbines - WIND]])/10000</f>
        <v>18.449002858206061</v>
      </c>
      <c r="S123" s="8">
        <f>Table1[[#This Row],[ATG (ha)]]/Table1[[#This Row],[Linear Area (ha)]]</f>
        <v>4.6085164660624655E-3</v>
      </c>
      <c r="T123" s="5" t="s">
        <v>115</v>
      </c>
      <c r="U123" s="5">
        <v>29</v>
      </c>
      <c r="V123" s="7" t="s">
        <v>22</v>
      </c>
      <c r="W123" s="7" t="s">
        <v>22</v>
      </c>
      <c r="X123" s="11">
        <f>1073.72884792835+24.21615</f>
        <v>1097.9449979283499</v>
      </c>
      <c r="Y123" s="10">
        <f>Table1[[#This Row],[Raw Terrestrial Score]]/Table1[[#This Row],[Summed Raw Scores]]</f>
        <v>0.87412173739837173</v>
      </c>
      <c r="Z123" s="11">
        <v>158.1100238768945</v>
      </c>
      <c r="AA123" s="10">
        <f>Table1[[#This Row],[Raw Freshwater Score]]/Table1[[#This Row],[Summed Raw Scores]]</f>
        <v>0.12587826260162829</v>
      </c>
      <c r="AB123" s="10">
        <f>Table1[[#This Row],[Raw Terrestrial Score]]+Table1[[#This Row],[Raw Freshwater Score]]</f>
        <v>1256.0550218052445</v>
      </c>
      <c r="AC123" s="12">
        <f>Table1[[#This Row],[Terrestrial % of Summed Score]]*Table1[[#This Row],[Scaled Summed Score]]</f>
        <v>0.21765754003849716</v>
      </c>
      <c r="AD123" s="12">
        <f>Table1[[#This Row],[Freshwater % of Summed Score]]*Table1[[#This Row],[Scaled Summed Score]]</f>
        <v>3.1343864143838197E-2</v>
      </c>
      <c r="AE123" s="12">
        <f>Table1[[#This Row],[Summed Raw Scores]]/MAX(Table1[Summed Raw Scores])</f>
        <v>0.24900140418233535</v>
      </c>
      <c r="AF123" s="7"/>
    </row>
    <row r="124" spans="1:32" x14ac:dyDescent="0.3">
      <c r="A124" s="5" t="s">
        <v>209</v>
      </c>
      <c r="B124" s="5" t="s">
        <v>114</v>
      </c>
      <c r="C124" s="5" t="s">
        <v>40</v>
      </c>
      <c r="D124" s="5"/>
      <c r="E124" s="6">
        <v>49.587992069999999</v>
      </c>
      <c r="F124" s="6">
        <v>-119.3495849</v>
      </c>
      <c r="G124" s="6">
        <v>48</v>
      </c>
      <c r="H124" s="5" t="s">
        <v>22</v>
      </c>
      <c r="I124" s="6">
        <v>12</v>
      </c>
      <c r="J124" s="6">
        <v>120.1434</v>
      </c>
      <c r="K124" s="6">
        <v>114.20171138822596</v>
      </c>
      <c r="L124" s="6" t="s">
        <v>22</v>
      </c>
      <c r="M124" s="6">
        <v>0.52426403808599997</v>
      </c>
      <c r="N124" s="6">
        <v>57.958789062500003</v>
      </c>
      <c r="O124" s="6">
        <f>Table1[[#This Row],[R1 Length (km)]]+Table1[[#This Row],[T1 Length (km)]]</f>
        <v>58.483053100586005</v>
      </c>
      <c r="P124" s="5">
        <v>69</v>
      </c>
      <c r="Q124" s="6">
        <f>(Table1[[#This Row],[Linear Features (km)]]*0.4)*100</f>
        <v>2339.3221240234402</v>
      </c>
      <c r="R124" s="7">
        <f>((PI()*(45^2))*Table1[[#This Row],[Number of Turbines - WIND]])/10000</f>
        <v>6.3617251235193315</v>
      </c>
      <c r="S124" s="8">
        <f>Table1[[#This Row],[ATG (ha)]]/Table1[[#This Row],[Linear Area (ha)]]</f>
        <v>2.7194737561741567E-3</v>
      </c>
      <c r="T124" s="5" t="s">
        <v>115</v>
      </c>
      <c r="U124" s="5">
        <v>10</v>
      </c>
      <c r="V124" s="7" t="s">
        <v>22</v>
      </c>
      <c r="W124" s="7" t="s">
        <v>22</v>
      </c>
      <c r="X124" s="11">
        <f>898.475272357464+56.59211</f>
        <v>955.067382357464</v>
      </c>
      <c r="Y124" s="10">
        <f>Table1[[#This Row],[Raw Terrestrial Score]]/Table1[[#This Row],[Summed Raw Scores]]</f>
        <v>0.72746439907843274</v>
      </c>
      <c r="Z124" s="11">
        <v>357.80426272559924</v>
      </c>
      <c r="AA124" s="10">
        <f>Table1[[#This Row],[Raw Freshwater Score]]/Table1[[#This Row],[Summed Raw Scores]]</f>
        <v>0.27253560092156731</v>
      </c>
      <c r="AB124" s="10">
        <f>Table1[[#This Row],[Raw Terrestrial Score]]+Table1[[#This Row],[Raw Freshwater Score]]</f>
        <v>1312.8716450830632</v>
      </c>
      <c r="AC124" s="12">
        <f>Table1[[#This Row],[Terrestrial % of Summed Score]]*Table1[[#This Row],[Scaled Summed Score]]</f>
        <v>0.18933336133154652</v>
      </c>
      <c r="AD124" s="12">
        <f>Table1[[#This Row],[Freshwater % of Summed Score]]*Table1[[#This Row],[Scaled Summed Score]]</f>
        <v>7.0931418046520686E-2</v>
      </c>
      <c r="AE124" s="12">
        <f>Table1[[#This Row],[Summed Raw Scores]]/MAX(Table1[Summed Raw Scores])</f>
        <v>0.26026477937806719</v>
      </c>
      <c r="AF124" s="7"/>
    </row>
    <row r="125" spans="1:32" x14ac:dyDescent="0.3">
      <c r="A125" s="5" t="s">
        <v>210</v>
      </c>
      <c r="B125" s="5" t="s">
        <v>114</v>
      </c>
      <c r="C125" s="5" t="s">
        <v>95</v>
      </c>
      <c r="D125" s="5" t="s">
        <v>250</v>
      </c>
      <c r="E125" s="6">
        <v>49.338748189999997</v>
      </c>
      <c r="F125" s="6">
        <v>-115.9994731</v>
      </c>
      <c r="G125" s="6">
        <v>33</v>
      </c>
      <c r="H125" s="5" t="s">
        <v>22</v>
      </c>
      <c r="I125" s="6">
        <v>8.4</v>
      </c>
      <c r="J125" s="6">
        <v>97.314840000000018</v>
      </c>
      <c r="K125" s="6">
        <v>97.013018779307032</v>
      </c>
      <c r="L125" s="6" t="s">
        <v>22</v>
      </c>
      <c r="M125" s="6">
        <v>1.2656854248</v>
      </c>
      <c r="N125" s="6">
        <v>15.8698486328125</v>
      </c>
      <c r="O125" s="6">
        <f>Table1[[#This Row],[R1 Length (km)]]+Table1[[#This Row],[T1 Length (km)]]</f>
        <v>17.135534057612499</v>
      </c>
      <c r="P125" s="5">
        <v>69</v>
      </c>
      <c r="Q125" s="6">
        <f>(Table1[[#This Row],[Linear Features (km)]]*0.4)*100</f>
        <v>685.42136230450001</v>
      </c>
      <c r="R125" s="7">
        <v>4.45</v>
      </c>
      <c r="S125" s="8">
        <f>Table1[[#This Row],[ATG (ha)]]/Table1[[#This Row],[Linear Area (ha)]]</f>
        <v>6.4923567381068546E-3</v>
      </c>
      <c r="T125" s="5" t="s">
        <v>136</v>
      </c>
      <c r="U125" s="9" t="s">
        <v>22</v>
      </c>
      <c r="V125" s="7" t="s">
        <v>22</v>
      </c>
      <c r="W125" s="7" t="s">
        <v>22</v>
      </c>
      <c r="X125" s="11">
        <v>155.61683080345401</v>
      </c>
      <c r="Y125" s="10">
        <f>Table1[[#This Row],[Raw Terrestrial Score]]/Table1[[#This Row],[Summed Raw Scores]]</f>
        <v>0.71394925136143039</v>
      </c>
      <c r="Z125" s="11">
        <v>62.349404901266098</v>
      </c>
      <c r="AA125" s="10">
        <f>Table1[[#This Row],[Raw Freshwater Score]]/Table1[[#This Row],[Summed Raw Scores]]</f>
        <v>0.28605074863856955</v>
      </c>
      <c r="AB125" s="10">
        <f>Table1[[#This Row],[Raw Terrestrial Score]]+Table1[[#This Row],[Raw Freshwater Score]]</f>
        <v>217.96623570472011</v>
      </c>
      <c r="AC125" s="12">
        <f>Table1[[#This Row],[Terrestrial % of Summed Score]]*Table1[[#This Row],[Scaled Summed Score]]</f>
        <v>3.0849611451553974E-2</v>
      </c>
      <c r="AD125" s="12">
        <f>Table1[[#This Row],[Freshwater % of Summed Score]]*Table1[[#This Row],[Scaled Summed Score]]</f>
        <v>1.2360198479231475E-2</v>
      </c>
      <c r="AE125" s="12">
        <f>Table1[[#This Row],[Summed Raw Scores]]/MAX(Table1[Summed Raw Scores])</f>
        <v>4.3209809930785451E-2</v>
      </c>
      <c r="AF125" s="7"/>
    </row>
    <row r="126" spans="1:32" x14ac:dyDescent="0.3">
      <c r="A126" s="5" t="s">
        <v>211</v>
      </c>
      <c r="B126" s="5" t="s">
        <v>114</v>
      </c>
      <c r="C126" s="5" t="s">
        <v>95</v>
      </c>
      <c r="D126" s="5"/>
      <c r="E126" s="6">
        <v>49.342589940000003</v>
      </c>
      <c r="F126" s="6">
        <v>-115.73614329999999</v>
      </c>
      <c r="G126" s="6">
        <v>102</v>
      </c>
      <c r="H126" s="5" t="s">
        <v>22</v>
      </c>
      <c r="I126" s="6">
        <v>25.2</v>
      </c>
      <c r="J126" s="6">
        <v>263.98259999999999</v>
      </c>
      <c r="K126" s="6">
        <v>96.934119051467661</v>
      </c>
      <c r="L126" s="6" t="s">
        <v>22</v>
      </c>
      <c r="M126" s="6">
        <v>0.76568542480500001</v>
      </c>
      <c r="N126" s="6">
        <v>22.679394531250001</v>
      </c>
      <c r="O126" s="6">
        <f>Table1[[#This Row],[R1 Length (km)]]+Table1[[#This Row],[T1 Length (km)]]</f>
        <v>23.445079956055</v>
      </c>
      <c r="P126" s="5">
        <v>230</v>
      </c>
      <c r="Q126" s="6">
        <f>(Table1[[#This Row],[Linear Features (km)]]*0.4)*100</f>
        <v>937.80319824219998</v>
      </c>
      <c r="R126" s="7">
        <f>((PI()*(45^2))*Table1[[#This Row],[Number of Turbines - WIND]])/10000</f>
        <v>13.359622759390593</v>
      </c>
      <c r="S126" s="8">
        <f>Table1[[#This Row],[ATG (ha)]]/Table1[[#This Row],[Linear Area (ha)]]</f>
        <v>1.4245657067955846E-2</v>
      </c>
      <c r="T126" s="5" t="s">
        <v>188</v>
      </c>
      <c r="U126" s="5">
        <v>21</v>
      </c>
      <c r="V126" s="7" t="s">
        <v>22</v>
      </c>
      <c r="W126" s="7" t="s">
        <v>22</v>
      </c>
      <c r="X126" s="11">
        <v>526.24719649553299</v>
      </c>
      <c r="Y126" s="10">
        <f>Table1[[#This Row],[Raw Terrestrial Score]]/Table1[[#This Row],[Summed Raw Scores]]</f>
        <v>0.90352608552478231</v>
      </c>
      <c r="Z126" s="11">
        <v>56.189995884895303</v>
      </c>
      <c r="AA126" s="10">
        <f>Table1[[#This Row],[Raw Freshwater Score]]/Table1[[#This Row],[Summed Raw Scores]]</f>
        <v>9.6473914475217609E-2</v>
      </c>
      <c r="AB126" s="10">
        <f>Table1[[#This Row],[Raw Terrestrial Score]]+Table1[[#This Row],[Raw Freshwater Score]]</f>
        <v>582.43719238042831</v>
      </c>
      <c r="AC126" s="12">
        <f>Table1[[#This Row],[Terrestrial % of Summed Score]]*Table1[[#This Row],[Scaled Summed Score]]</f>
        <v>0.10432368694014318</v>
      </c>
      <c r="AD126" s="12">
        <f>Table1[[#This Row],[Freshwater % of Summed Score]]*Table1[[#This Row],[Scaled Summed Score]]</f>
        <v>1.1139152054206736E-2</v>
      </c>
      <c r="AE126" s="12">
        <f>Table1[[#This Row],[Summed Raw Scores]]/MAX(Table1[Summed Raw Scores])</f>
        <v>0.11546283899434993</v>
      </c>
      <c r="AF126" s="7"/>
    </row>
    <row r="127" spans="1:32" x14ac:dyDescent="0.3">
      <c r="A127" s="5" t="s">
        <v>107</v>
      </c>
      <c r="B127" s="5" t="s">
        <v>97</v>
      </c>
      <c r="C127" s="5" t="s">
        <v>32</v>
      </c>
      <c r="D127" s="5" t="s">
        <v>250</v>
      </c>
      <c r="E127" s="13">
        <v>49.29</v>
      </c>
      <c r="F127" s="13">
        <v>-121.4</v>
      </c>
      <c r="G127" s="6">
        <v>51.1</v>
      </c>
      <c r="H127" s="6">
        <v>40</v>
      </c>
      <c r="I127" s="6">
        <v>19</v>
      </c>
      <c r="J127" s="14">
        <v>251.3</v>
      </c>
      <c r="K127" s="14">
        <v>80.156438495857245</v>
      </c>
      <c r="L127" s="6" t="s">
        <v>22</v>
      </c>
      <c r="M127" s="13">
        <v>0</v>
      </c>
      <c r="N127" s="7">
        <v>13.058073580375128</v>
      </c>
      <c r="O127" s="7">
        <f>Table1[[#This Row],[R1 Length (km)]]+Table1[[#This Row],[T1 Length (km)]]</f>
        <v>13.058073580375128</v>
      </c>
      <c r="P127" s="9">
        <v>230</v>
      </c>
      <c r="Q127" s="7">
        <f>(Table1[[#This Row],[Linear Features (km)]]*0.4)*100</f>
        <v>522.32294321500513</v>
      </c>
      <c r="R127" s="7">
        <v>13.06</v>
      </c>
      <c r="S127" s="8">
        <f>Table1[[#This Row],[ATG (ha)]]/Table1[[#This Row],[Linear Area (ha)]]</f>
        <v>2.5003688177304667E-2</v>
      </c>
      <c r="T127" s="9" t="s">
        <v>22</v>
      </c>
      <c r="U127" s="9" t="s">
        <v>22</v>
      </c>
      <c r="V127" s="7" t="s">
        <v>22</v>
      </c>
      <c r="W127" s="7" t="s">
        <v>22</v>
      </c>
      <c r="X127" s="11">
        <v>217.77831435203601</v>
      </c>
      <c r="Y127" s="10">
        <f>Table1[[#This Row],[Raw Terrestrial Score]]/Table1[[#This Row],[Summed Raw Scores]]</f>
        <v>0.43931935078743256</v>
      </c>
      <c r="Z127" s="11">
        <v>277.93924045562699</v>
      </c>
      <c r="AA127" s="10">
        <f>Table1[[#This Row],[Raw Freshwater Score]]/Table1[[#This Row],[Summed Raw Scores]]</f>
        <v>0.56068064921256755</v>
      </c>
      <c r="AB127" s="10">
        <f>Table1[[#This Row],[Raw Terrestrial Score]]+Table1[[#This Row],[Raw Freshwater Score]]</f>
        <v>495.71755480766296</v>
      </c>
      <c r="AC127" s="12">
        <f>Table1[[#This Row],[Terrestrial % of Summed Score]]*Table1[[#This Row],[Scaled Summed Score]]</f>
        <v>4.3172556243740015E-2</v>
      </c>
      <c r="AD127" s="12">
        <f>Table1[[#This Row],[Freshwater % of Summed Score]]*Table1[[#This Row],[Scaled Summed Score]]</f>
        <v>5.5098908845056707E-2</v>
      </c>
      <c r="AE127" s="12">
        <f>Table1[[#This Row],[Summed Raw Scores]]/MAX(Table1[Summed Raw Scores])</f>
        <v>9.8271465088796708E-2</v>
      </c>
      <c r="AF127" s="7"/>
    </row>
    <row r="128" spans="1:32" x14ac:dyDescent="0.3">
      <c r="A128" s="5" t="s">
        <v>108</v>
      </c>
      <c r="B128" s="5" t="s">
        <v>97</v>
      </c>
      <c r="C128" s="5" t="s">
        <v>32</v>
      </c>
      <c r="D128" s="5" t="s">
        <v>250</v>
      </c>
      <c r="E128" s="15">
        <v>49.58</v>
      </c>
      <c r="F128" s="15">
        <v>-121.35</v>
      </c>
      <c r="G128" s="6">
        <v>41.5</v>
      </c>
      <c r="H128" s="6">
        <v>40</v>
      </c>
      <c r="I128" s="6">
        <v>4</v>
      </c>
      <c r="J128" s="14">
        <v>61.7</v>
      </c>
      <c r="K128" s="14">
        <v>145.349752283105</v>
      </c>
      <c r="L128" s="6" t="s">
        <v>22</v>
      </c>
      <c r="M128" s="15">
        <v>0.72426406871269999</v>
      </c>
      <c r="N128" s="7">
        <v>14.961017305525326</v>
      </c>
      <c r="O128" s="7">
        <f>Table1[[#This Row],[R1 Length (km)]]+Table1[[#This Row],[T1 Length (km)]]</f>
        <v>15.685281374238025</v>
      </c>
      <c r="P128" s="9">
        <v>69</v>
      </c>
      <c r="Q128" s="7">
        <f>(Table1[[#This Row],[Linear Features (km)]]*0.4)*100</f>
        <v>627.41125496952111</v>
      </c>
      <c r="R128" s="7">
        <v>14.96</v>
      </c>
      <c r="S128" s="8">
        <f>Table1[[#This Row],[ATG (ha)]]/Table1[[#This Row],[Linear Area (ha)]]</f>
        <v>2.3844009621291764E-2</v>
      </c>
      <c r="T128" s="9" t="s">
        <v>22</v>
      </c>
      <c r="U128" s="9" t="s">
        <v>22</v>
      </c>
      <c r="V128" s="7" t="s">
        <v>22</v>
      </c>
      <c r="W128" s="7" t="s">
        <v>22</v>
      </c>
      <c r="X128" s="11">
        <v>264.04709166288399</v>
      </c>
      <c r="Y128" s="10">
        <f>Table1[[#This Row],[Raw Terrestrial Score]]/Table1[[#This Row],[Summed Raw Scores]]</f>
        <v>0.51579517711302514</v>
      </c>
      <c r="Z128" s="11">
        <v>247.87528252601601</v>
      </c>
      <c r="AA128" s="10">
        <f>Table1[[#This Row],[Raw Freshwater Score]]/Table1[[#This Row],[Summed Raw Scores]]</f>
        <v>0.48420482288697492</v>
      </c>
      <c r="AB128" s="10">
        <f>Table1[[#This Row],[Raw Terrestrial Score]]+Table1[[#This Row],[Raw Freshwater Score]]</f>
        <v>511.92237418889999</v>
      </c>
      <c r="AC128" s="12">
        <f>Table1[[#This Row],[Terrestrial % of Summed Score]]*Table1[[#This Row],[Scaled Summed Score]]</f>
        <v>5.2344917581575813E-2</v>
      </c>
      <c r="AD128" s="12">
        <f>Table1[[#This Row],[Freshwater % of Summed Score]]*Table1[[#This Row],[Scaled Summed Score]]</f>
        <v>4.9139004533705191E-2</v>
      </c>
      <c r="AE128" s="12">
        <f>Table1[[#This Row],[Summed Raw Scores]]/MAX(Table1[Summed Raw Scores])</f>
        <v>0.101483922115281</v>
      </c>
      <c r="AF128" s="7"/>
    </row>
    <row r="129" spans="1:32" x14ac:dyDescent="0.3">
      <c r="A129" s="5" t="s">
        <v>47</v>
      </c>
      <c r="B129" s="5" t="s">
        <v>42</v>
      </c>
      <c r="C129" s="5" t="s">
        <v>30</v>
      </c>
      <c r="D129" s="5"/>
      <c r="E129" s="6">
        <v>53.696828625899997</v>
      </c>
      <c r="F129" s="6">
        <v>-128.672318542</v>
      </c>
      <c r="G129" s="6">
        <v>1000</v>
      </c>
      <c r="H129" s="6" t="s">
        <v>22</v>
      </c>
      <c r="I129" s="6">
        <v>1000</v>
      </c>
      <c r="J129" s="5" t="s">
        <v>22</v>
      </c>
      <c r="K129" s="5" t="s">
        <v>22</v>
      </c>
      <c r="L129" s="6">
        <v>121.05029810000001</v>
      </c>
      <c r="M129" s="6">
        <v>3.0213203435615053</v>
      </c>
      <c r="N129" s="6">
        <v>86.858073580375986</v>
      </c>
      <c r="O129" s="6">
        <f>Table1[[#This Row],[R1 Length (km)]]+Table1[[#This Row],[T1 Length (km)]]</f>
        <v>89.879393923937485</v>
      </c>
      <c r="P129" s="5">
        <v>500</v>
      </c>
      <c r="Q129" s="6">
        <f>(Table1[[#This Row],[Linear Features (km)]]*0.4)*100</f>
        <v>3595.1757569574993</v>
      </c>
      <c r="R129" s="7">
        <v>109.5</v>
      </c>
      <c r="S129" s="8">
        <f>Table1[[#This Row],[ATG (ha)]]/Table1[[#This Row],[Linear Area (ha)]]</f>
        <v>3.0457481748449179E-2</v>
      </c>
      <c r="T129" s="9" t="s">
        <v>22</v>
      </c>
      <c r="U129" s="9" t="s">
        <v>22</v>
      </c>
      <c r="V129" s="7" t="s">
        <v>22</v>
      </c>
      <c r="W129" s="7" t="s">
        <v>22</v>
      </c>
      <c r="X129" s="11">
        <v>868.50048660067796</v>
      </c>
      <c r="Y129" s="10">
        <f>Table1[[#This Row],[Raw Terrestrial Score]]/Table1[[#This Row],[Summed Raw Scores]]</f>
        <v>0.54858856704905612</v>
      </c>
      <c r="Z129" s="11">
        <v>714.654064491187</v>
      </c>
      <c r="AA129" s="10">
        <f>Table1[[#This Row],[Raw Freshwater Score]]/Table1[[#This Row],[Summed Raw Scores]]</f>
        <v>0.45141143295094383</v>
      </c>
      <c r="AB129" s="10">
        <f>Table1[[#This Row],[Raw Terrestrial Score]]+Table1[[#This Row],[Raw Freshwater Score]]</f>
        <v>1583.154551091865</v>
      </c>
      <c r="AC129" s="12">
        <f>Table1[[#This Row],[Terrestrial % of Summed Score]]*Table1[[#This Row],[Scaled Summed Score]]</f>
        <v>0.17217226709208749</v>
      </c>
      <c r="AD129" s="12">
        <f>Table1[[#This Row],[Freshwater % of Summed Score]]*Table1[[#This Row],[Scaled Summed Score]]</f>
        <v>0.14167362294938582</v>
      </c>
      <c r="AE129" s="12">
        <f>Table1[[#This Row],[Summed Raw Scores]]/MAX(Table1[Summed Raw Scores])</f>
        <v>0.31384589004147334</v>
      </c>
      <c r="AF129" s="7"/>
    </row>
    <row r="130" spans="1:32" x14ac:dyDescent="0.3">
      <c r="A130" s="5" t="s">
        <v>35</v>
      </c>
      <c r="B130" s="5" t="s">
        <v>24</v>
      </c>
      <c r="C130" s="5" t="s">
        <v>32</v>
      </c>
      <c r="D130" s="5" t="s">
        <v>250</v>
      </c>
      <c r="E130" s="6">
        <v>49.736758000000002</v>
      </c>
      <c r="F130" s="6">
        <v>-122.303431</v>
      </c>
      <c r="G130" s="6">
        <v>10</v>
      </c>
      <c r="H130" s="6">
        <v>8</v>
      </c>
      <c r="I130" s="6" t="s">
        <v>22</v>
      </c>
      <c r="J130" s="6">
        <v>57</v>
      </c>
      <c r="K130" s="6">
        <v>157.06</v>
      </c>
      <c r="L130" s="6" t="s">
        <v>22</v>
      </c>
      <c r="M130" s="6">
        <f>300.000000003725/1000</f>
        <v>0.30000000000372501</v>
      </c>
      <c r="N130" s="6">
        <v>8.4426400000000008</v>
      </c>
      <c r="O130" s="6">
        <f>Table1[[#This Row],[R1 Length (km)]]+Table1[[#This Row],[T1 Length (km)]]</f>
        <v>8.7426400000037265</v>
      </c>
      <c r="P130" s="5">
        <v>69</v>
      </c>
      <c r="Q130" s="6">
        <f>(Table1[[#This Row],[Linear Features (km)]]*0.4)*100</f>
        <v>349.7056000001491</v>
      </c>
      <c r="R130" s="7">
        <v>2.2999999999999998</v>
      </c>
      <c r="S130" s="8">
        <f>Table1[[#This Row],[ATG (ha)]]/Table1[[#This Row],[Linear Area (ha)]]</f>
        <v>6.5769607349696977E-3</v>
      </c>
      <c r="T130" s="9" t="s">
        <v>22</v>
      </c>
      <c r="U130" s="9" t="s">
        <v>22</v>
      </c>
      <c r="V130" s="7" t="s">
        <v>22</v>
      </c>
      <c r="W130" s="7" t="s">
        <v>22</v>
      </c>
      <c r="X130" s="11">
        <v>75.764945209026294</v>
      </c>
      <c r="Y130" s="10">
        <f>Table1[[#This Row],[Raw Terrestrial Score]]/Table1[[#This Row],[Summed Raw Scores]]</f>
        <v>0.40855103968577433</v>
      </c>
      <c r="Z130" s="11">
        <v>109.68298625945999</v>
      </c>
      <c r="AA130" s="10">
        <f>Table1[[#This Row],[Raw Freshwater Score]]/Table1[[#This Row],[Summed Raw Scores]]</f>
        <v>0.59144896031422578</v>
      </c>
      <c r="AB130" s="10">
        <f>Table1[[#This Row],[Raw Terrestrial Score]]+Table1[[#This Row],[Raw Freshwater Score]]</f>
        <v>185.44793146848627</v>
      </c>
      <c r="AC130" s="12">
        <f>Table1[[#This Row],[Terrestrial % of Summed Score]]*Table1[[#This Row],[Scaled Summed Score]]</f>
        <v>1.5019706475701205E-2</v>
      </c>
      <c r="AD130" s="12">
        <f>Table1[[#This Row],[Freshwater % of Summed Score]]*Table1[[#This Row],[Scaled Summed Score]]</f>
        <v>2.1743647467182395E-2</v>
      </c>
      <c r="AE130" s="12">
        <f>Table1[[#This Row],[Summed Raw Scores]]/MAX(Table1[Summed Raw Scores])</f>
        <v>3.6763353942883596E-2</v>
      </c>
      <c r="AF130" s="7"/>
    </row>
    <row r="131" spans="1:32" x14ac:dyDescent="0.3">
      <c r="A131" s="5" t="s">
        <v>57</v>
      </c>
      <c r="B131" s="5" t="s">
        <v>58</v>
      </c>
      <c r="C131" s="5" t="s">
        <v>59</v>
      </c>
      <c r="D131" s="5"/>
      <c r="E131" s="6">
        <v>54.144493179999998</v>
      </c>
      <c r="F131" s="6">
        <v>-122.7890088</v>
      </c>
      <c r="G131" s="6">
        <v>215.933538462</v>
      </c>
      <c r="H131" s="6" t="s">
        <v>22</v>
      </c>
      <c r="I131" s="6" t="s">
        <v>22</v>
      </c>
      <c r="J131" s="6">
        <v>341.24863688479297</v>
      </c>
      <c r="K131" s="6">
        <v>102.9148728582885</v>
      </c>
      <c r="L131" s="6" t="s">
        <v>22</v>
      </c>
      <c r="M131" s="6">
        <v>0.6</v>
      </c>
      <c r="N131" s="6">
        <v>11.3</v>
      </c>
      <c r="O131" s="6">
        <f>Table1[[#This Row],[R1 Length (km)]]+Table1[[#This Row],[T1 Length (km)]]</f>
        <v>11.9</v>
      </c>
      <c r="P131" s="5">
        <v>230</v>
      </c>
      <c r="Q131" s="6">
        <f>(Table1[[#This Row],[Linear Features (km)]]*0.4)*100</f>
        <v>476.00000000000006</v>
      </c>
      <c r="R131" s="6">
        <v>720.9</v>
      </c>
      <c r="S131" s="19">
        <f>Table1[[#This Row],[ATG (ha)]]/Table1[[#This Row],[Linear Area (ha)]]</f>
        <v>1.5144957983193275</v>
      </c>
      <c r="T131" s="9" t="s">
        <v>22</v>
      </c>
      <c r="U131" s="9" t="s">
        <v>22</v>
      </c>
      <c r="V131" s="6">
        <v>720.9</v>
      </c>
      <c r="W131" s="6">
        <v>288.36</v>
      </c>
      <c r="X131" s="11">
        <v>218.734017252922</v>
      </c>
      <c r="Y131" s="10">
        <f>Table1[[#This Row],[Raw Terrestrial Score]]/Table1[[#This Row],[Summed Raw Scores]]</f>
        <v>0.65435679836408323</v>
      </c>
      <c r="Z131" s="11">
        <v>115.539299383759</v>
      </c>
      <c r="AA131" s="10">
        <f>Table1[[#This Row],[Raw Freshwater Score]]/Table1[[#This Row],[Summed Raw Scores]]</f>
        <v>0.34564320163591683</v>
      </c>
      <c r="AB131" s="10">
        <f>Table1[[#This Row],[Raw Terrestrial Score]]+Table1[[#This Row],[Raw Freshwater Score]]</f>
        <v>334.27331663668099</v>
      </c>
      <c r="AC131" s="12">
        <f>Table1[[#This Row],[Terrestrial % of Summed Score]]*Table1[[#This Row],[Scaled Summed Score]]</f>
        <v>4.3362015590799288E-2</v>
      </c>
      <c r="AD131" s="12">
        <f>Table1[[#This Row],[Freshwater % of Summed Score]]*Table1[[#This Row],[Scaled Summed Score]]</f>
        <v>2.2904607907582589E-2</v>
      </c>
      <c r="AE131" s="12">
        <f>Table1[[#This Row],[Summed Raw Scores]]/MAX(Table1[Summed Raw Scores])</f>
        <v>6.6266623498381874E-2</v>
      </c>
      <c r="AF131" s="7"/>
    </row>
    <row r="132" spans="1:32" x14ac:dyDescent="0.3">
      <c r="A132" s="5" t="s">
        <v>60</v>
      </c>
      <c r="B132" s="5" t="s">
        <v>58</v>
      </c>
      <c r="C132" s="5" t="s">
        <v>59</v>
      </c>
      <c r="D132" s="5"/>
      <c r="E132" s="6">
        <v>54.110551350000001</v>
      </c>
      <c r="F132" s="6">
        <v>-122.67548189999999</v>
      </c>
      <c r="G132" s="6">
        <v>139.569230769</v>
      </c>
      <c r="H132" s="6" t="s">
        <v>22</v>
      </c>
      <c r="I132" s="6" t="s">
        <v>22</v>
      </c>
      <c r="J132" s="6">
        <v>218.33480922059522</v>
      </c>
      <c r="K132" s="6">
        <v>103.50424852725466</v>
      </c>
      <c r="L132" s="6" t="s">
        <v>22</v>
      </c>
      <c r="M132" s="6">
        <v>0.8</v>
      </c>
      <c r="N132" s="6">
        <v>5.3</v>
      </c>
      <c r="O132" s="6">
        <f>Table1[[#This Row],[R1 Length (km)]]+Table1[[#This Row],[T1 Length (km)]]</f>
        <v>6.1</v>
      </c>
      <c r="P132" s="5">
        <v>130</v>
      </c>
      <c r="Q132" s="6">
        <f>(Table1[[#This Row],[Linear Features (km)]]*0.4)*100</f>
        <v>244</v>
      </c>
      <c r="R132" s="6">
        <v>490.86</v>
      </c>
      <c r="S132" s="19">
        <f>Table1[[#This Row],[ATG (ha)]]/Table1[[#This Row],[Linear Area (ha)]]</f>
        <v>2.01172131147541</v>
      </c>
      <c r="T132" s="9" t="s">
        <v>22</v>
      </c>
      <c r="U132" s="9" t="s">
        <v>22</v>
      </c>
      <c r="V132" s="6">
        <v>490.86</v>
      </c>
      <c r="W132" s="6">
        <v>196.34400000000002</v>
      </c>
      <c r="X132" s="11">
        <v>169.815090835094</v>
      </c>
      <c r="Y132" s="10">
        <f>Table1[[#This Row],[Raw Terrestrial Score]]/Table1[[#This Row],[Summed Raw Scores]]</f>
        <v>0.4625813440300709</v>
      </c>
      <c r="Z132" s="11">
        <v>197.28810739517201</v>
      </c>
      <c r="AA132" s="10">
        <f>Table1[[#This Row],[Raw Freshwater Score]]/Table1[[#This Row],[Summed Raw Scores]]</f>
        <v>0.5374186559699291</v>
      </c>
      <c r="AB132" s="10">
        <f>Table1[[#This Row],[Raw Terrestrial Score]]+Table1[[#This Row],[Raw Freshwater Score]]</f>
        <v>367.103198230266</v>
      </c>
      <c r="AC132" s="12">
        <f>Table1[[#This Row],[Terrestrial % of Summed Score]]*Table1[[#This Row],[Scaled Summed Score]]</f>
        <v>3.3664286464550705E-2</v>
      </c>
      <c r="AD132" s="12">
        <f>Table1[[#This Row],[Freshwater % of Summed Score]]*Table1[[#This Row],[Scaled Summed Score]]</f>
        <v>3.9110560379169601E-2</v>
      </c>
      <c r="AE132" s="12">
        <f>Table1[[#This Row],[Summed Raw Scores]]/MAX(Table1[Summed Raw Scores])</f>
        <v>7.2774846843720306E-2</v>
      </c>
      <c r="AF132" s="7"/>
    </row>
    <row r="133" spans="1:32" x14ac:dyDescent="0.3">
      <c r="A133" s="5" t="s">
        <v>61</v>
      </c>
      <c r="B133" s="5" t="s">
        <v>58</v>
      </c>
      <c r="C133" s="5" t="s">
        <v>59</v>
      </c>
      <c r="D133" s="5"/>
      <c r="E133" s="6">
        <v>53.945526719999997</v>
      </c>
      <c r="F133" s="6">
        <v>-123.0634147</v>
      </c>
      <c r="G133" s="6">
        <v>343.53969230799999</v>
      </c>
      <c r="H133" s="6" t="s">
        <v>22</v>
      </c>
      <c r="I133" s="6" t="s">
        <v>22</v>
      </c>
      <c r="J133" s="6">
        <v>542.83013040303354</v>
      </c>
      <c r="K133" s="6">
        <v>102.5152621749335</v>
      </c>
      <c r="L133" s="6" t="s">
        <v>22</v>
      </c>
      <c r="M133" s="6">
        <v>0.6</v>
      </c>
      <c r="N133" s="6">
        <v>34.5</v>
      </c>
      <c r="O133" s="6">
        <f>Table1[[#This Row],[R1 Length (km)]]+Table1[[#This Row],[T1 Length (km)]]</f>
        <v>35.1</v>
      </c>
      <c r="P133" s="5">
        <v>230</v>
      </c>
      <c r="Q133" s="6">
        <f>(Table1[[#This Row],[Linear Features (km)]]*0.4)*100</f>
        <v>1404</v>
      </c>
      <c r="R133" s="6">
        <v>443.07</v>
      </c>
      <c r="S133" s="19">
        <f>Table1[[#This Row],[ATG (ha)]]/Table1[[#This Row],[Linear Area (ha)]]</f>
        <v>0.31557692307692309</v>
      </c>
      <c r="T133" s="9" t="s">
        <v>22</v>
      </c>
      <c r="U133" s="9" t="s">
        <v>22</v>
      </c>
      <c r="V133" s="6">
        <v>443.07</v>
      </c>
      <c r="W133" s="6">
        <v>177.22800000000001</v>
      </c>
      <c r="X133" s="11">
        <v>599.91415184736297</v>
      </c>
      <c r="Y133" s="10">
        <f>Table1[[#This Row],[Raw Terrestrial Score]]/Table1[[#This Row],[Summed Raw Scores]]</f>
        <v>0.68127048113653177</v>
      </c>
      <c r="Z133" s="11">
        <v>280.66730362176901</v>
      </c>
      <c r="AA133" s="10">
        <f>Table1[[#This Row],[Raw Freshwater Score]]/Table1[[#This Row],[Summed Raw Scores]]</f>
        <v>0.31872951886346823</v>
      </c>
      <c r="AB133" s="10">
        <f>Table1[[#This Row],[Raw Terrestrial Score]]+Table1[[#This Row],[Raw Freshwater Score]]</f>
        <v>880.58145546913192</v>
      </c>
      <c r="AC133" s="12">
        <f>Table1[[#This Row],[Terrestrial % of Summed Score]]*Table1[[#This Row],[Scaled Summed Score]]</f>
        <v>0.11892748614161419</v>
      </c>
      <c r="AD133" s="12">
        <f>Table1[[#This Row],[Freshwater % of Summed Score]]*Table1[[#This Row],[Scaled Summed Score]]</f>
        <v>5.5639722382103164E-2</v>
      </c>
      <c r="AE133" s="12">
        <f>Table1[[#This Row],[Summed Raw Scores]]/MAX(Table1[Summed Raw Scores])</f>
        <v>0.17456720852371735</v>
      </c>
      <c r="AF133" s="6"/>
    </row>
    <row r="134" spans="1:32" x14ac:dyDescent="0.3">
      <c r="A134" s="5" t="s">
        <v>62</v>
      </c>
      <c r="B134" s="5" t="s">
        <v>58</v>
      </c>
      <c r="C134" s="5" t="s">
        <v>59</v>
      </c>
      <c r="D134" s="5"/>
      <c r="E134" s="6">
        <v>53.987330720000003</v>
      </c>
      <c r="F134" s="6">
        <v>-122.8003246</v>
      </c>
      <c r="G134" s="6">
        <v>153.725538462</v>
      </c>
      <c r="H134" s="6" t="s">
        <v>22</v>
      </c>
      <c r="I134" s="6" t="s">
        <v>22</v>
      </c>
      <c r="J134" s="6">
        <v>246.20021132315097</v>
      </c>
      <c r="K134" s="6">
        <v>103.56327708214516</v>
      </c>
      <c r="L134" s="6" t="s">
        <v>22</v>
      </c>
      <c r="M134" s="6">
        <v>0</v>
      </c>
      <c r="N134" s="6">
        <v>22.5</v>
      </c>
      <c r="O134" s="6">
        <f>Table1[[#This Row],[R1 Length (km)]]+Table1[[#This Row],[T1 Length (km)]]</f>
        <v>22.5</v>
      </c>
      <c r="P134" s="5">
        <v>130</v>
      </c>
      <c r="Q134" s="6">
        <f>(Table1[[#This Row],[Linear Features (km)]]*0.4)*100</f>
        <v>900</v>
      </c>
      <c r="R134" s="6">
        <v>495.72</v>
      </c>
      <c r="S134" s="19">
        <f>Table1[[#This Row],[ATG (ha)]]/Table1[[#This Row],[Linear Area (ha)]]</f>
        <v>0.55080000000000007</v>
      </c>
      <c r="T134" s="9" t="s">
        <v>22</v>
      </c>
      <c r="U134" s="9" t="s">
        <v>22</v>
      </c>
      <c r="V134" s="6">
        <v>495.72</v>
      </c>
      <c r="W134" s="6">
        <v>198.28800000000001</v>
      </c>
      <c r="X134" s="11">
        <v>215.355237521231</v>
      </c>
      <c r="Y134" s="10">
        <f>Table1[[#This Row],[Raw Terrestrial Score]]/Table1[[#This Row],[Summed Raw Scores]]</f>
        <v>0.55314953740792494</v>
      </c>
      <c r="Z134" s="11">
        <v>173.970293745399</v>
      </c>
      <c r="AA134" s="10">
        <f>Table1[[#This Row],[Raw Freshwater Score]]/Table1[[#This Row],[Summed Raw Scores]]</f>
        <v>0.44685046259207506</v>
      </c>
      <c r="AB134" s="10">
        <f>Table1[[#This Row],[Raw Terrestrial Score]]+Table1[[#This Row],[Raw Freshwater Score]]</f>
        <v>389.32553126663004</v>
      </c>
      <c r="AC134" s="12">
        <f>Table1[[#This Row],[Terrestrial % of Summed Score]]*Table1[[#This Row],[Scaled Summed Score]]</f>
        <v>4.2692203454381329E-2</v>
      </c>
      <c r="AD134" s="12">
        <f>Table1[[#This Row],[Freshwater % of Summed Score]]*Table1[[#This Row],[Scaled Summed Score]]</f>
        <v>3.4488017385065191E-2</v>
      </c>
      <c r="AE134" s="12">
        <f>Table1[[#This Row],[Summed Raw Scores]]/MAX(Table1[Summed Raw Scores])</f>
        <v>7.718022083944652E-2</v>
      </c>
      <c r="AF134" s="6"/>
    </row>
    <row r="135" spans="1:32" x14ac:dyDescent="0.3">
      <c r="A135" s="5" t="s">
        <v>63</v>
      </c>
      <c r="B135" s="5" t="s">
        <v>58</v>
      </c>
      <c r="C135" s="5" t="s">
        <v>59</v>
      </c>
      <c r="D135" s="5"/>
      <c r="E135" s="6">
        <v>54.076540960000003</v>
      </c>
      <c r="F135" s="6">
        <v>-122.56210470000001</v>
      </c>
      <c r="G135" s="6">
        <v>250.626461538</v>
      </c>
      <c r="H135" s="6" t="s">
        <v>22</v>
      </c>
      <c r="I135" s="6" t="s">
        <v>22</v>
      </c>
      <c r="J135" s="6">
        <v>389.13790936218737</v>
      </c>
      <c r="K135" s="6">
        <v>103.23340136967143</v>
      </c>
      <c r="L135" s="6" t="s">
        <v>22</v>
      </c>
      <c r="M135" s="6">
        <v>0.8</v>
      </c>
      <c r="N135" s="6">
        <v>9.6</v>
      </c>
      <c r="O135" s="6">
        <f>Table1[[#This Row],[R1 Length (km)]]+Table1[[#This Row],[T1 Length (km)]]</f>
        <v>10.4</v>
      </c>
      <c r="P135" s="5">
        <v>230</v>
      </c>
      <c r="Q135" s="6">
        <f>(Table1[[#This Row],[Linear Features (km)]]*0.4)*100</f>
        <v>416</v>
      </c>
      <c r="R135" s="6">
        <v>384.75</v>
      </c>
      <c r="S135" s="19">
        <f>Table1[[#This Row],[ATG (ha)]]/Table1[[#This Row],[Linear Area (ha)]]</f>
        <v>0.92487980769230771</v>
      </c>
      <c r="T135" s="9" t="s">
        <v>22</v>
      </c>
      <c r="U135" s="9" t="s">
        <v>22</v>
      </c>
      <c r="V135" s="6">
        <v>384.75</v>
      </c>
      <c r="W135" s="6">
        <v>153.9</v>
      </c>
      <c r="X135" s="11">
        <v>258.73444092273701</v>
      </c>
      <c r="Y135" s="10">
        <f>Table1[[#This Row],[Raw Terrestrial Score]]/Table1[[#This Row],[Summed Raw Scores]]</f>
        <v>0.56786302410290856</v>
      </c>
      <c r="Z135" s="11">
        <v>196.89381790161099</v>
      </c>
      <c r="AA135" s="10">
        <f>Table1[[#This Row],[Raw Freshwater Score]]/Table1[[#This Row],[Summed Raw Scores]]</f>
        <v>0.43213697589709138</v>
      </c>
      <c r="AB135" s="10">
        <f>Table1[[#This Row],[Raw Terrestrial Score]]+Table1[[#This Row],[Raw Freshwater Score]]</f>
        <v>455.62825882434799</v>
      </c>
      <c r="AC135" s="12">
        <f>Table1[[#This Row],[Terrestrial % of Summed Score]]*Table1[[#This Row],[Scaled Summed Score]]</f>
        <v>5.129173322956735E-2</v>
      </c>
      <c r="AD135" s="12">
        <f>Table1[[#This Row],[Freshwater % of Summed Score]]*Table1[[#This Row],[Scaled Summed Score]]</f>
        <v>3.9032396098268973E-2</v>
      </c>
      <c r="AE135" s="12">
        <f>Table1[[#This Row],[Summed Raw Scores]]/MAX(Table1[Summed Raw Scores])</f>
        <v>9.0324129327836331E-2</v>
      </c>
      <c r="AF135" s="6"/>
    </row>
    <row r="136" spans="1:32" x14ac:dyDescent="0.3">
      <c r="A136" s="5" t="s">
        <v>64</v>
      </c>
      <c r="B136" s="5" t="s">
        <v>58</v>
      </c>
      <c r="C136" s="5" t="s">
        <v>59</v>
      </c>
      <c r="D136" s="5"/>
      <c r="E136" s="6">
        <v>54.01498333</v>
      </c>
      <c r="F136" s="6">
        <v>-122.62469489999999</v>
      </c>
      <c r="G136" s="6">
        <v>290.70276923099999</v>
      </c>
      <c r="H136" s="6" t="s">
        <v>22</v>
      </c>
      <c r="I136" s="6" t="s">
        <v>22</v>
      </c>
      <c r="J136" s="6">
        <v>454.63551613398141</v>
      </c>
      <c r="K136" s="6">
        <v>102.89142068129254</v>
      </c>
      <c r="L136" s="6" t="s">
        <v>22</v>
      </c>
      <c r="M136" s="6">
        <v>0.4</v>
      </c>
      <c r="N136" s="6">
        <v>15</v>
      </c>
      <c r="O136" s="6">
        <f>Table1[[#This Row],[R1 Length (km)]]+Table1[[#This Row],[T1 Length (km)]]</f>
        <v>15.4</v>
      </c>
      <c r="P136" s="5">
        <v>230</v>
      </c>
      <c r="Q136" s="6">
        <f>(Table1[[#This Row],[Linear Features (km)]]*0.4)*100</f>
        <v>616</v>
      </c>
      <c r="R136" s="6">
        <v>464.94</v>
      </c>
      <c r="S136" s="19">
        <f>Table1[[#This Row],[ATG (ha)]]/Table1[[#This Row],[Linear Area (ha)]]</f>
        <v>0.75477272727272726</v>
      </c>
      <c r="T136" s="9" t="s">
        <v>22</v>
      </c>
      <c r="U136" s="9" t="s">
        <v>22</v>
      </c>
      <c r="V136" s="6">
        <v>464.94</v>
      </c>
      <c r="W136" s="6">
        <v>185.976</v>
      </c>
      <c r="X136" s="11">
        <v>413.50758886337297</v>
      </c>
      <c r="Y136" s="10">
        <f>Table1[[#This Row],[Raw Terrestrial Score]]/Table1[[#This Row],[Summed Raw Scores]]</f>
        <v>0.60221916310975943</v>
      </c>
      <c r="Z136" s="11">
        <v>273.13211673498199</v>
      </c>
      <c r="AA136" s="10">
        <f>Table1[[#This Row],[Raw Freshwater Score]]/Table1[[#This Row],[Summed Raw Scores]]</f>
        <v>0.39778083689024046</v>
      </c>
      <c r="AB136" s="10">
        <f>Table1[[#This Row],[Raw Terrestrial Score]]+Table1[[#This Row],[Raw Freshwater Score]]</f>
        <v>686.63970559835502</v>
      </c>
      <c r="AC136" s="12">
        <f>Table1[[#This Row],[Terrestrial % of Summed Score]]*Table1[[#This Row],[Scaled Summed Score]]</f>
        <v>8.1974092280645797E-2</v>
      </c>
      <c r="AD136" s="12">
        <f>Table1[[#This Row],[Freshwater % of Summed Score]]*Table1[[#This Row],[Scaled Summed Score]]</f>
        <v>5.4145940594670282E-2</v>
      </c>
      <c r="AE136" s="12">
        <f>Table1[[#This Row],[Summed Raw Scores]]/MAX(Table1[Summed Raw Scores])</f>
        <v>0.1361200328753161</v>
      </c>
      <c r="AF136" s="6"/>
    </row>
    <row r="137" spans="1:32" x14ac:dyDescent="0.3">
      <c r="A137" s="5" t="s">
        <v>65</v>
      </c>
      <c r="B137" s="5" t="s">
        <v>58</v>
      </c>
      <c r="C137" s="5" t="s">
        <v>59</v>
      </c>
      <c r="D137" s="5"/>
      <c r="E137" s="6">
        <v>53.891850929999997</v>
      </c>
      <c r="F137" s="6">
        <v>-122.7494279</v>
      </c>
      <c r="G137" s="6">
        <v>370.45661538500002</v>
      </c>
      <c r="H137" s="6" t="s">
        <v>22</v>
      </c>
      <c r="I137" s="6" t="s">
        <v>22</v>
      </c>
      <c r="J137" s="6">
        <v>580.13911071541554</v>
      </c>
      <c r="K137" s="6">
        <v>100.256598345669</v>
      </c>
      <c r="L137" s="6" t="s">
        <v>22</v>
      </c>
      <c r="M137" s="6">
        <v>0</v>
      </c>
      <c r="N137" s="6">
        <v>12.1</v>
      </c>
      <c r="O137" s="6">
        <f>Table1[[#This Row],[R1 Length (km)]]+Table1[[#This Row],[T1 Length (km)]]</f>
        <v>12.1</v>
      </c>
      <c r="P137" s="5">
        <v>230</v>
      </c>
      <c r="Q137" s="6">
        <f>(Table1[[#This Row],[Linear Features (km)]]*0.4)*100</f>
        <v>484</v>
      </c>
      <c r="R137" s="6">
        <v>329.67</v>
      </c>
      <c r="S137" s="19">
        <f>Table1[[#This Row],[ATG (ha)]]/Table1[[#This Row],[Linear Area (ha)]]</f>
        <v>0.68113636363636365</v>
      </c>
      <c r="T137" s="9" t="s">
        <v>22</v>
      </c>
      <c r="U137" s="9" t="s">
        <v>22</v>
      </c>
      <c r="V137" s="6">
        <v>329.67</v>
      </c>
      <c r="W137" s="6">
        <v>131.86800000000002</v>
      </c>
      <c r="X137" s="11">
        <v>309.92168021202099</v>
      </c>
      <c r="Y137" s="10">
        <f>Table1[[#This Row],[Raw Terrestrial Score]]/Table1[[#This Row],[Summed Raw Scores]]</f>
        <v>0.69669709850069761</v>
      </c>
      <c r="Z137" s="11">
        <v>134.92254388332401</v>
      </c>
      <c r="AA137" s="10">
        <f>Table1[[#This Row],[Raw Freshwater Score]]/Table1[[#This Row],[Summed Raw Scores]]</f>
        <v>0.30330290149930234</v>
      </c>
      <c r="AB137" s="10">
        <f>Table1[[#This Row],[Raw Terrestrial Score]]+Table1[[#This Row],[Raw Freshwater Score]]</f>
        <v>444.844224095345</v>
      </c>
      <c r="AC137" s="12">
        <f>Table1[[#This Row],[Terrestrial % of Summed Score]]*Table1[[#This Row],[Scaled Summed Score]]</f>
        <v>6.1439134607677665E-2</v>
      </c>
      <c r="AD137" s="12">
        <f>Table1[[#This Row],[Freshwater % of Summed Score]]*Table1[[#This Row],[Scaled Summed Score]]</f>
        <v>2.6747158603382899E-2</v>
      </c>
      <c r="AE137" s="12">
        <f>Table1[[#This Row],[Summed Raw Scores]]/MAX(Table1[Summed Raw Scores])</f>
        <v>8.8186293211060571E-2</v>
      </c>
      <c r="AF137" s="6"/>
    </row>
    <row r="138" spans="1:32" x14ac:dyDescent="0.3">
      <c r="A138" s="5" t="s">
        <v>66</v>
      </c>
      <c r="B138" s="5" t="s">
        <v>58</v>
      </c>
      <c r="C138" s="5" t="s">
        <v>59</v>
      </c>
      <c r="D138" s="5"/>
      <c r="E138" s="6">
        <v>53.905667559999998</v>
      </c>
      <c r="F138" s="6">
        <v>-122.66178530000001</v>
      </c>
      <c r="G138" s="6">
        <v>382.61907692300002</v>
      </c>
      <c r="H138" s="6" t="s">
        <v>22</v>
      </c>
      <c r="I138" s="6" t="s">
        <v>22</v>
      </c>
      <c r="J138" s="6">
        <v>593.97001973886643</v>
      </c>
      <c r="K138" s="6">
        <v>100.52005295582235</v>
      </c>
      <c r="L138" s="6" t="s">
        <v>22</v>
      </c>
      <c r="M138" s="6">
        <v>0.3</v>
      </c>
      <c r="N138" s="6">
        <v>7.9</v>
      </c>
      <c r="O138" s="6">
        <f>Table1[[#This Row],[R1 Length (km)]]+Table1[[#This Row],[T1 Length (km)]]</f>
        <v>8.2000000000000011</v>
      </c>
      <c r="P138" s="5">
        <v>230</v>
      </c>
      <c r="Q138" s="6">
        <f>(Table1[[#This Row],[Linear Features (km)]]*0.4)*100</f>
        <v>328.00000000000006</v>
      </c>
      <c r="R138" s="6">
        <v>357.21</v>
      </c>
      <c r="S138" s="19">
        <f>Table1[[#This Row],[ATG (ha)]]/Table1[[#This Row],[Linear Area (ha)]]</f>
        <v>1.0890548780487803</v>
      </c>
      <c r="T138" s="9" t="s">
        <v>22</v>
      </c>
      <c r="U138" s="9" t="s">
        <v>22</v>
      </c>
      <c r="V138" s="6">
        <v>357.21</v>
      </c>
      <c r="W138" s="6">
        <v>142.88399999999999</v>
      </c>
      <c r="X138" s="11">
        <v>138.551575779915</v>
      </c>
      <c r="Y138" s="10">
        <f>Table1[[#This Row],[Raw Terrestrial Score]]/Table1[[#This Row],[Summed Raw Scores]]</f>
        <v>0.52829175260907624</v>
      </c>
      <c r="Z138" s="11">
        <v>123.71179497241999</v>
      </c>
      <c r="AA138" s="10">
        <f>Table1[[#This Row],[Raw Freshwater Score]]/Table1[[#This Row],[Summed Raw Scores]]</f>
        <v>0.47170824739092376</v>
      </c>
      <c r="AB138" s="10">
        <f>Table1[[#This Row],[Raw Terrestrial Score]]+Table1[[#This Row],[Raw Freshwater Score]]</f>
        <v>262.26337075233499</v>
      </c>
      <c r="AC138" s="12">
        <f>Table1[[#This Row],[Terrestrial % of Summed Score]]*Table1[[#This Row],[Scaled Summed Score]]</f>
        <v>2.7466580939495937E-2</v>
      </c>
      <c r="AD138" s="12">
        <f>Table1[[#This Row],[Freshwater % of Summed Score]]*Table1[[#This Row],[Scaled Summed Score]]</f>
        <v>2.4524730308212631E-2</v>
      </c>
      <c r="AE138" s="12">
        <f>Table1[[#This Row],[Summed Raw Scores]]/MAX(Table1[Summed Raw Scores])</f>
        <v>5.1991311247708567E-2</v>
      </c>
      <c r="AF138" s="6"/>
    </row>
    <row r="139" spans="1:32" x14ac:dyDescent="0.3">
      <c r="A139" s="5" t="s">
        <v>67</v>
      </c>
      <c r="B139" s="5" t="s">
        <v>58</v>
      </c>
      <c r="C139" s="5" t="s">
        <v>59</v>
      </c>
      <c r="D139" s="5"/>
      <c r="E139" s="6">
        <v>53.768695370000003</v>
      </c>
      <c r="F139" s="6">
        <v>-122.8735674</v>
      </c>
      <c r="G139" s="6">
        <v>305.25784615399999</v>
      </c>
      <c r="H139" s="6" t="s">
        <v>22</v>
      </c>
      <c r="I139" s="6" t="s">
        <v>22</v>
      </c>
      <c r="J139" s="6">
        <v>485.659340765303</v>
      </c>
      <c r="K139" s="6">
        <v>101.00995459166877</v>
      </c>
      <c r="L139" s="6" t="s">
        <v>22</v>
      </c>
      <c r="M139" s="6">
        <v>0.6</v>
      </c>
      <c r="N139" s="6">
        <v>21.1</v>
      </c>
      <c r="O139" s="6">
        <f>Table1[[#This Row],[R1 Length (km)]]+Table1[[#This Row],[T1 Length (km)]]</f>
        <v>21.700000000000003</v>
      </c>
      <c r="P139" s="5">
        <v>230</v>
      </c>
      <c r="Q139" s="6">
        <f>(Table1[[#This Row],[Linear Features (km)]]*0.4)*100</f>
        <v>868.00000000000011</v>
      </c>
      <c r="R139" s="6">
        <v>328.05</v>
      </c>
      <c r="S139" s="19">
        <f>Table1[[#This Row],[ATG (ha)]]/Table1[[#This Row],[Linear Area (ha)]]</f>
        <v>0.37793778801843314</v>
      </c>
      <c r="T139" s="9" t="s">
        <v>22</v>
      </c>
      <c r="U139" s="9" t="s">
        <v>22</v>
      </c>
      <c r="V139" s="6">
        <v>328.05</v>
      </c>
      <c r="W139" s="6">
        <v>131.22</v>
      </c>
      <c r="X139" s="11">
        <v>239.104651492089</v>
      </c>
      <c r="Y139" s="10">
        <f>Table1[[#This Row],[Raw Terrestrial Score]]/Table1[[#This Row],[Summed Raw Scores]]</f>
        <v>0.66393311747590411</v>
      </c>
      <c r="Z139" s="11">
        <v>121.028990283608</v>
      </c>
      <c r="AA139" s="10">
        <f>Table1[[#This Row],[Raw Freshwater Score]]/Table1[[#This Row],[Summed Raw Scores]]</f>
        <v>0.33606688252409589</v>
      </c>
      <c r="AB139" s="10">
        <f>Table1[[#This Row],[Raw Terrestrial Score]]+Table1[[#This Row],[Raw Freshwater Score]]</f>
        <v>360.13364177569701</v>
      </c>
      <c r="AC139" s="12">
        <f>Table1[[#This Row],[Terrestrial % of Summed Score]]*Table1[[#This Row],[Scaled Summed Score]]</f>
        <v>4.7400307259222563E-2</v>
      </c>
      <c r="AD139" s="12">
        <f>Table1[[#This Row],[Freshwater % of Summed Score]]*Table1[[#This Row],[Scaled Summed Score]]</f>
        <v>2.3992888849785881E-2</v>
      </c>
      <c r="AE139" s="19">
        <f>Table1[[#This Row],[Summed Raw Scores]]/MAX(Table1[Summed Raw Scores])</f>
        <v>7.1393196109008447E-2</v>
      </c>
    </row>
    <row r="140" spans="1:32" x14ac:dyDescent="0.3">
      <c r="A140" s="5" t="s">
        <v>68</v>
      </c>
      <c r="B140" s="5" t="s">
        <v>58</v>
      </c>
      <c r="C140" s="5" t="s">
        <v>59</v>
      </c>
      <c r="D140" s="5"/>
      <c r="E140" s="6">
        <v>53.844120330000003</v>
      </c>
      <c r="F140" s="6">
        <v>-122.72405000000001</v>
      </c>
      <c r="G140" s="6">
        <v>323.60123076899998</v>
      </c>
      <c r="H140" s="6" t="s">
        <v>22</v>
      </c>
      <c r="I140" s="6" t="s">
        <v>22</v>
      </c>
      <c r="J140" s="6">
        <v>502.62833385978621</v>
      </c>
      <c r="K140" s="6">
        <v>101.2851055941847</v>
      </c>
      <c r="L140" s="6" t="s">
        <v>22</v>
      </c>
      <c r="M140" s="6">
        <v>0</v>
      </c>
      <c r="N140" s="6">
        <v>7.9</v>
      </c>
      <c r="O140" s="6">
        <f>Table1[[#This Row],[R1 Length (km)]]+Table1[[#This Row],[T1 Length (km)]]</f>
        <v>7.9</v>
      </c>
      <c r="P140" s="5">
        <v>230</v>
      </c>
      <c r="Q140" s="6">
        <f>(Table1[[#This Row],[Linear Features (km)]]*0.4)*100</f>
        <v>316</v>
      </c>
      <c r="R140" s="6">
        <v>430.11</v>
      </c>
      <c r="S140" s="19">
        <f>Table1[[#This Row],[ATG (ha)]]/Table1[[#This Row],[Linear Area (ha)]]</f>
        <v>1.3611075949367089</v>
      </c>
      <c r="T140" s="9" t="s">
        <v>22</v>
      </c>
      <c r="U140" s="9" t="s">
        <v>22</v>
      </c>
      <c r="V140" s="6">
        <v>430.11</v>
      </c>
      <c r="W140" s="6">
        <v>172.04400000000001</v>
      </c>
      <c r="X140" s="11">
        <v>164.67434525489799</v>
      </c>
      <c r="Y140" s="10">
        <f>Table1[[#This Row],[Raw Terrestrial Score]]/Table1[[#This Row],[Summed Raw Scores]]</f>
        <v>0.52821301138107424</v>
      </c>
      <c r="Z140" s="11">
        <v>147.08311188221001</v>
      </c>
      <c r="AA140" s="10">
        <f>Table1[[#This Row],[Raw Freshwater Score]]/Table1[[#This Row],[Summed Raw Scores]]</f>
        <v>0.47178698861892582</v>
      </c>
      <c r="AB140" s="10">
        <f>Table1[[#This Row],[Raw Terrestrial Score]]+Table1[[#This Row],[Raw Freshwater Score]]</f>
        <v>311.75745713710796</v>
      </c>
      <c r="AC140" s="12">
        <f>Table1[[#This Row],[Terrestrial % of Summed Score]]*Table1[[#This Row],[Scaled Summed Score]]</f>
        <v>3.2645180736066606E-2</v>
      </c>
      <c r="AD140" s="12">
        <f>Table1[[#This Row],[Freshwater % of Summed Score]]*Table1[[#This Row],[Scaled Summed Score]]</f>
        <v>2.9157879833592578E-2</v>
      </c>
      <c r="AE140" s="19">
        <f>Table1[[#This Row],[Summed Raw Scores]]/MAX(Table1[Summed Raw Scores])</f>
        <v>6.1803060569659181E-2</v>
      </c>
    </row>
    <row r="141" spans="1:32" x14ac:dyDescent="0.3">
      <c r="A141" s="5" t="s">
        <v>69</v>
      </c>
      <c r="B141" s="5" t="s">
        <v>58</v>
      </c>
      <c r="C141" s="5" t="s">
        <v>59</v>
      </c>
      <c r="D141" s="5"/>
      <c r="E141" s="6">
        <v>53.857921349999998</v>
      </c>
      <c r="F141" s="6">
        <v>-122.6364816</v>
      </c>
      <c r="G141" s="6">
        <v>587.18769230800001</v>
      </c>
      <c r="H141" s="6" t="s">
        <v>22</v>
      </c>
      <c r="I141" s="6" t="s">
        <v>22</v>
      </c>
      <c r="J141" s="6">
        <v>908.36290450179092</v>
      </c>
      <c r="K141" s="6">
        <v>103.28156857498674</v>
      </c>
      <c r="L141" s="6" t="s">
        <v>22</v>
      </c>
      <c r="M141" s="6">
        <v>0.3</v>
      </c>
      <c r="N141" s="6">
        <v>0</v>
      </c>
      <c r="O141" s="6">
        <f>Table1[[#This Row],[R1 Length (km)]]+Table1[[#This Row],[T1 Length (km)]]</f>
        <v>0.3</v>
      </c>
      <c r="P141" s="5">
        <v>500</v>
      </c>
      <c r="Q141" s="6">
        <f>(Table1[[#This Row],[Linear Features (km)]]*0.4)*100</f>
        <v>12</v>
      </c>
      <c r="R141" s="6">
        <v>447.93</v>
      </c>
      <c r="S141" s="19">
        <f>Table1[[#This Row],[ATG (ha)]]/Table1[[#This Row],[Linear Area (ha)]]</f>
        <v>37.327500000000001</v>
      </c>
      <c r="T141" s="9" t="s">
        <v>22</v>
      </c>
      <c r="U141" s="9" t="s">
        <v>22</v>
      </c>
      <c r="V141" s="6">
        <v>447.93</v>
      </c>
      <c r="W141" s="6">
        <v>179.17200000000003</v>
      </c>
      <c r="X141" s="11">
        <v>261.38343763351401</v>
      </c>
      <c r="Y141" s="10">
        <f>Table1[[#This Row],[Raw Terrestrial Score]]/Table1[[#This Row],[Summed Raw Scores]]</f>
        <v>0.82037578998380734</v>
      </c>
      <c r="Z141" s="11">
        <v>57.230837464332602</v>
      </c>
      <c r="AA141" s="10">
        <f>Table1[[#This Row],[Raw Freshwater Score]]/Table1[[#This Row],[Summed Raw Scores]]</f>
        <v>0.17962421001619272</v>
      </c>
      <c r="AB141" s="10">
        <f>Table1[[#This Row],[Raw Terrestrial Score]]+Table1[[#This Row],[Raw Freshwater Score]]</f>
        <v>318.61427509784659</v>
      </c>
      <c r="AC141" s="12">
        <f>Table1[[#This Row],[Terrestrial % of Summed Score]]*Table1[[#This Row],[Scaled Summed Score]]</f>
        <v>5.1816872565987396E-2</v>
      </c>
      <c r="AD141" s="12">
        <f>Table1[[#This Row],[Freshwater % of Summed Score]]*Table1[[#This Row],[Scaled Summed Score]]</f>
        <v>1.1345489364525164E-2</v>
      </c>
      <c r="AE141" s="19">
        <f>Table1[[#This Row],[Summed Raw Scores]]/MAX(Table1[Summed Raw Scores])</f>
        <v>6.3162361930512556E-2</v>
      </c>
    </row>
    <row r="142" spans="1:32" x14ac:dyDescent="0.3">
      <c r="A142" s="5" t="s">
        <v>70</v>
      </c>
      <c r="B142" s="5" t="s">
        <v>58</v>
      </c>
      <c r="C142" s="5" t="s">
        <v>59</v>
      </c>
      <c r="D142" s="5"/>
      <c r="E142" s="6">
        <v>53.796395869999998</v>
      </c>
      <c r="F142" s="6">
        <v>-122.698719</v>
      </c>
      <c r="G142" s="6">
        <v>208.15753846199999</v>
      </c>
      <c r="H142" s="6" t="s">
        <v>22</v>
      </c>
      <c r="I142" s="6" t="s">
        <v>22</v>
      </c>
      <c r="J142" s="6">
        <v>322.65399598024555</v>
      </c>
      <c r="K142" s="6">
        <v>104.7992600895695</v>
      </c>
      <c r="L142" s="6" t="s">
        <v>22</v>
      </c>
      <c r="M142" s="6">
        <v>0.3</v>
      </c>
      <c r="N142" s="6">
        <v>9.1999999999999993</v>
      </c>
      <c r="O142" s="6">
        <f>Table1[[#This Row],[R1 Length (km)]]+Table1[[#This Row],[T1 Length (km)]]</f>
        <v>9.5</v>
      </c>
      <c r="P142" s="5">
        <v>230</v>
      </c>
      <c r="Q142" s="6">
        <f>(Table1[[#This Row],[Linear Features (km)]]*0.4)*100</f>
        <v>380</v>
      </c>
      <c r="R142" s="6">
        <v>1990.98</v>
      </c>
      <c r="S142" s="19">
        <f>Table1[[#This Row],[ATG (ha)]]/Table1[[#This Row],[Linear Area (ha)]]</f>
        <v>5.2394210526315792</v>
      </c>
      <c r="T142" s="9" t="s">
        <v>22</v>
      </c>
      <c r="U142" s="9" t="s">
        <v>22</v>
      </c>
      <c r="V142" s="6">
        <v>1990.98</v>
      </c>
      <c r="W142" s="6">
        <v>796.39200000000005</v>
      </c>
      <c r="X142" s="11">
        <v>906.19546318054199</v>
      </c>
      <c r="Y142" s="10">
        <f>Table1[[#This Row],[Raw Terrestrial Score]]/Table1[[#This Row],[Summed Raw Scores]]</f>
        <v>0.63534760106679933</v>
      </c>
      <c r="Z142" s="11">
        <v>520.10324583947704</v>
      </c>
      <c r="AA142" s="10">
        <f>Table1[[#This Row],[Raw Freshwater Score]]/Table1[[#This Row],[Summed Raw Scores]]</f>
        <v>0.36465239893320062</v>
      </c>
      <c r="AB142" s="10">
        <f>Table1[[#This Row],[Raw Terrestrial Score]]+Table1[[#This Row],[Raw Freshwater Score]]</f>
        <v>1426.298709020019</v>
      </c>
      <c r="AC142" s="12">
        <f>Table1[[#This Row],[Terrestrial % of Summed Score]]*Table1[[#This Row],[Scaled Summed Score]]</f>
        <v>0.1796449509602801</v>
      </c>
      <c r="AD142" s="12">
        <f>Table1[[#This Row],[Freshwater % of Summed Score]]*Table1[[#This Row],[Scaled Summed Score]]</f>
        <v>0.10310570499347164</v>
      </c>
      <c r="AE142" s="19">
        <f>Table1[[#This Row],[Summed Raw Scores]]/MAX(Table1[Summed Raw Scores])</f>
        <v>0.28275065595375176</v>
      </c>
    </row>
    <row r="143" spans="1:32" x14ac:dyDescent="0.3">
      <c r="A143" s="5" t="s">
        <v>71</v>
      </c>
      <c r="B143" s="5" t="s">
        <v>58</v>
      </c>
      <c r="C143" s="5" t="s">
        <v>59</v>
      </c>
      <c r="D143" s="5"/>
      <c r="E143" s="21">
        <v>53.810181309999997</v>
      </c>
      <c r="F143" s="21">
        <v>-122.61122469999999</v>
      </c>
      <c r="G143" s="21">
        <v>490.08738461500002</v>
      </c>
      <c r="H143" s="6" t="s">
        <v>22</v>
      </c>
      <c r="I143" s="6" t="s">
        <v>22</v>
      </c>
      <c r="J143" s="21">
        <v>754.37483183767301</v>
      </c>
      <c r="K143" s="21">
        <v>100.03668615824678</v>
      </c>
      <c r="L143" s="6" t="s">
        <v>22</v>
      </c>
      <c r="M143" s="21">
        <v>0.3</v>
      </c>
      <c r="N143" s="21">
        <v>4.2</v>
      </c>
      <c r="O143" s="6">
        <f>Table1[[#This Row],[R1 Length (km)]]+Table1[[#This Row],[T1 Length (km)]]</f>
        <v>4.5</v>
      </c>
      <c r="P143" s="11">
        <v>230</v>
      </c>
      <c r="Q143" s="6">
        <f>(Table1[[#This Row],[Linear Features (km)]]*0.4)*100</f>
        <v>180</v>
      </c>
      <c r="R143" s="21">
        <v>1504.98</v>
      </c>
      <c r="S143" s="19">
        <f>Table1[[#This Row],[ATG (ha)]]/Table1[[#This Row],[Linear Area (ha)]]</f>
        <v>8.3610000000000007</v>
      </c>
      <c r="T143" s="9" t="s">
        <v>22</v>
      </c>
      <c r="U143" s="9" t="s">
        <v>22</v>
      </c>
      <c r="V143" s="21">
        <v>1504.98</v>
      </c>
      <c r="W143" s="21">
        <v>601.99200000000008</v>
      </c>
      <c r="X143" s="11">
        <v>797.35714817047096</v>
      </c>
      <c r="Y143" s="10">
        <f>Table1[[#This Row],[Raw Terrestrial Score]]/Table1[[#This Row],[Summed Raw Scores]]</f>
        <v>0.70350690343634248</v>
      </c>
      <c r="Z143" s="11">
        <v>336.046297162771</v>
      </c>
      <c r="AA143" s="10">
        <f>Table1[[#This Row],[Raw Freshwater Score]]/Table1[[#This Row],[Summed Raw Scores]]</f>
        <v>0.29649309656365747</v>
      </c>
      <c r="AB143" s="10">
        <f>Table1[[#This Row],[Raw Terrestrial Score]]+Table1[[#This Row],[Raw Freshwater Score]]</f>
        <v>1133.403445333242</v>
      </c>
      <c r="AC143" s="12">
        <f>Table1[[#This Row],[Terrestrial % of Summed Score]]*Table1[[#This Row],[Scaled Summed Score]]</f>
        <v>0.15806875183215854</v>
      </c>
      <c r="AD143" s="12">
        <f>Table1[[#This Row],[Freshwater % of Summed Score]]*Table1[[#This Row],[Scaled Summed Score]]</f>
        <v>6.661810064939859E-2</v>
      </c>
      <c r="AE143" s="19">
        <f>Table1[[#This Row],[Summed Raw Scores]]/MAX(Table1[Summed Raw Scores])</f>
        <v>0.22468685248155715</v>
      </c>
    </row>
    <row r="144" spans="1:32" x14ac:dyDescent="0.3">
      <c r="A144" s="5" t="s">
        <v>72</v>
      </c>
      <c r="B144" s="5" t="s">
        <v>58</v>
      </c>
      <c r="C144" s="5" t="s">
        <v>59</v>
      </c>
      <c r="D144" s="5"/>
      <c r="E144" s="21">
        <v>53.762447399999999</v>
      </c>
      <c r="F144" s="21">
        <v>-122.5860143</v>
      </c>
      <c r="G144" s="21">
        <v>267.77353846199998</v>
      </c>
      <c r="H144" s="6" t="s">
        <v>22</v>
      </c>
      <c r="I144" s="6" t="s">
        <v>22</v>
      </c>
      <c r="J144" s="21">
        <v>417.37455832924564</v>
      </c>
      <c r="K144" s="21">
        <v>102.45902931533188</v>
      </c>
      <c r="L144" s="6" t="s">
        <v>22</v>
      </c>
      <c r="M144" s="21">
        <v>0.3</v>
      </c>
      <c r="N144" s="21">
        <v>10.3</v>
      </c>
      <c r="O144" s="6">
        <f>Table1[[#This Row],[R1 Length (km)]]+Table1[[#This Row],[T1 Length (km)]]</f>
        <v>10.600000000000001</v>
      </c>
      <c r="P144" s="11">
        <v>230</v>
      </c>
      <c r="Q144" s="6">
        <f>(Table1[[#This Row],[Linear Features (km)]]*0.4)*100</f>
        <v>424.00000000000011</v>
      </c>
      <c r="R144" s="21">
        <v>378.27000000000004</v>
      </c>
      <c r="S144" s="19">
        <f>Table1[[#This Row],[ATG (ha)]]/Table1[[#This Row],[Linear Area (ha)]]</f>
        <v>0.89214622641509422</v>
      </c>
      <c r="T144" s="9" t="s">
        <v>22</v>
      </c>
      <c r="U144" s="9" t="s">
        <v>22</v>
      </c>
      <c r="V144" s="21">
        <v>378.27000000000004</v>
      </c>
      <c r="W144" s="21">
        <v>151.30800000000002</v>
      </c>
      <c r="X144" s="11">
        <v>344.08267164230301</v>
      </c>
      <c r="Y144" s="10">
        <f>Table1[[#This Row],[Raw Terrestrial Score]]/Table1[[#This Row],[Summed Raw Scores]]</f>
        <v>0.69336940123985114</v>
      </c>
      <c r="Z144" s="11">
        <v>152.164597168565</v>
      </c>
      <c r="AA144" s="10">
        <f>Table1[[#This Row],[Raw Freshwater Score]]/Table1[[#This Row],[Summed Raw Scores]]</f>
        <v>0.30663059876014881</v>
      </c>
      <c r="AB144" s="10">
        <f>Table1[[#This Row],[Raw Terrestrial Score]]+Table1[[#This Row],[Raw Freshwater Score]]</f>
        <v>496.24726881086804</v>
      </c>
      <c r="AC144" s="12">
        <f>Table1[[#This Row],[Terrestrial % of Summed Score]]*Table1[[#This Row],[Scaled Summed Score]]</f>
        <v>6.8211238286842654E-2</v>
      </c>
      <c r="AD144" s="12">
        <f>Table1[[#This Row],[Freshwater % of Summed Score]]*Table1[[#This Row],[Scaled Summed Score]]</f>
        <v>3.0165237751572746E-2</v>
      </c>
      <c r="AE144" s="19">
        <f>Table1[[#This Row],[Summed Raw Scores]]/MAX(Table1[Summed Raw Scores])</f>
        <v>9.83764760384154E-2</v>
      </c>
    </row>
    <row r="145" spans="1:31" x14ac:dyDescent="0.3">
      <c r="A145" s="5" t="s">
        <v>73</v>
      </c>
      <c r="B145" s="5" t="s">
        <v>58</v>
      </c>
      <c r="C145" s="5" t="s">
        <v>25</v>
      </c>
      <c r="D145" s="5"/>
      <c r="E145" s="21">
        <v>51.032245750000001</v>
      </c>
      <c r="F145" s="21">
        <v>-121.66175560000001</v>
      </c>
      <c r="G145" s="21">
        <v>41.671384615400001</v>
      </c>
      <c r="H145" s="6" t="s">
        <v>22</v>
      </c>
      <c r="I145" s="6" t="s">
        <v>22</v>
      </c>
      <c r="J145" s="21">
        <v>74.167136563120138</v>
      </c>
      <c r="K145" s="21">
        <v>103.70208520210363</v>
      </c>
      <c r="L145" s="6" t="s">
        <v>22</v>
      </c>
      <c r="M145" s="21">
        <v>0.7</v>
      </c>
      <c r="N145" s="21">
        <v>8.9</v>
      </c>
      <c r="O145" s="6">
        <f>Table1[[#This Row],[R1 Length (km)]]+Table1[[#This Row],[T1 Length (km)]]</f>
        <v>9.6</v>
      </c>
      <c r="P145" s="11">
        <v>69</v>
      </c>
      <c r="Q145" s="6">
        <f>(Table1[[#This Row],[Linear Features (km)]]*0.4)*100</f>
        <v>384</v>
      </c>
      <c r="R145" s="21">
        <v>1554.39</v>
      </c>
      <c r="S145" s="19">
        <f>Table1[[#This Row],[ATG (ha)]]/Table1[[#This Row],[Linear Area (ha)]]</f>
        <v>4.047890625</v>
      </c>
      <c r="T145" s="9" t="s">
        <v>22</v>
      </c>
      <c r="U145" s="9" t="s">
        <v>22</v>
      </c>
      <c r="V145" s="21">
        <v>1554.39</v>
      </c>
      <c r="W145" s="21">
        <v>621.75600000000009</v>
      </c>
      <c r="X145" s="11">
        <v>346.58402907848398</v>
      </c>
      <c r="Y145" s="10">
        <f>Table1[[#This Row],[Raw Terrestrial Score]]/Table1[[#This Row],[Summed Raw Scores]]</f>
        <v>0.54063849769010042</v>
      </c>
      <c r="Z145" s="11">
        <v>294.48025058209902</v>
      </c>
      <c r="AA145" s="10">
        <f>Table1[[#This Row],[Raw Freshwater Score]]/Table1[[#This Row],[Summed Raw Scores]]</f>
        <v>0.45936150230989958</v>
      </c>
      <c r="AB145" s="10">
        <f>Table1[[#This Row],[Raw Terrestrial Score]]+Table1[[#This Row],[Raw Freshwater Score]]</f>
        <v>641.064279660583</v>
      </c>
      <c r="AC145" s="12">
        <f>Table1[[#This Row],[Terrestrial % of Summed Score]]*Table1[[#This Row],[Scaled Summed Score]]</f>
        <v>6.8707109489264825E-2</v>
      </c>
      <c r="AD145" s="12">
        <f>Table1[[#This Row],[Freshwater % of Summed Score]]*Table1[[#This Row],[Scaled Summed Score]]</f>
        <v>5.8378012607697746E-2</v>
      </c>
      <c r="AE145" s="19">
        <f>Table1[[#This Row],[Summed Raw Scores]]/MAX(Table1[Summed Raw Scores])</f>
        <v>0.12708512209696257</v>
      </c>
    </row>
    <row r="146" spans="1:31" x14ac:dyDescent="0.3">
      <c r="A146" s="5" t="s">
        <v>74</v>
      </c>
      <c r="B146" s="5" t="s">
        <v>58</v>
      </c>
      <c r="C146" s="5" t="s">
        <v>25</v>
      </c>
      <c r="D146" s="5"/>
      <c r="E146" s="21">
        <v>50.562687879999999</v>
      </c>
      <c r="F146" s="21">
        <v>-121.07955800000001</v>
      </c>
      <c r="G146" s="21">
        <v>52.238769230800003</v>
      </c>
      <c r="H146" s="6" t="s">
        <v>22</v>
      </c>
      <c r="I146" s="6" t="s">
        <v>22</v>
      </c>
      <c r="J146" s="21">
        <v>95.228300170561525</v>
      </c>
      <c r="K146" s="21">
        <v>101.3336327046222</v>
      </c>
      <c r="L146" s="6" t="s">
        <v>22</v>
      </c>
      <c r="M146" s="21">
        <v>0.3</v>
      </c>
      <c r="N146" s="21">
        <v>23.3</v>
      </c>
      <c r="O146" s="6">
        <f>Table1[[#This Row],[R1 Length (km)]]+Table1[[#This Row],[T1 Length (km)]]</f>
        <v>23.6</v>
      </c>
      <c r="P146" s="11">
        <v>69</v>
      </c>
      <c r="Q146" s="6">
        <f>(Table1[[#This Row],[Linear Features (km)]]*0.4)*100</f>
        <v>944.00000000000011</v>
      </c>
      <c r="R146" s="21">
        <v>1240.1099999999999</v>
      </c>
      <c r="S146" s="19">
        <f>Table1[[#This Row],[ATG (ha)]]/Table1[[#This Row],[Linear Area (ha)]]</f>
        <v>1.3136758474576269</v>
      </c>
      <c r="T146" s="9" t="s">
        <v>22</v>
      </c>
      <c r="U146" s="9" t="s">
        <v>22</v>
      </c>
      <c r="V146" s="21">
        <v>1240.1099999999999</v>
      </c>
      <c r="W146" s="21">
        <v>496.04399999999998</v>
      </c>
      <c r="X146" s="11">
        <v>531.24333198182296</v>
      </c>
      <c r="Y146" s="10">
        <f>Table1[[#This Row],[Raw Terrestrial Score]]/Table1[[#This Row],[Summed Raw Scores]]</f>
        <v>0.61551405569329909</v>
      </c>
      <c r="Z146" s="11">
        <v>331.84553994238399</v>
      </c>
      <c r="AA146" s="10">
        <f>Table1[[#This Row],[Raw Freshwater Score]]/Table1[[#This Row],[Summed Raw Scores]]</f>
        <v>0.38448594430670097</v>
      </c>
      <c r="AB146" s="10">
        <f>Table1[[#This Row],[Raw Terrestrial Score]]+Table1[[#This Row],[Raw Freshwater Score]]</f>
        <v>863.08887192420696</v>
      </c>
      <c r="AC146" s="12">
        <f>Table1[[#This Row],[Terrestrial % of Summed Score]]*Table1[[#This Row],[Scaled Summed Score]]</f>
        <v>0.10531412504195774</v>
      </c>
      <c r="AD146" s="12">
        <f>Table1[[#This Row],[Freshwater % of Summed Score]]*Table1[[#This Row],[Scaled Summed Score]]</f>
        <v>6.5785339004130763E-2</v>
      </c>
      <c r="AE146" s="19">
        <f>Table1[[#This Row],[Summed Raw Scores]]/MAX(Table1[Summed Raw Scores])</f>
        <v>0.1710994640460885</v>
      </c>
    </row>
    <row r="147" spans="1:31" x14ac:dyDescent="0.3">
      <c r="A147" s="5" t="s">
        <v>75</v>
      </c>
      <c r="B147" s="5" t="s">
        <v>58</v>
      </c>
      <c r="C147" s="5" t="s">
        <v>25</v>
      </c>
      <c r="D147" s="5"/>
      <c r="E147" s="21">
        <v>50.423871550000001</v>
      </c>
      <c r="F147" s="21">
        <v>-120.6602656</v>
      </c>
      <c r="G147" s="21">
        <v>81.149534614999993</v>
      </c>
      <c r="H147" s="6" t="s">
        <v>22</v>
      </c>
      <c r="I147" s="6" t="s">
        <v>22</v>
      </c>
      <c r="J147" s="21">
        <v>146.89395982694825</v>
      </c>
      <c r="K147" s="21">
        <v>96.656117097630755</v>
      </c>
      <c r="L147" s="6" t="s">
        <v>22</v>
      </c>
      <c r="M147" s="21">
        <v>0.7</v>
      </c>
      <c r="N147" s="21">
        <v>11.2</v>
      </c>
      <c r="O147" s="6">
        <f>Table1[[#This Row],[R1 Length (km)]]+Table1[[#This Row],[T1 Length (km)]]</f>
        <v>11.899999999999999</v>
      </c>
      <c r="P147" s="11">
        <v>130</v>
      </c>
      <c r="Q147" s="6">
        <f>(Table1[[#This Row],[Linear Features (km)]]*0.4)*100</f>
        <v>476</v>
      </c>
      <c r="R147" s="21">
        <v>1314.63</v>
      </c>
      <c r="S147" s="19">
        <f>Table1[[#This Row],[ATG (ha)]]/Table1[[#This Row],[Linear Area (ha)]]</f>
        <v>2.7618277310924371</v>
      </c>
      <c r="T147" s="9" t="s">
        <v>22</v>
      </c>
      <c r="U147" s="9" t="s">
        <v>22</v>
      </c>
      <c r="V147" s="21">
        <v>1314.63</v>
      </c>
      <c r="W147" s="21">
        <v>525.85200000000009</v>
      </c>
      <c r="X147" s="11">
        <v>328.062357366085</v>
      </c>
      <c r="Y147" s="10">
        <f>Table1[[#This Row],[Raw Terrestrial Score]]/Table1[[#This Row],[Summed Raw Scores]]</f>
        <v>0.55220639286927298</v>
      </c>
      <c r="Z147" s="11">
        <v>266.031375706196</v>
      </c>
      <c r="AA147" s="10">
        <f>Table1[[#This Row],[Raw Freshwater Score]]/Table1[[#This Row],[Summed Raw Scores]]</f>
        <v>0.44779360713072702</v>
      </c>
      <c r="AB147" s="10">
        <f>Table1[[#This Row],[Raw Terrestrial Score]]+Table1[[#This Row],[Raw Freshwater Score]]</f>
        <v>594.093733072281</v>
      </c>
      <c r="AC147" s="12">
        <f>Table1[[#This Row],[Terrestrial % of Summed Score]]*Table1[[#This Row],[Scaled Summed Score]]</f>
        <v>6.5035357707592736E-2</v>
      </c>
      <c r="AD147" s="12">
        <f>Table1[[#This Row],[Freshwater % of Summed Score]]*Table1[[#This Row],[Scaled Summed Score]]</f>
        <v>5.2738283719606267E-2</v>
      </c>
      <c r="AE147" s="19">
        <f>Table1[[#This Row],[Summed Raw Scores]]/MAX(Table1[Summed Raw Scores])</f>
        <v>0.11777364142719901</v>
      </c>
    </row>
    <row r="148" spans="1:31" x14ac:dyDescent="0.3">
      <c r="A148" s="5" t="s">
        <v>76</v>
      </c>
      <c r="B148" s="5" t="s">
        <v>58</v>
      </c>
      <c r="C148" s="5" t="s">
        <v>25</v>
      </c>
      <c r="D148" s="5" t="s">
        <v>250</v>
      </c>
      <c r="E148" s="21">
        <v>50.259122259999998</v>
      </c>
      <c r="F148" s="21">
        <v>-120.4079589</v>
      </c>
      <c r="G148" s="21">
        <v>120.82707692300001</v>
      </c>
      <c r="H148" s="6" t="s">
        <v>22</v>
      </c>
      <c r="I148" s="6" t="s">
        <v>22</v>
      </c>
      <c r="J148" s="21">
        <v>214.05467944246581</v>
      </c>
      <c r="K148" s="21">
        <v>94.085193713019265</v>
      </c>
      <c r="L148" s="6" t="s">
        <v>22</v>
      </c>
      <c r="M148" s="21">
        <v>1.4</v>
      </c>
      <c r="N148" s="21">
        <v>9.4</v>
      </c>
      <c r="O148" s="6">
        <f>Table1[[#This Row],[R1 Length (km)]]+Table1[[#This Row],[T1 Length (km)]]</f>
        <v>10.8</v>
      </c>
      <c r="P148" s="11">
        <v>130</v>
      </c>
      <c r="Q148" s="6">
        <f>(Table1[[#This Row],[Linear Features (km)]]*0.4)*100</f>
        <v>432</v>
      </c>
      <c r="R148" s="21">
        <v>212.22</v>
      </c>
      <c r="S148" s="19">
        <f>Table1[[#This Row],[ATG (ha)]]/Table1[[#This Row],[Linear Area (ha)]]</f>
        <v>0.49125000000000002</v>
      </c>
      <c r="T148" s="9" t="s">
        <v>22</v>
      </c>
      <c r="U148" s="9" t="s">
        <v>22</v>
      </c>
      <c r="V148" s="21">
        <v>212.22</v>
      </c>
      <c r="W148" s="21">
        <v>84.888000000000005</v>
      </c>
      <c r="X148" s="11">
        <v>354.77502822875999</v>
      </c>
      <c r="Y148" s="10">
        <f>Table1[[#This Row],[Raw Terrestrial Score]]/Table1[[#This Row],[Summed Raw Scores]]</f>
        <v>0.77627067195747523</v>
      </c>
      <c r="Z148" s="11">
        <v>102.249874353409</v>
      </c>
      <c r="AA148" s="10">
        <f>Table1[[#This Row],[Raw Freshwater Score]]/Table1[[#This Row],[Summed Raw Scores]]</f>
        <v>0.22372932804252474</v>
      </c>
      <c r="AB148" s="10">
        <f>Table1[[#This Row],[Raw Terrestrial Score]]+Table1[[#This Row],[Raw Freshwater Score]]</f>
        <v>457.02490258216898</v>
      </c>
      <c r="AC148" s="12">
        <f>Table1[[#This Row],[Terrestrial % of Summed Score]]*Table1[[#This Row],[Scaled Summed Score]]</f>
        <v>7.0330900051515599E-2</v>
      </c>
      <c r="AD148" s="12">
        <f>Table1[[#This Row],[Freshwater % of Summed Score]]*Table1[[#This Row],[Scaled Summed Score]]</f>
        <v>2.0270101109801472E-2</v>
      </c>
      <c r="AE148" s="19">
        <f>Table1[[#This Row],[Summed Raw Scores]]/MAX(Table1[Summed Raw Scores])</f>
        <v>9.0601001161317071E-2</v>
      </c>
    </row>
    <row r="149" spans="1:31" x14ac:dyDescent="0.3">
      <c r="A149" s="5" t="s">
        <v>77</v>
      </c>
      <c r="B149" s="5" t="s">
        <v>58</v>
      </c>
      <c r="C149" s="5" t="s">
        <v>25</v>
      </c>
      <c r="D149" s="5" t="s">
        <v>250</v>
      </c>
      <c r="E149" s="21">
        <v>50.271603509999998</v>
      </c>
      <c r="F149" s="21">
        <v>-120.3255542</v>
      </c>
      <c r="G149" s="21">
        <v>109.063384615</v>
      </c>
      <c r="H149" s="6" t="s">
        <v>22</v>
      </c>
      <c r="I149" s="6" t="s">
        <v>22</v>
      </c>
      <c r="J149" s="21">
        <v>193.898406513547</v>
      </c>
      <c r="K149" s="21">
        <v>94.756406942562222</v>
      </c>
      <c r="L149" s="6" t="s">
        <v>22</v>
      </c>
      <c r="M149" s="21">
        <v>0.6</v>
      </c>
      <c r="N149" s="21">
        <v>12.1</v>
      </c>
      <c r="O149" s="6">
        <f>Table1[[#This Row],[R1 Length (km)]]+Table1[[#This Row],[T1 Length (km)]]</f>
        <v>12.7</v>
      </c>
      <c r="P149" s="11">
        <v>130</v>
      </c>
      <c r="Q149" s="6">
        <f>(Table1[[#This Row],[Linear Features (km)]]*0.4)*100</f>
        <v>508</v>
      </c>
      <c r="R149" s="21">
        <v>220.32</v>
      </c>
      <c r="S149" s="19">
        <f>Table1[[#This Row],[ATG (ha)]]/Table1[[#This Row],[Linear Area (ha)]]</f>
        <v>0.43370078740157481</v>
      </c>
      <c r="T149" s="9" t="s">
        <v>22</v>
      </c>
      <c r="U149" s="9" t="s">
        <v>22</v>
      </c>
      <c r="V149" s="21">
        <v>220.32</v>
      </c>
      <c r="W149" s="21">
        <v>88.128</v>
      </c>
      <c r="X149" s="11">
        <v>320.58259010314902</v>
      </c>
      <c r="Y149" s="10">
        <f>Table1[[#This Row],[Raw Terrestrial Score]]/Table1[[#This Row],[Summed Raw Scores]]</f>
        <v>0.72511518994140944</v>
      </c>
      <c r="Z149" s="11">
        <v>121.530048757792</v>
      </c>
      <c r="AA149" s="10">
        <f>Table1[[#This Row],[Raw Freshwater Score]]/Table1[[#This Row],[Summed Raw Scores]]</f>
        <v>0.2748848100585905</v>
      </c>
      <c r="AB149" s="10">
        <f>Table1[[#This Row],[Raw Terrestrial Score]]+Table1[[#This Row],[Raw Freshwater Score]]</f>
        <v>442.11263886094105</v>
      </c>
      <c r="AC149" s="12">
        <f>Table1[[#This Row],[Terrestrial % of Summed Score]]*Table1[[#This Row],[Scaled Summed Score]]</f>
        <v>6.3552562353014E-2</v>
      </c>
      <c r="AD149" s="12">
        <f>Table1[[#This Row],[Freshwater % of Summed Score]]*Table1[[#This Row],[Scaled Summed Score]]</f>
        <v>2.4092219103224909E-2</v>
      </c>
      <c r="AE149" s="19">
        <f>Table1[[#This Row],[Summed Raw Scores]]/MAX(Table1[Summed Raw Scores])</f>
        <v>8.7644781456238913E-2</v>
      </c>
    </row>
    <row r="150" spans="1:31" x14ac:dyDescent="0.3">
      <c r="A150" s="5" t="s">
        <v>78</v>
      </c>
      <c r="B150" s="5" t="s">
        <v>58</v>
      </c>
      <c r="C150" s="5" t="s">
        <v>25</v>
      </c>
      <c r="D150" s="5" t="s">
        <v>250</v>
      </c>
      <c r="E150" s="21">
        <v>50.19913579</v>
      </c>
      <c r="F150" s="21">
        <v>-120.46858469999999</v>
      </c>
      <c r="G150" s="21">
        <v>94.7076923077</v>
      </c>
      <c r="H150" s="6" t="s">
        <v>22</v>
      </c>
      <c r="I150" s="6" t="s">
        <v>22</v>
      </c>
      <c r="J150" s="21">
        <v>167.4049309600608</v>
      </c>
      <c r="K150" s="21">
        <v>95.403752700978643</v>
      </c>
      <c r="L150" s="6" t="s">
        <v>22</v>
      </c>
      <c r="M150" s="21">
        <v>0.3</v>
      </c>
      <c r="N150" s="21">
        <v>6.4</v>
      </c>
      <c r="O150" s="6">
        <f>Table1[[#This Row],[R1 Length (km)]]+Table1[[#This Row],[T1 Length (km)]]</f>
        <v>6.7</v>
      </c>
      <c r="P150" s="11">
        <v>130</v>
      </c>
      <c r="Q150" s="6">
        <f>(Table1[[#This Row],[Linear Features (km)]]*0.4)*100</f>
        <v>268</v>
      </c>
      <c r="R150" s="21">
        <v>332.1</v>
      </c>
      <c r="S150" s="19">
        <f>Table1[[#This Row],[ATG (ha)]]/Table1[[#This Row],[Linear Area (ha)]]</f>
        <v>1.2391791044776119</v>
      </c>
      <c r="T150" s="9" t="s">
        <v>22</v>
      </c>
      <c r="U150" s="9" t="s">
        <v>22</v>
      </c>
      <c r="V150" s="21">
        <v>332.1</v>
      </c>
      <c r="W150" s="21">
        <v>132.84</v>
      </c>
      <c r="X150" s="11">
        <v>332.33701229095499</v>
      </c>
      <c r="Y150" s="10">
        <f>Table1[[#This Row],[Raw Terrestrial Score]]/Table1[[#This Row],[Summed Raw Scores]]</f>
        <v>0.69690460772020668</v>
      </c>
      <c r="Z150" s="11">
        <v>144.53888809680899</v>
      </c>
      <c r="AA150" s="10">
        <f>Table1[[#This Row],[Raw Freshwater Score]]/Table1[[#This Row],[Summed Raw Scores]]</f>
        <v>0.30309539227979337</v>
      </c>
      <c r="AB150" s="10">
        <f>Table1[[#This Row],[Raw Terrestrial Score]]+Table1[[#This Row],[Raw Freshwater Score]]</f>
        <v>476.87590038776398</v>
      </c>
      <c r="AC150" s="12">
        <f>Table1[[#This Row],[Terrestrial % of Summed Score]]*Table1[[#This Row],[Scaled Summed Score]]</f>
        <v>6.5882768895963909E-2</v>
      </c>
      <c r="AD150" s="12">
        <f>Table1[[#This Row],[Freshwater % of Summed Score]]*Table1[[#This Row],[Scaled Summed Score]]</f>
        <v>2.8653510770039581E-2</v>
      </c>
      <c r="AE150" s="19">
        <f>Table1[[#This Row],[Summed Raw Scores]]/MAX(Table1[Summed Raw Scores])</f>
        <v>9.4536279666003489E-2</v>
      </c>
    </row>
    <row r="151" spans="1:31" x14ac:dyDescent="0.3">
      <c r="A151" s="5" t="s">
        <v>79</v>
      </c>
      <c r="B151" s="5" t="s">
        <v>58</v>
      </c>
      <c r="C151" s="5" t="s">
        <v>25</v>
      </c>
      <c r="D151" s="5"/>
      <c r="E151" s="21">
        <v>50.139135750000001</v>
      </c>
      <c r="F151" s="21">
        <v>-120.52907759999999</v>
      </c>
      <c r="G151" s="21">
        <v>80.750769230800003</v>
      </c>
      <c r="H151" s="6" t="s">
        <v>22</v>
      </c>
      <c r="I151" s="6" t="s">
        <v>22</v>
      </c>
      <c r="J151" s="21">
        <v>143.20395404186112</v>
      </c>
      <c r="K151" s="21">
        <v>99.189509910556936</v>
      </c>
      <c r="L151" s="6" t="s">
        <v>22</v>
      </c>
      <c r="M151" s="21">
        <v>1.4</v>
      </c>
      <c r="N151" s="21">
        <v>11.8</v>
      </c>
      <c r="O151" s="6">
        <f>Table1[[#This Row],[R1 Length (km)]]+Table1[[#This Row],[T1 Length (km)]]</f>
        <v>13.200000000000001</v>
      </c>
      <c r="P151" s="11">
        <v>130</v>
      </c>
      <c r="Q151" s="6">
        <f>(Table1[[#This Row],[Linear Features (km)]]*0.4)*100</f>
        <v>528.00000000000011</v>
      </c>
      <c r="R151" s="21">
        <v>1087.83</v>
      </c>
      <c r="S151" s="19">
        <f>Table1[[#This Row],[ATG (ha)]]/Table1[[#This Row],[Linear Area (ha)]]</f>
        <v>2.0602840909090903</v>
      </c>
      <c r="T151" s="9" t="s">
        <v>22</v>
      </c>
      <c r="U151" s="9" t="s">
        <v>22</v>
      </c>
      <c r="V151" s="21">
        <v>1087.83</v>
      </c>
      <c r="W151" s="21">
        <v>435.13200000000001</v>
      </c>
      <c r="X151" s="11">
        <v>681.813486218452</v>
      </c>
      <c r="Y151" s="10">
        <f>Table1[[#This Row],[Raw Terrestrial Score]]/Table1[[#This Row],[Summed Raw Scores]]</f>
        <v>0.67967312177342576</v>
      </c>
      <c r="Z151" s="11">
        <v>321.33562234044098</v>
      </c>
      <c r="AA151" s="10">
        <f>Table1[[#This Row],[Raw Freshwater Score]]/Table1[[#This Row],[Summed Raw Scores]]</f>
        <v>0.32032687822657419</v>
      </c>
      <c r="AB151" s="10">
        <f>Table1[[#This Row],[Raw Terrestrial Score]]+Table1[[#This Row],[Raw Freshwater Score]]</f>
        <v>1003.149108558893</v>
      </c>
      <c r="AC151" s="12">
        <f>Table1[[#This Row],[Terrestrial % of Summed Score]]*Table1[[#This Row],[Scaled Summed Score]]</f>
        <v>0.13516327908537409</v>
      </c>
      <c r="AD151" s="12">
        <f>Table1[[#This Row],[Freshwater % of Summed Score]]*Table1[[#This Row],[Scaled Summed Score]]</f>
        <v>6.3701844097225138E-2</v>
      </c>
      <c r="AE151" s="19">
        <f>Table1[[#This Row],[Summed Raw Scores]]/MAX(Table1[Summed Raw Scores])</f>
        <v>0.19886512318259925</v>
      </c>
    </row>
    <row r="152" spans="1:31" x14ac:dyDescent="0.3">
      <c r="A152" s="5" t="s">
        <v>80</v>
      </c>
      <c r="B152" s="5" t="s">
        <v>58</v>
      </c>
      <c r="C152" s="5" t="s">
        <v>25</v>
      </c>
      <c r="D152" s="5"/>
      <c r="E152" s="21">
        <v>50.224114569999998</v>
      </c>
      <c r="F152" s="21">
        <v>-120.3039462</v>
      </c>
      <c r="G152" s="21">
        <v>54.631384615400002</v>
      </c>
      <c r="H152" s="6" t="s">
        <v>22</v>
      </c>
      <c r="I152" s="6" t="s">
        <v>22</v>
      </c>
      <c r="J152" s="21">
        <v>96.373479993960956</v>
      </c>
      <c r="K152" s="21">
        <v>104.50362561373343</v>
      </c>
      <c r="L152" s="6" t="s">
        <v>22</v>
      </c>
      <c r="M152" s="21">
        <v>0.3</v>
      </c>
      <c r="N152" s="21">
        <v>7.9</v>
      </c>
      <c r="O152" s="6">
        <f>Table1[[#This Row],[R1 Length (km)]]+Table1[[#This Row],[T1 Length (km)]]</f>
        <v>8.2000000000000011</v>
      </c>
      <c r="P152" s="11">
        <v>130</v>
      </c>
      <c r="Q152" s="6">
        <f>(Table1[[#This Row],[Linear Features (km)]]*0.4)*100</f>
        <v>328.00000000000006</v>
      </c>
      <c r="R152" s="21">
        <v>1395.63</v>
      </c>
      <c r="S152" s="19">
        <f>Table1[[#This Row],[ATG (ha)]]/Table1[[#This Row],[Linear Area (ha)]]</f>
        <v>4.2549695121951219</v>
      </c>
      <c r="T152" s="9" t="s">
        <v>22</v>
      </c>
      <c r="U152" s="9" t="s">
        <v>22</v>
      </c>
      <c r="V152" s="21">
        <v>1395.63</v>
      </c>
      <c r="W152" s="21">
        <v>558.25200000000007</v>
      </c>
      <c r="X152" s="11">
        <v>690.94665598869301</v>
      </c>
      <c r="Y152" s="10">
        <f>Table1[[#This Row],[Raw Terrestrial Score]]/Table1[[#This Row],[Summed Raw Scores]]</f>
        <v>0.76444576432982436</v>
      </c>
      <c r="Z152" s="11">
        <v>212.90642061829601</v>
      </c>
      <c r="AA152" s="10">
        <f>Table1[[#This Row],[Raw Freshwater Score]]/Table1[[#This Row],[Summed Raw Scores]]</f>
        <v>0.23555423567017564</v>
      </c>
      <c r="AB152" s="10">
        <f>Table1[[#This Row],[Raw Terrestrial Score]]+Table1[[#This Row],[Raw Freshwater Score]]</f>
        <v>903.85307660698902</v>
      </c>
      <c r="AC152" s="12">
        <f>Table1[[#This Row],[Terrestrial % of Summed Score]]*Table1[[#This Row],[Scaled Summed Score]]</f>
        <v>0.13697384634393028</v>
      </c>
      <c r="AD152" s="12">
        <f>Table1[[#This Row],[Freshwater % of Summed Score]]*Table1[[#This Row],[Scaled Summed Score]]</f>
        <v>4.2206747931469689E-2</v>
      </c>
      <c r="AE152" s="19">
        <f>Table1[[#This Row],[Summed Raw Scores]]/MAX(Table1[Summed Raw Scores])</f>
        <v>0.17918059427539998</v>
      </c>
    </row>
    <row r="153" spans="1:31" x14ac:dyDescent="0.3">
      <c r="A153" s="5" t="s">
        <v>81</v>
      </c>
      <c r="B153" s="5" t="s">
        <v>58</v>
      </c>
      <c r="C153" s="5" t="s">
        <v>25</v>
      </c>
      <c r="D153" s="5"/>
      <c r="E153" s="21">
        <v>49.968308450000002</v>
      </c>
      <c r="F153" s="21">
        <v>-120.9772438</v>
      </c>
      <c r="G153" s="21">
        <v>54.232615384600003</v>
      </c>
      <c r="H153" s="6" t="s">
        <v>22</v>
      </c>
      <c r="I153" s="6" t="s">
        <v>22</v>
      </c>
      <c r="J153" s="21">
        <v>98.156171299313655</v>
      </c>
      <c r="K153" s="21">
        <v>101.42689224013247</v>
      </c>
      <c r="L153" s="6" t="s">
        <v>22</v>
      </c>
      <c r="M153" s="21">
        <v>1.6</v>
      </c>
      <c r="N153" s="21">
        <v>23.6</v>
      </c>
      <c r="O153" s="6">
        <f>Table1[[#This Row],[R1 Length (km)]]+Table1[[#This Row],[T1 Length (km)]]</f>
        <v>25.200000000000003</v>
      </c>
      <c r="P153" s="11">
        <v>69</v>
      </c>
      <c r="Q153" s="6">
        <f>(Table1[[#This Row],[Linear Features (km)]]*0.4)*100</f>
        <v>1008.0000000000002</v>
      </c>
      <c r="R153" s="21">
        <v>374.21999999999997</v>
      </c>
      <c r="S153" s="19">
        <f>Table1[[#This Row],[ATG (ha)]]/Table1[[#This Row],[Linear Area (ha)]]</f>
        <v>0.37124999999999991</v>
      </c>
      <c r="T153" s="9" t="s">
        <v>22</v>
      </c>
      <c r="U153" s="9" t="s">
        <v>22</v>
      </c>
      <c r="V153" s="21">
        <v>374.21999999999997</v>
      </c>
      <c r="W153" s="21">
        <v>149.68799999999999</v>
      </c>
      <c r="X153" s="11">
        <v>438.26003682613401</v>
      </c>
      <c r="Y153" s="10">
        <f>Table1[[#This Row],[Raw Terrestrial Score]]/Table1[[#This Row],[Summed Raw Scores]]</f>
        <v>0.39991629579758714</v>
      </c>
      <c r="Z153" s="11">
        <v>657.61937952041603</v>
      </c>
      <c r="AA153" s="10">
        <f>Table1[[#This Row],[Raw Freshwater Score]]/Table1[[#This Row],[Summed Raw Scores]]</f>
        <v>0.60008370420241297</v>
      </c>
      <c r="AB153" s="10">
        <f>Table1[[#This Row],[Raw Terrestrial Score]]+Table1[[#This Row],[Raw Freshwater Score]]</f>
        <v>1095.87941634655</v>
      </c>
      <c r="AC153" s="12">
        <f>Table1[[#This Row],[Terrestrial % of Summed Score]]*Table1[[#This Row],[Scaled Summed Score]]</f>
        <v>8.6881038387846943E-2</v>
      </c>
      <c r="AD153" s="12">
        <f>Table1[[#This Row],[Freshwater % of Summed Score]]*Table1[[#This Row],[Scaled Summed Score]]</f>
        <v>0.13036701902019815</v>
      </c>
      <c r="AE153" s="19">
        <f>Table1[[#This Row],[Summed Raw Scores]]/MAX(Table1[Summed Raw Scores])</f>
        <v>0.21724805740804506</v>
      </c>
    </row>
    <row r="154" spans="1:31" x14ac:dyDescent="0.3">
      <c r="A154" s="5" t="s">
        <v>82</v>
      </c>
      <c r="B154" s="5" t="s">
        <v>58</v>
      </c>
      <c r="C154" s="5" t="s">
        <v>25</v>
      </c>
      <c r="D154" s="5"/>
      <c r="E154" s="21">
        <v>50.031690019999999</v>
      </c>
      <c r="F154" s="21">
        <v>-120.5676775</v>
      </c>
      <c r="G154" s="21">
        <v>81.747692307700007</v>
      </c>
      <c r="H154" s="6" t="s">
        <v>22</v>
      </c>
      <c r="I154" s="6" t="s">
        <v>22</v>
      </c>
      <c r="J154" s="21">
        <v>146.55825003643776</v>
      </c>
      <c r="K154" s="21">
        <v>101.60956461488067</v>
      </c>
      <c r="L154" s="6" t="s">
        <v>22</v>
      </c>
      <c r="M154" s="21">
        <v>3.7</v>
      </c>
      <c r="N154" s="21">
        <v>22.1</v>
      </c>
      <c r="O154" s="6">
        <f>Table1[[#This Row],[R1 Length (km)]]+Table1[[#This Row],[T1 Length (km)]]</f>
        <v>25.8</v>
      </c>
      <c r="P154" s="11">
        <v>130</v>
      </c>
      <c r="Q154" s="6">
        <f>(Table1[[#This Row],[Linear Features (km)]]*0.4)*100</f>
        <v>1032</v>
      </c>
      <c r="R154" s="21">
        <v>1180.98</v>
      </c>
      <c r="S154" s="19">
        <f>Table1[[#This Row],[ATG (ha)]]/Table1[[#This Row],[Linear Area (ha)]]</f>
        <v>1.1443604651162791</v>
      </c>
      <c r="T154" s="9" t="s">
        <v>22</v>
      </c>
      <c r="U154" s="9" t="s">
        <v>22</v>
      </c>
      <c r="V154" s="21">
        <v>1180.98</v>
      </c>
      <c r="W154" s="21">
        <v>472.39200000000005</v>
      </c>
      <c r="X154" s="11">
        <v>892.49239373207104</v>
      </c>
      <c r="Y154" s="10">
        <f>Table1[[#This Row],[Raw Terrestrial Score]]/Table1[[#This Row],[Summed Raw Scores]]</f>
        <v>0.70067291201466886</v>
      </c>
      <c r="Z154" s="11">
        <v>381.27226653695101</v>
      </c>
      <c r="AA154" s="10">
        <f>Table1[[#This Row],[Raw Freshwater Score]]/Table1[[#This Row],[Summed Raw Scores]]</f>
        <v>0.29932708798533114</v>
      </c>
      <c r="AB154" s="10">
        <f>Table1[[#This Row],[Raw Terrestrial Score]]+Table1[[#This Row],[Raw Freshwater Score]]</f>
        <v>1273.764660269022</v>
      </c>
      <c r="AC154" s="12">
        <f>Table1[[#This Row],[Terrestrial % of Summed Score]]*Table1[[#This Row],[Scaled Summed Score]]</f>
        <v>0.17692844294507121</v>
      </c>
      <c r="AD154" s="12">
        <f>Table1[[#This Row],[Freshwater % of Summed Score]]*Table1[[#This Row],[Scaled Summed Score]]</f>
        <v>7.5583734864604332E-2</v>
      </c>
      <c r="AE154" s="19">
        <f>Table1[[#This Row],[Summed Raw Scores]]/MAX(Table1[Summed Raw Scores])</f>
        <v>0.25251217780967555</v>
      </c>
    </row>
    <row r="155" spans="1:31" x14ac:dyDescent="0.3">
      <c r="A155" s="5" t="s">
        <v>83</v>
      </c>
      <c r="B155" s="5" t="s">
        <v>58</v>
      </c>
      <c r="C155" s="5" t="s">
        <v>25</v>
      </c>
      <c r="D155" s="5"/>
      <c r="E155" s="21">
        <v>50.104214900000002</v>
      </c>
      <c r="F155" s="21">
        <v>-120.4252154</v>
      </c>
      <c r="G155" s="21">
        <v>87.928615384599993</v>
      </c>
      <c r="H155" s="6" t="s">
        <v>22</v>
      </c>
      <c r="I155" s="6" t="s">
        <v>22</v>
      </c>
      <c r="J155" s="21">
        <v>157.00427919694422</v>
      </c>
      <c r="K155" s="21">
        <v>97.074474887304504</v>
      </c>
      <c r="L155" s="6" t="s">
        <v>22</v>
      </c>
      <c r="M155" s="21">
        <v>2.4</v>
      </c>
      <c r="N155" s="21">
        <v>9.4</v>
      </c>
      <c r="O155" s="6">
        <f>Table1[[#This Row],[R1 Length (km)]]+Table1[[#This Row],[T1 Length (km)]]</f>
        <v>11.8</v>
      </c>
      <c r="P155" s="11">
        <v>130</v>
      </c>
      <c r="Q155" s="6">
        <f>(Table1[[#This Row],[Linear Features (km)]]*0.4)*100</f>
        <v>472.00000000000006</v>
      </c>
      <c r="R155" s="21">
        <v>877.2299999999999</v>
      </c>
      <c r="S155" s="19">
        <f>Table1[[#This Row],[ATG (ha)]]/Table1[[#This Row],[Linear Area (ha)]]</f>
        <v>1.85853813559322</v>
      </c>
      <c r="T155" s="9" t="s">
        <v>22</v>
      </c>
      <c r="U155" s="9" t="s">
        <v>22</v>
      </c>
      <c r="V155" s="21">
        <v>877.2299999999999</v>
      </c>
      <c r="W155" s="21">
        <v>350.892</v>
      </c>
      <c r="X155" s="11">
        <v>705.96900606155396</v>
      </c>
      <c r="Y155" s="10">
        <f>Table1[[#This Row],[Raw Terrestrial Score]]/Table1[[#This Row],[Summed Raw Scores]]</f>
        <v>0.68535648026105478</v>
      </c>
      <c r="Z155" s="11">
        <v>324.10662084817898</v>
      </c>
      <c r="AA155" s="10">
        <f>Table1[[#This Row],[Raw Freshwater Score]]/Table1[[#This Row],[Summed Raw Scores]]</f>
        <v>0.31464351973894533</v>
      </c>
      <c r="AB155" s="10">
        <f>Table1[[#This Row],[Raw Terrestrial Score]]+Table1[[#This Row],[Raw Freshwater Score]]</f>
        <v>1030.0756269097328</v>
      </c>
      <c r="AC155" s="12">
        <f>Table1[[#This Row],[Terrestrial % of Summed Score]]*Table1[[#This Row],[Scaled Summed Score]]</f>
        <v>0.13995188965996661</v>
      </c>
      <c r="AD155" s="12">
        <f>Table1[[#This Row],[Freshwater % of Summed Score]]*Table1[[#This Row],[Scaled Summed Score]]</f>
        <v>6.4251169172509073E-2</v>
      </c>
      <c r="AE155" s="19">
        <f>Table1[[#This Row],[Summed Raw Scores]]/MAX(Table1[Summed Raw Scores])</f>
        <v>0.20420305883247566</v>
      </c>
    </row>
    <row r="156" spans="1:31" x14ac:dyDescent="0.3">
      <c r="A156" s="5" t="s">
        <v>84</v>
      </c>
      <c r="B156" s="5" t="s">
        <v>58</v>
      </c>
      <c r="C156" s="5" t="s">
        <v>25</v>
      </c>
      <c r="D156" s="5"/>
      <c r="E156" s="21">
        <v>50.044244480000003</v>
      </c>
      <c r="F156" s="21">
        <v>-120.485651</v>
      </c>
      <c r="G156" s="21">
        <v>122.023384615</v>
      </c>
      <c r="H156" s="6" t="s">
        <v>22</v>
      </c>
      <c r="I156" s="6" t="s">
        <v>22</v>
      </c>
      <c r="J156" s="21">
        <v>217.64253245828661</v>
      </c>
      <c r="K156" s="21">
        <v>95.003592068529755</v>
      </c>
      <c r="L156" s="6" t="s">
        <v>22</v>
      </c>
      <c r="M156" s="21">
        <v>2.6</v>
      </c>
      <c r="N156" s="21">
        <v>18</v>
      </c>
      <c r="O156" s="6">
        <f>Table1[[#This Row],[R1 Length (km)]]+Table1[[#This Row],[T1 Length (km)]]</f>
        <v>20.6</v>
      </c>
      <c r="P156" s="11">
        <v>130</v>
      </c>
      <c r="Q156" s="6">
        <f>(Table1[[#This Row],[Linear Features (km)]]*0.4)*100</f>
        <v>824</v>
      </c>
      <c r="R156" s="21">
        <v>1018.17</v>
      </c>
      <c r="S156" s="19">
        <f>Table1[[#This Row],[ATG (ha)]]/Table1[[#This Row],[Linear Area (ha)]]</f>
        <v>1.235643203883495</v>
      </c>
      <c r="T156" s="9" t="s">
        <v>22</v>
      </c>
      <c r="U156" s="9" t="s">
        <v>22</v>
      </c>
      <c r="V156" s="21">
        <v>1018.17</v>
      </c>
      <c r="W156" s="21">
        <v>407.26800000000003</v>
      </c>
      <c r="X156" s="11">
        <v>847.24206542968795</v>
      </c>
      <c r="Y156" s="10">
        <f>Table1[[#This Row],[Raw Terrestrial Score]]/Table1[[#This Row],[Summed Raw Scores]]</f>
        <v>0.6940621751532402</v>
      </c>
      <c r="Z156" s="11">
        <v>373.458465099335</v>
      </c>
      <c r="AA156" s="10">
        <f>Table1[[#This Row],[Raw Freshwater Score]]/Table1[[#This Row],[Summed Raw Scores]]</f>
        <v>0.3059378248467598</v>
      </c>
      <c r="AB156" s="10">
        <f>Table1[[#This Row],[Raw Terrestrial Score]]+Table1[[#This Row],[Raw Freshwater Score]]</f>
        <v>1220.7005305290229</v>
      </c>
      <c r="AC156" s="12">
        <f>Table1[[#This Row],[Terrestrial % of Summed Score]]*Table1[[#This Row],[Scaled Summed Score]]</f>
        <v>0.16795797979544647</v>
      </c>
      <c r="AD156" s="12">
        <f>Table1[[#This Row],[Freshwater % of Summed Score]]*Table1[[#This Row],[Scaled Summed Score]]</f>
        <v>7.4034720294229875E-2</v>
      </c>
      <c r="AE156" s="19">
        <f>Table1[[#This Row],[Summed Raw Scores]]/MAX(Table1[Summed Raw Scores])</f>
        <v>0.24199270008967635</v>
      </c>
    </row>
    <row r="157" spans="1:31" x14ac:dyDescent="0.3">
      <c r="A157" s="5" t="s">
        <v>85</v>
      </c>
      <c r="B157" s="5" t="s">
        <v>58</v>
      </c>
      <c r="C157" s="5" t="s">
        <v>25</v>
      </c>
      <c r="D157" s="5" t="s">
        <v>250</v>
      </c>
      <c r="E157" s="21">
        <v>50.069231299999998</v>
      </c>
      <c r="F157" s="21">
        <v>-120.3214856</v>
      </c>
      <c r="G157" s="21">
        <v>177.45230769200001</v>
      </c>
      <c r="H157" s="6" t="s">
        <v>22</v>
      </c>
      <c r="I157" s="6" t="s">
        <v>22</v>
      </c>
      <c r="J157" s="21">
        <v>316.16702664000769</v>
      </c>
      <c r="K157" s="21">
        <v>93.790560276161614</v>
      </c>
      <c r="L157" s="6" t="s">
        <v>22</v>
      </c>
      <c r="M157" s="21">
        <v>1.6</v>
      </c>
      <c r="N157" s="21">
        <v>14.5</v>
      </c>
      <c r="O157" s="6">
        <f>Table1[[#This Row],[R1 Length (km)]]+Table1[[#This Row],[T1 Length (km)]]</f>
        <v>16.100000000000001</v>
      </c>
      <c r="P157" s="11">
        <v>230</v>
      </c>
      <c r="Q157" s="6">
        <f>(Table1[[#This Row],[Linear Features (km)]]*0.4)*100</f>
        <v>644.00000000000011</v>
      </c>
      <c r="R157" s="21">
        <v>2385.4500000000003</v>
      </c>
      <c r="S157" s="19">
        <f>Table1[[#This Row],[ATG (ha)]]/Table1[[#This Row],[Linear Area (ha)]]</f>
        <v>3.7041149068322978</v>
      </c>
      <c r="T157" s="9" t="s">
        <v>22</v>
      </c>
      <c r="U157" s="9" t="s">
        <v>22</v>
      </c>
      <c r="V157" s="21">
        <v>2385.4500000000003</v>
      </c>
      <c r="W157" s="21">
        <v>954.18000000000018</v>
      </c>
      <c r="X157" s="11">
        <v>1347.0408968925501</v>
      </c>
      <c r="Y157" s="10">
        <f>Table1[[#This Row],[Raw Terrestrial Score]]/Table1[[#This Row],[Summed Raw Scores]]</f>
        <v>0.71658930610509664</v>
      </c>
      <c r="Z157" s="11">
        <v>532.75396665930703</v>
      </c>
      <c r="AA157" s="10">
        <f>Table1[[#This Row],[Raw Freshwater Score]]/Table1[[#This Row],[Summed Raw Scores]]</f>
        <v>0.28341069389490336</v>
      </c>
      <c r="AB157" s="10">
        <f>Table1[[#This Row],[Raw Terrestrial Score]]+Table1[[#This Row],[Raw Freshwater Score]]</f>
        <v>1879.7948635518571</v>
      </c>
      <c r="AC157" s="12">
        <f>Table1[[#This Row],[Terrestrial % of Summed Score]]*Table1[[#This Row],[Scaled Summed Score]]</f>
        <v>0.26703852060175487</v>
      </c>
      <c r="AD157" s="12">
        <f>Table1[[#This Row],[Freshwater % of Summed Score]]*Table1[[#This Row],[Scaled Summed Score]]</f>
        <v>0.10561359453124766</v>
      </c>
      <c r="AE157" s="19">
        <f>Table1[[#This Row],[Summed Raw Scores]]/MAX(Table1[Summed Raw Scores])</f>
        <v>0.3726521151330025</v>
      </c>
    </row>
    <row r="158" spans="1:31" x14ac:dyDescent="0.3">
      <c r="A158" s="5" t="s">
        <v>86</v>
      </c>
      <c r="B158" s="5" t="s">
        <v>58</v>
      </c>
      <c r="C158" s="5" t="s">
        <v>87</v>
      </c>
      <c r="D158" s="5"/>
      <c r="E158" s="21">
        <v>50.239561190000003</v>
      </c>
      <c r="F158" s="21">
        <v>-119.16819150000001</v>
      </c>
      <c r="G158" s="21">
        <v>110.259692308</v>
      </c>
      <c r="H158" s="6" t="s">
        <v>22</v>
      </c>
      <c r="I158" s="6" t="s">
        <v>22</v>
      </c>
      <c r="J158" s="21">
        <v>183.89581588506243</v>
      </c>
      <c r="K158" s="21">
        <v>99.61543341729832</v>
      </c>
      <c r="L158" s="6" t="s">
        <v>22</v>
      </c>
      <c r="M158" s="21">
        <v>2</v>
      </c>
      <c r="N158" s="21">
        <v>4.9000000000000004</v>
      </c>
      <c r="O158" s="6">
        <f>Table1[[#This Row],[R1 Length (km)]]+Table1[[#This Row],[T1 Length (km)]]</f>
        <v>6.9</v>
      </c>
      <c r="P158" s="11">
        <v>130</v>
      </c>
      <c r="Q158" s="6">
        <f>(Table1[[#This Row],[Linear Features (km)]]*0.4)*100</f>
        <v>276</v>
      </c>
      <c r="R158" s="21">
        <v>567</v>
      </c>
      <c r="S158" s="19">
        <f>Table1[[#This Row],[ATG (ha)]]/Table1[[#This Row],[Linear Area (ha)]]</f>
        <v>2.0543478260869565</v>
      </c>
      <c r="T158" s="9" t="s">
        <v>22</v>
      </c>
      <c r="U158" s="9" t="s">
        <v>22</v>
      </c>
      <c r="V158" s="21">
        <v>567</v>
      </c>
      <c r="W158" s="21">
        <v>226.8</v>
      </c>
      <c r="X158" s="11">
        <v>316.082641124725</v>
      </c>
      <c r="Y158" s="10">
        <f>Table1[[#This Row],[Raw Terrestrial Score]]/Table1[[#This Row],[Summed Raw Scores]]</f>
        <v>0.99842103305643015</v>
      </c>
      <c r="Z158" s="11">
        <v>0.49987332522869099</v>
      </c>
      <c r="AA158" s="10">
        <f>Table1[[#This Row],[Raw Freshwater Score]]/Table1[[#This Row],[Summed Raw Scores]]</f>
        <v>1.5789669435698176E-3</v>
      </c>
      <c r="AB158" s="10">
        <f>Table1[[#This Row],[Raw Terrestrial Score]]+Table1[[#This Row],[Raw Freshwater Score]]</f>
        <v>316.58251444995369</v>
      </c>
      <c r="AC158" s="12">
        <f>Table1[[#This Row],[Terrestrial % of Summed Score]]*Table1[[#This Row],[Scaled Summed Score]]</f>
        <v>6.2660488681937049E-2</v>
      </c>
      <c r="AD158" s="12">
        <f>Table1[[#This Row],[Freshwater % of Summed Score]]*Table1[[#This Row],[Scaled Summed Score]]</f>
        <v>9.9095308513114346E-5</v>
      </c>
      <c r="AE158" s="19">
        <f>Table1[[#This Row],[Summed Raw Scores]]/MAX(Table1[Summed Raw Scores])</f>
        <v>6.275958399045016E-2</v>
      </c>
    </row>
    <row r="159" spans="1:31" x14ac:dyDescent="0.3">
      <c r="A159" s="5" t="s">
        <v>88</v>
      </c>
      <c r="B159" s="5" t="s">
        <v>58</v>
      </c>
      <c r="C159" s="5" t="s">
        <v>25</v>
      </c>
      <c r="D159" s="5"/>
      <c r="E159" s="21">
        <v>49.898999539999998</v>
      </c>
      <c r="F159" s="21">
        <v>-120.7697282</v>
      </c>
      <c r="G159" s="21">
        <v>49.447384615399997</v>
      </c>
      <c r="H159" s="6" t="s">
        <v>22</v>
      </c>
      <c r="I159" s="6" t="s">
        <v>22</v>
      </c>
      <c r="J159" s="21">
        <v>89.402938088887296</v>
      </c>
      <c r="K159" s="21">
        <v>104.10619883880203</v>
      </c>
      <c r="L159" s="6" t="s">
        <v>22</v>
      </c>
      <c r="M159" s="21">
        <v>0</v>
      </c>
      <c r="N159" s="21">
        <v>25.5</v>
      </c>
      <c r="O159" s="6">
        <f>Table1[[#This Row],[R1 Length (km)]]+Table1[[#This Row],[T1 Length (km)]]</f>
        <v>25.5</v>
      </c>
      <c r="P159" s="11">
        <v>69</v>
      </c>
      <c r="Q159" s="6">
        <f>(Table1[[#This Row],[Linear Features (km)]]*0.4)*100</f>
        <v>1020.0000000000001</v>
      </c>
      <c r="R159" s="21">
        <v>624.51</v>
      </c>
      <c r="S159" s="19">
        <f>Table1[[#This Row],[ATG (ha)]]/Table1[[#This Row],[Linear Area (ha)]]</f>
        <v>0.61226470588235282</v>
      </c>
      <c r="T159" s="9" t="s">
        <v>22</v>
      </c>
      <c r="U159" s="9" t="s">
        <v>22</v>
      </c>
      <c r="V159" s="21">
        <v>624.51</v>
      </c>
      <c r="W159" s="21">
        <v>249.804</v>
      </c>
      <c r="X159" s="11">
        <v>545.07218509912502</v>
      </c>
      <c r="Y159" s="10">
        <f>Table1[[#This Row],[Raw Terrestrial Score]]/Table1[[#This Row],[Summed Raw Scores]]</f>
        <v>0.50859209039805797</v>
      </c>
      <c r="Z159" s="11">
        <v>526.65542409848399</v>
      </c>
      <c r="AA159" s="10">
        <f>Table1[[#This Row],[Raw Freshwater Score]]/Table1[[#This Row],[Summed Raw Scores]]</f>
        <v>0.49140790960194186</v>
      </c>
      <c r="AB159" s="10">
        <f>Table1[[#This Row],[Raw Terrestrial Score]]+Table1[[#This Row],[Raw Freshwater Score]]</f>
        <v>1071.7276091976091</v>
      </c>
      <c r="AC159" s="12">
        <f>Table1[[#This Row],[Terrestrial % of Summed Score]]*Table1[[#This Row],[Scaled Summed Score]]</f>
        <v>0.10805556851749154</v>
      </c>
      <c r="AD159" s="12">
        <f>Table1[[#This Row],[Freshwater % of Summed Score]]*Table1[[#This Row],[Scaled Summed Score]]</f>
        <v>0.10440461432357477</v>
      </c>
      <c r="AE159" s="19">
        <f>Table1[[#This Row],[Summed Raw Scores]]/MAX(Table1[Summed Raw Scores])</f>
        <v>0.21246018284106635</v>
      </c>
    </row>
    <row r="160" spans="1:31" x14ac:dyDescent="0.3">
      <c r="A160" s="5" t="s">
        <v>89</v>
      </c>
      <c r="B160" s="5" t="s">
        <v>58</v>
      </c>
      <c r="C160" s="5" t="s">
        <v>25</v>
      </c>
      <c r="D160" s="5"/>
      <c r="E160" s="21">
        <v>49.889407990000002</v>
      </c>
      <c r="F160" s="21">
        <v>-120.5026211</v>
      </c>
      <c r="G160" s="21">
        <v>93.112615384600005</v>
      </c>
      <c r="H160" s="6" t="s">
        <v>22</v>
      </c>
      <c r="I160" s="6" t="s">
        <v>22</v>
      </c>
      <c r="J160" s="21">
        <v>170.19574378574288</v>
      </c>
      <c r="K160" s="21">
        <v>100.34437055329255</v>
      </c>
      <c r="L160" s="6" t="s">
        <v>22</v>
      </c>
      <c r="M160" s="21">
        <v>0.3</v>
      </c>
      <c r="N160" s="21">
        <v>34.9</v>
      </c>
      <c r="O160" s="6">
        <f>Table1[[#This Row],[R1 Length (km)]]+Table1[[#This Row],[T1 Length (km)]]</f>
        <v>35.199999999999996</v>
      </c>
      <c r="P160" s="11">
        <v>130</v>
      </c>
      <c r="Q160" s="6">
        <f>(Table1[[#This Row],[Linear Features (km)]]*0.4)*100</f>
        <v>1407.9999999999998</v>
      </c>
      <c r="R160" s="21">
        <v>169.29000000000002</v>
      </c>
      <c r="S160" s="19">
        <f>Table1[[#This Row],[ATG (ha)]]/Table1[[#This Row],[Linear Area (ha)]]</f>
        <v>0.12023437500000003</v>
      </c>
      <c r="T160" s="9" t="s">
        <v>22</v>
      </c>
      <c r="U160" s="9" t="s">
        <v>22</v>
      </c>
      <c r="V160" s="21">
        <v>169.29000000000002</v>
      </c>
      <c r="W160" s="21">
        <v>67.716000000000008</v>
      </c>
      <c r="X160" s="11">
        <v>480.43204593658402</v>
      </c>
      <c r="Y160" s="10">
        <f>Table1[[#This Row],[Raw Terrestrial Score]]/Table1[[#This Row],[Summed Raw Scores]]</f>
        <v>0.65850919241698846</v>
      </c>
      <c r="Z160" s="11">
        <v>249.14326063310699</v>
      </c>
      <c r="AA160" s="10">
        <f>Table1[[#This Row],[Raw Freshwater Score]]/Table1[[#This Row],[Summed Raw Scores]]</f>
        <v>0.34149080758301148</v>
      </c>
      <c r="AB160" s="10">
        <f>Table1[[#This Row],[Raw Terrestrial Score]]+Table1[[#This Row],[Raw Freshwater Score]]</f>
        <v>729.57530656969107</v>
      </c>
      <c r="AC160" s="12">
        <f>Table1[[#This Row],[Terrestrial % of Summed Score]]*Table1[[#This Row],[Scaled Summed Score]]</f>
        <v>9.5241252951218588E-2</v>
      </c>
      <c r="AD160" s="12">
        <f>Table1[[#This Row],[Freshwater % of Summed Score]]*Table1[[#This Row],[Scaled Summed Score]]</f>
        <v>4.9390369580344901E-2</v>
      </c>
      <c r="AE160" s="19">
        <f>Table1[[#This Row],[Summed Raw Scores]]/MAX(Table1[Summed Raw Scores])</f>
        <v>0.1446316225315635</v>
      </c>
    </row>
    <row r="161" spans="1:31" x14ac:dyDescent="0.3">
      <c r="A161" s="5" t="s">
        <v>90</v>
      </c>
      <c r="B161" s="5" t="s">
        <v>58</v>
      </c>
      <c r="C161" s="5" t="s">
        <v>40</v>
      </c>
      <c r="D161" s="5"/>
      <c r="E161" s="21">
        <v>50.001386070000002</v>
      </c>
      <c r="F161" s="21">
        <v>-119.4152191</v>
      </c>
      <c r="G161" s="21">
        <v>126.011076923</v>
      </c>
      <c r="H161" s="6" t="s">
        <v>22</v>
      </c>
      <c r="I161" s="6" t="s">
        <v>22</v>
      </c>
      <c r="J161" s="21">
        <v>213.88440531431118</v>
      </c>
      <c r="K161" s="21">
        <v>104.06496196270399</v>
      </c>
      <c r="L161" s="6" t="s">
        <v>22</v>
      </c>
      <c r="M161" s="21">
        <v>0.3</v>
      </c>
      <c r="N161" s="21">
        <v>25.9</v>
      </c>
      <c r="O161" s="6">
        <f>Table1[[#This Row],[R1 Length (km)]]+Table1[[#This Row],[T1 Length (km)]]</f>
        <v>26.2</v>
      </c>
      <c r="P161" s="11">
        <v>130</v>
      </c>
      <c r="Q161" s="6">
        <f>(Table1[[#This Row],[Linear Features (km)]]*0.4)*100</f>
        <v>1048</v>
      </c>
      <c r="R161" s="21">
        <v>333.72</v>
      </c>
      <c r="S161" s="19">
        <f>Table1[[#This Row],[ATG (ha)]]/Table1[[#This Row],[Linear Area (ha)]]</f>
        <v>0.31843511450381684</v>
      </c>
      <c r="T161" s="9" t="s">
        <v>22</v>
      </c>
      <c r="U161" s="9" t="s">
        <v>22</v>
      </c>
      <c r="V161" s="21">
        <v>333.72</v>
      </c>
      <c r="W161" s="21">
        <v>133.48800000000003</v>
      </c>
      <c r="X161" s="11">
        <v>682.10044097900402</v>
      </c>
      <c r="Y161" s="10">
        <f>Table1[[#This Row],[Raw Terrestrial Score]]/Table1[[#This Row],[Summed Raw Scores]]</f>
        <v>0.94443718396203147</v>
      </c>
      <c r="Z161" s="11">
        <v>40.129107541637502</v>
      </c>
      <c r="AA161" s="10">
        <f>Table1[[#This Row],[Raw Freshwater Score]]/Table1[[#This Row],[Summed Raw Scores]]</f>
        <v>5.5562816037968574E-2</v>
      </c>
      <c r="AB161" s="10">
        <f>Table1[[#This Row],[Raw Terrestrial Score]]+Table1[[#This Row],[Raw Freshwater Score]]</f>
        <v>722.22954852064152</v>
      </c>
      <c r="AC161" s="12">
        <f>Table1[[#This Row],[Terrestrial % of Summed Score]]*Table1[[#This Row],[Scaled Summed Score]]</f>
        <v>0.13522016523850738</v>
      </c>
      <c r="AD161" s="12">
        <f>Table1[[#This Row],[Freshwater % of Summed Score]]*Table1[[#This Row],[Scaled Summed Score]]</f>
        <v>7.9552280377738153E-3</v>
      </c>
      <c r="AE161" s="19">
        <f>Table1[[#This Row],[Summed Raw Scores]]/MAX(Table1[Summed Raw Scores])</f>
        <v>0.1431753932762812</v>
      </c>
    </row>
    <row r="162" spans="1:31" x14ac:dyDescent="0.3">
      <c r="A162" s="5" t="s">
        <v>91</v>
      </c>
      <c r="B162" s="5" t="s">
        <v>58</v>
      </c>
      <c r="C162" s="5" t="s">
        <v>40</v>
      </c>
      <c r="D162" s="5"/>
      <c r="E162" s="21">
        <v>49.822599660000002</v>
      </c>
      <c r="F162" s="21">
        <v>-119.59908609999999</v>
      </c>
      <c r="G162" s="21">
        <v>105.873230769</v>
      </c>
      <c r="H162" s="6" t="s">
        <v>22</v>
      </c>
      <c r="I162" s="6" t="s">
        <v>22</v>
      </c>
      <c r="J162" s="21">
        <v>177.4225591880429</v>
      </c>
      <c r="K162" s="21">
        <v>99.454599163987098</v>
      </c>
      <c r="L162" s="6" t="s">
        <v>22</v>
      </c>
      <c r="M162" s="21">
        <v>0</v>
      </c>
      <c r="N162" s="21">
        <v>3.6</v>
      </c>
      <c r="O162" s="6">
        <f>Table1[[#This Row],[R1 Length (km)]]+Table1[[#This Row],[T1 Length (km)]]</f>
        <v>3.6</v>
      </c>
      <c r="P162" s="11">
        <v>130</v>
      </c>
      <c r="Q162" s="6">
        <f>(Table1[[#This Row],[Linear Features (km)]]*0.4)*100</f>
        <v>144.00000000000003</v>
      </c>
      <c r="R162" s="21">
        <v>511.92</v>
      </c>
      <c r="S162" s="19">
        <f>Table1[[#This Row],[ATG (ha)]]/Table1[[#This Row],[Linear Area (ha)]]</f>
        <v>3.5549999999999993</v>
      </c>
      <c r="T162" s="9" t="s">
        <v>22</v>
      </c>
      <c r="U162" s="9" t="s">
        <v>22</v>
      </c>
      <c r="V162" s="21">
        <v>511.92</v>
      </c>
      <c r="W162" s="21">
        <v>204.76800000000003</v>
      </c>
      <c r="X162" s="11">
        <v>356.88906574249302</v>
      </c>
      <c r="Y162" s="10">
        <f>Table1[[#This Row],[Raw Terrestrial Score]]/Table1[[#This Row],[Summed Raw Scores]]</f>
        <v>0.85215675476645669</v>
      </c>
      <c r="Z162" s="11">
        <v>61.917760286014499</v>
      </c>
      <c r="AA162" s="10">
        <f>Table1[[#This Row],[Raw Freshwater Score]]/Table1[[#This Row],[Summed Raw Scores]]</f>
        <v>0.1478432452335432</v>
      </c>
      <c r="AB162" s="10">
        <f>Table1[[#This Row],[Raw Terrestrial Score]]+Table1[[#This Row],[Raw Freshwater Score]]</f>
        <v>418.80682602850754</v>
      </c>
      <c r="AC162" s="12">
        <f>Table1[[#This Row],[Terrestrial % of Summed Score]]*Table1[[#This Row],[Scaled Summed Score]]</f>
        <v>7.0749988626677779E-2</v>
      </c>
      <c r="AD162" s="12">
        <f>Table1[[#This Row],[Freshwater % of Summed Score]]*Table1[[#This Row],[Scaled Summed Score]]</f>
        <v>1.2274628887581806E-2</v>
      </c>
      <c r="AE162" s="19">
        <f>Table1[[#This Row],[Summed Raw Scores]]/MAX(Table1[Summed Raw Scores])</f>
        <v>8.3024617514259588E-2</v>
      </c>
    </row>
    <row r="163" spans="1:31" x14ac:dyDescent="0.3">
      <c r="A163" s="5" t="s">
        <v>92</v>
      </c>
      <c r="B163" s="5" t="s">
        <v>58</v>
      </c>
      <c r="C163" s="5" t="s">
        <v>21</v>
      </c>
      <c r="D163" s="5"/>
      <c r="E163" s="21">
        <v>48.736638659999997</v>
      </c>
      <c r="F163" s="21">
        <v>-123.77466149999999</v>
      </c>
      <c r="G163" s="21">
        <v>92.115692307700002</v>
      </c>
      <c r="H163" s="6" t="s">
        <v>22</v>
      </c>
      <c r="I163" s="6" t="s">
        <v>22</v>
      </c>
      <c r="J163" s="21">
        <v>151.38292161644466</v>
      </c>
      <c r="K163" s="21">
        <v>102.62417884982256</v>
      </c>
      <c r="L163" s="6" t="s">
        <v>22</v>
      </c>
      <c r="M163" s="21">
        <v>0</v>
      </c>
      <c r="N163" s="21">
        <v>5.7</v>
      </c>
      <c r="O163" s="6">
        <f>Table1[[#This Row],[R1 Length (km)]]+Table1[[#This Row],[T1 Length (km)]]</f>
        <v>5.7</v>
      </c>
      <c r="P163" s="11">
        <v>13</v>
      </c>
      <c r="Q163" s="6">
        <f>(Table1[[#This Row],[Linear Features (km)]]*0.4)*100</f>
        <v>228.00000000000003</v>
      </c>
      <c r="R163" s="21">
        <v>200.88</v>
      </c>
      <c r="S163" s="19">
        <f>Table1[[#This Row],[ATG (ha)]]/Table1[[#This Row],[Linear Area (ha)]]</f>
        <v>0.8810526315789472</v>
      </c>
      <c r="T163" s="9" t="s">
        <v>22</v>
      </c>
      <c r="U163" s="9" t="s">
        <v>22</v>
      </c>
      <c r="V163" s="21">
        <v>200.88</v>
      </c>
      <c r="W163" s="21">
        <v>80.352000000000004</v>
      </c>
      <c r="X163" s="11">
        <v>114.70438415464</v>
      </c>
      <c r="Y163" s="10">
        <f>Table1[[#This Row],[Raw Terrestrial Score]]/Table1[[#This Row],[Summed Raw Scores]]</f>
        <v>0.58531501894997373</v>
      </c>
      <c r="Z163" s="11">
        <v>81.265957355499296</v>
      </c>
      <c r="AA163" s="10">
        <f>Table1[[#This Row],[Raw Freshwater Score]]/Table1[[#This Row],[Summed Raw Scores]]</f>
        <v>0.41468498105002632</v>
      </c>
      <c r="AB163" s="10">
        <f>Table1[[#This Row],[Raw Terrestrial Score]]+Table1[[#This Row],[Raw Freshwater Score]]</f>
        <v>195.97034151013929</v>
      </c>
      <c r="AC163" s="12">
        <f>Table1[[#This Row],[Terrestrial % of Summed Score]]*Table1[[#This Row],[Scaled Summed Score]]</f>
        <v>2.2739093610187361E-2</v>
      </c>
      <c r="AD163" s="12">
        <f>Table1[[#This Row],[Freshwater % of Summed Score]]*Table1[[#This Row],[Scaled Summed Score]]</f>
        <v>1.6110231751359273E-2</v>
      </c>
      <c r="AE163" s="19">
        <f>Table1[[#This Row],[Summed Raw Scores]]/MAX(Table1[Summed Raw Scores])</f>
        <v>3.884932536154663E-2</v>
      </c>
    </row>
    <row r="164" spans="1:31" x14ac:dyDescent="0.3">
      <c r="A164" s="5" t="s">
        <v>93</v>
      </c>
      <c r="B164" s="5" t="s">
        <v>58</v>
      </c>
      <c r="C164" s="5" t="s">
        <v>21</v>
      </c>
      <c r="D164" s="5" t="s">
        <v>250</v>
      </c>
      <c r="E164" s="21">
        <v>48.544412629999997</v>
      </c>
      <c r="F164" s="21">
        <v>-123.41815510000001</v>
      </c>
      <c r="G164" s="21">
        <v>114.446769231</v>
      </c>
      <c r="H164" s="6" t="s">
        <v>22</v>
      </c>
      <c r="I164" s="6" t="s">
        <v>22</v>
      </c>
      <c r="J164" s="21">
        <v>197.7440004716037</v>
      </c>
      <c r="K164" s="21">
        <v>96.517860072475429</v>
      </c>
      <c r="L164" s="6" t="s">
        <v>22</v>
      </c>
      <c r="M164" s="21">
        <v>0</v>
      </c>
      <c r="N164" s="21">
        <v>6.7</v>
      </c>
      <c r="O164" s="6">
        <f>Table1[[#This Row],[R1 Length (km)]]+Table1[[#This Row],[T1 Length (km)]]</f>
        <v>6.7</v>
      </c>
      <c r="P164" s="11">
        <v>130</v>
      </c>
      <c r="Q164" s="6">
        <f>(Table1[[#This Row],[Linear Features (km)]]*0.4)*100</f>
        <v>268</v>
      </c>
      <c r="R164" s="21">
        <v>221.93999999999997</v>
      </c>
      <c r="S164" s="19">
        <f>Table1[[#This Row],[ATG (ha)]]/Table1[[#This Row],[Linear Area (ha)]]</f>
        <v>0.82813432835820888</v>
      </c>
      <c r="T164" s="9" t="s">
        <v>22</v>
      </c>
      <c r="U164" s="9" t="s">
        <v>22</v>
      </c>
      <c r="V164" s="21">
        <v>221.93999999999997</v>
      </c>
      <c r="W164" s="21">
        <v>88.775999999999996</v>
      </c>
      <c r="X164" s="11">
        <v>235.501620292664</v>
      </c>
      <c r="Y164" s="10">
        <f>Table1[[#This Row],[Raw Terrestrial Score]]/Table1[[#This Row],[Summed Raw Scores]]</f>
        <v>0.65855106051472356</v>
      </c>
      <c r="Z164" s="11">
        <v>122.104090809822</v>
      </c>
      <c r="AA164" s="10">
        <f>Table1[[#This Row],[Raw Freshwater Score]]/Table1[[#This Row],[Summed Raw Scores]]</f>
        <v>0.34144893948527644</v>
      </c>
      <c r="AB164" s="10">
        <f>Table1[[#This Row],[Raw Terrestrial Score]]+Table1[[#This Row],[Raw Freshwater Score]]</f>
        <v>357.605711102486</v>
      </c>
      <c r="AC164" s="12">
        <f>Table1[[#This Row],[Terrestrial % of Summed Score]]*Table1[[#This Row],[Scaled Summed Score]]</f>
        <v>4.668603932318887E-2</v>
      </c>
      <c r="AD164" s="12">
        <f>Table1[[#This Row],[Freshwater % of Summed Score]]*Table1[[#This Row],[Scaled Summed Score]]</f>
        <v>2.4206017682533752E-2</v>
      </c>
      <c r="AE164" s="19">
        <f>Table1[[#This Row],[Summed Raw Scores]]/MAX(Table1[Summed Raw Scores])</f>
        <v>7.0892057005722625E-2</v>
      </c>
    </row>
    <row r="165" spans="1:31" x14ac:dyDescent="0.3">
      <c r="A165" s="5" t="s">
        <v>94</v>
      </c>
      <c r="B165" s="5" t="s">
        <v>58</v>
      </c>
      <c r="C165" s="5" t="s">
        <v>95</v>
      </c>
      <c r="D165" s="5"/>
      <c r="E165" s="21">
        <v>49.546591419999999</v>
      </c>
      <c r="F165" s="21">
        <v>-115.68028320000001</v>
      </c>
      <c r="G165" s="21">
        <v>82.146461538500006</v>
      </c>
      <c r="H165" s="6" t="s">
        <v>22</v>
      </c>
      <c r="I165" s="6" t="s">
        <v>22</v>
      </c>
      <c r="J165" s="21">
        <v>145.58409507610833</v>
      </c>
      <c r="K165" s="21">
        <v>103.70798631766935</v>
      </c>
      <c r="L165" s="6" t="s">
        <v>22</v>
      </c>
      <c r="M165" s="21">
        <v>1.8</v>
      </c>
      <c r="N165" s="21">
        <v>9.4</v>
      </c>
      <c r="O165" s="6">
        <f>Table1[[#This Row],[R1 Length (km)]]+Table1[[#This Row],[T1 Length (km)]]</f>
        <v>11.200000000000001</v>
      </c>
      <c r="P165" s="11">
        <v>230</v>
      </c>
      <c r="Q165" s="6">
        <f>(Table1[[#This Row],[Linear Features (km)]]*0.4)*100</f>
        <v>448.00000000000006</v>
      </c>
      <c r="R165" s="21">
        <v>845.64</v>
      </c>
      <c r="S165" s="19">
        <f>Table1[[#This Row],[ATG (ha)]]/Table1[[#This Row],[Linear Area (ha)]]</f>
        <v>1.8875892857142855</v>
      </c>
      <c r="T165" s="9" t="s">
        <v>22</v>
      </c>
      <c r="U165" s="9" t="s">
        <v>22</v>
      </c>
      <c r="V165" s="21">
        <v>845.64</v>
      </c>
      <c r="W165" s="21">
        <v>338.25600000000003</v>
      </c>
      <c r="X165" s="11">
        <v>441.88842964172397</v>
      </c>
      <c r="Y165" s="10">
        <f>Table1[[#This Row],[Raw Terrestrial Score]]/Table1[[#This Row],[Summed Raw Scores]]</f>
        <v>0.88432106381936215</v>
      </c>
      <c r="Z165" s="11">
        <v>57.803874116390901</v>
      </c>
      <c r="AA165" s="10">
        <f>Table1[[#This Row],[Raw Freshwater Score]]/Table1[[#This Row],[Summed Raw Scores]]</f>
        <v>0.1156789361806379</v>
      </c>
      <c r="AB165" s="10">
        <f>Table1[[#This Row],[Raw Terrestrial Score]]+Table1[[#This Row],[Raw Freshwater Score]]</f>
        <v>499.69230375811486</v>
      </c>
      <c r="AC165" s="12">
        <f>Table1[[#This Row],[Terrestrial % of Summed Score]]*Table1[[#This Row],[Scaled Summed Score]]</f>
        <v>8.7600334032004706E-2</v>
      </c>
      <c r="AD165" s="12">
        <f>Table1[[#This Row],[Freshwater % of Summed Score]]*Table1[[#This Row],[Scaled Summed Score]]</f>
        <v>1.1459088632497824E-2</v>
      </c>
      <c r="AE165" s="19">
        <f>Table1[[#This Row],[Summed Raw Scores]]/MAX(Table1[Summed Raw Scores])</f>
        <v>9.9059422664502531E-2</v>
      </c>
    </row>
    <row r="166" spans="1:31" x14ac:dyDescent="0.3">
      <c r="A166" s="5" t="s">
        <v>109</v>
      </c>
      <c r="B166" s="5" t="s">
        <v>97</v>
      </c>
      <c r="C166" s="5" t="s">
        <v>32</v>
      </c>
      <c r="D166" s="5" t="s">
        <v>250</v>
      </c>
      <c r="E166" s="13">
        <v>50.52</v>
      </c>
      <c r="F166" s="13">
        <v>-123.24</v>
      </c>
      <c r="G166" s="6">
        <v>45.1</v>
      </c>
      <c r="H166" s="6">
        <v>40</v>
      </c>
      <c r="I166" s="6">
        <v>7</v>
      </c>
      <c r="J166" s="14">
        <v>231</v>
      </c>
      <c r="K166" s="14">
        <v>72.571789578361177</v>
      </c>
      <c r="L166" s="6" t="s">
        <v>22</v>
      </c>
      <c r="M166" s="13">
        <v>0.3</v>
      </c>
      <c r="N166" s="7">
        <v>61.883766184071128</v>
      </c>
      <c r="O166" s="7">
        <f>Table1[[#This Row],[R1 Length (km)]]+Table1[[#This Row],[T1 Length (km)]]</f>
        <v>62.183766184071125</v>
      </c>
      <c r="P166" s="22">
        <v>230</v>
      </c>
      <c r="Q166" s="7">
        <f>(Table1[[#This Row],[Linear Features (km)]]*0.4)*100</f>
        <v>2487.3506473628454</v>
      </c>
      <c r="R166" s="7">
        <v>61.88</v>
      </c>
      <c r="S166" s="8">
        <f>Table1[[#This Row],[ATG (ha)]]/Table1[[#This Row],[Linear Area (ha)]]</f>
        <v>2.4877875608574452E-2</v>
      </c>
      <c r="T166" s="9" t="s">
        <v>22</v>
      </c>
      <c r="U166" s="9" t="s">
        <v>22</v>
      </c>
      <c r="V166" s="9" t="s">
        <v>22</v>
      </c>
      <c r="W166" s="9" t="s">
        <v>22</v>
      </c>
      <c r="X166" s="11">
        <v>613.94994190335296</v>
      </c>
      <c r="Y166" s="10">
        <f>Table1[[#This Row],[Raw Terrestrial Score]]/Table1[[#This Row],[Summed Raw Scores]]</f>
        <v>0.41128696943895526</v>
      </c>
      <c r="Z166" s="11">
        <v>878.80326333641995</v>
      </c>
      <c r="AA166" s="10">
        <f>Table1[[#This Row],[Raw Freshwater Score]]/Table1[[#This Row],[Summed Raw Scores]]</f>
        <v>0.58871303056104485</v>
      </c>
      <c r="AB166" s="10">
        <f>Table1[[#This Row],[Raw Terrestrial Score]]+Table1[[#This Row],[Raw Freshwater Score]]</f>
        <v>1492.7532052397728</v>
      </c>
      <c r="AC166" s="12">
        <f>Table1[[#This Row],[Terrestrial % of Summed Score]]*Table1[[#This Row],[Scaled Summed Score]]</f>
        <v>0.12170995296995978</v>
      </c>
      <c r="AD166" s="12">
        <f>Table1[[#This Row],[Freshwater % of Summed Score]]*Table1[[#This Row],[Scaled Summed Score]]</f>
        <v>0.17421469821941965</v>
      </c>
      <c r="AE166" s="19">
        <f>Table1[[#This Row],[Summed Raw Scores]]/MAX(Table1[Summed Raw Scores])</f>
        <v>0.29592465118937938</v>
      </c>
    </row>
    <row r="167" spans="1:31" x14ac:dyDescent="0.3">
      <c r="A167" s="5" t="s">
        <v>110</v>
      </c>
      <c r="B167" s="5" t="s">
        <v>97</v>
      </c>
      <c r="C167" s="5" t="s">
        <v>32</v>
      </c>
      <c r="D167" s="5" t="s">
        <v>250</v>
      </c>
      <c r="E167" s="15">
        <v>49.68</v>
      </c>
      <c r="F167" s="15">
        <v>-121.53</v>
      </c>
      <c r="G167" s="6">
        <v>40.4</v>
      </c>
      <c r="H167" s="6">
        <v>40</v>
      </c>
      <c r="I167" s="6">
        <v>8</v>
      </c>
      <c r="J167" s="14">
        <v>134.80000000000001</v>
      </c>
      <c r="K167" s="14">
        <v>88.061461448598124</v>
      </c>
      <c r="L167" s="6" t="s">
        <v>22</v>
      </c>
      <c r="M167" s="15">
        <v>0</v>
      </c>
      <c r="N167" s="7">
        <v>9.6941125496967455</v>
      </c>
      <c r="O167" s="7">
        <f>Table1[[#This Row],[R1 Length (km)]]+Table1[[#This Row],[T1 Length (km)]]</f>
        <v>9.6941125496967455</v>
      </c>
      <c r="P167" s="22">
        <v>69</v>
      </c>
      <c r="Q167" s="7">
        <f>(Table1[[#This Row],[Linear Features (km)]]*0.4)*100</f>
        <v>387.76450198786983</v>
      </c>
      <c r="R167" s="7">
        <v>9.02</v>
      </c>
      <c r="S167" s="8">
        <f>Table1[[#This Row],[ATG (ha)]]/Table1[[#This Row],[Linear Area (ha)]]</f>
        <v>2.3261541357599995E-2</v>
      </c>
      <c r="T167" s="9" t="s">
        <v>22</v>
      </c>
      <c r="U167" s="9" t="s">
        <v>22</v>
      </c>
      <c r="V167" s="9" t="s">
        <v>22</v>
      </c>
      <c r="W167" s="9" t="s">
        <v>22</v>
      </c>
      <c r="X167" s="11">
        <v>12.603204607963599</v>
      </c>
      <c r="Y167" s="10">
        <f>Table1[[#This Row],[Raw Terrestrial Score]]/Table1[[#This Row],[Summed Raw Scores]]</f>
        <v>0.34430768409583495</v>
      </c>
      <c r="Z167" s="11">
        <v>24.001277923583999</v>
      </c>
      <c r="AA167" s="10">
        <f>Table1[[#This Row],[Raw Freshwater Score]]/Table1[[#This Row],[Summed Raw Scores]]</f>
        <v>0.6556923159041651</v>
      </c>
      <c r="AB167" s="10">
        <f>Table1[[#This Row],[Raw Terrestrial Score]]+Table1[[#This Row],[Raw Freshwater Score]]</f>
        <v>36.604482531547596</v>
      </c>
      <c r="AC167" s="12">
        <f>Table1[[#This Row],[Terrestrial % of Summed Score]]*Table1[[#This Row],[Scaled Summed Score]]</f>
        <v>2.4984698839624606E-3</v>
      </c>
      <c r="AD167" s="12">
        <f>Table1[[#This Row],[Freshwater % of Summed Score]]*Table1[[#This Row],[Scaled Summed Score]]</f>
        <v>4.7580335267108668E-3</v>
      </c>
      <c r="AE167" s="19">
        <f>Table1[[#This Row],[Summed Raw Scores]]/MAX(Table1[Summed Raw Scores])</f>
        <v>7.256503410673327E-3</v>
      </c>
    </row>
    <row r="168" spans="1:31" x14ac:dyDescent="0.3">
      <c r="A168" s="5" t="s">
        <v>111</v>
      </c>
      <c r="B168" s="5" t="s">
        <v>97</v>
      </c>
      <c r="C168" s="5" t="s">
        <v>32</v>
      </c>
      <c r="D168" s="5" t="s">
        <v>250</v>
      </c>
      <c r="E168" s="6">
        <v>50.08</v>
      </c>
      <c r="F168" s="6">
        <v>-123.36</v>
      </c>
      <c r="G168" s="6">
        <v>67.7</v>
      </c>
      <c r="H168" s="6">
        <v>40</v>
      </c>
      <c r="I168" s="6">
        <v>10</v>
      </c>
      <c r="J168" s="6">
        <v>345</v>
      </c>
      <c r="K168" s="6">
        <v>92.74</v>
      </c>
      <c r="L168" s="6" t="s">
        <v>22</v>
      </c>
      <c r="M168" s="6">
        <f>299.999999998137/1000</f>
        <v>0.29999999999813703</v>
      </c>
      <c r="N168" s="6">
        <v>38.788899999999998</v>
      </c>
      <c r="O168" s="6">
        <f>Table1[[#This Row],[R1 Length (km)]]+Table1[[#This Row],[T1 Length (km)]]</f>
        <v>39.088899999998134</v>
      </c>
      <c r="P168" s="11">
        <v>130</v>
      </c>
      <c r="Q168" s="6">
        <f>(Table1[[#This Row],[Linear Features (km)]]*0.4)*100</f>
        <v>1563.5559999999255</v>
      </c>
      <c r="R168" s="7">
        <v>133.80000000000001</v>
      </c>
      <c r="S168" s="8">
        <f>Table1[[#This Row],[ATG (ha)]]/Table1[[#This Row],[Linear Area (ha)]]</f>
        <v>8.5574165555954748E-2</v>
      </c>
      <c r="T168" s="9" t="s">
        <v>22</v>
      </c>
      <c r="U168" s="9" t="s">
        <v>22</v>
      </c>
      <c r="V168" s="9" t="s">
        <v>22</v>
      </c>
      <c r="W168" s="9" t="s">
        <v>22</v>
      </c>
      <c r="X168" s="11">
        <v>301.72825336456299</v>
      </c>
      <c r="Y168" s="10">
        <f>Table1[[#This Row],[Raw Terrestrial Score]]/Table1[[#This Row],[Summed Raw Scores]]</f>
        <v>0.26548571040000274</v>
      </c>
      <c r="Z168" s="11">
        <v>834.78584718704201</v>
      </c>
      <c r="AA168" s="10">
        <f>Table1[[#This Row],[Raw Freshwater Score]]/Table1[[#This Row],[Summed Raw Scores]]</f>
        <v>0.73451428959999732</v>
      </c>
      <c r="AB168" s="10">
        <f>Table1[[#This Row],[Raw Terrestrial Score]]+Table1[[#This Row],[Raw Freshwater Score]]</f>
        <v>1136.514100551605</v>
      </c>
      <c r="AC168" s="12">
        <f>Table1[[#This Row],[Terrestrial % of Summed Score]]*Table1[[#This Row],[Scaled Summed Score]]</f>
        <v>5.9814862776695239E-2</v>
      </c>
      <c r="AD168" s="12">
        <f>Table1[[#This Row],[Freshwater % of Summed Score]]*Table1[[#This Row],[Scaled Summed Score]]</f>
        <v>0.16548864861219728</v>
      </c>
      <c r="AE168" s="19">
        <f>Table1[[#This Row],[Summed Raw Scores]]/MAX(Table1[Summed Raw Scores])</f>
        <v>0.22530351138889251</v>
      </c>
    </row>
    <row r="169" spans="1:31" x14ac:dyDescent="0.3">
      <c r="A169" s="5" t="s">
        <v>48</v>
      </c>
      <c r="B169" s="5" t="s">
        <v>42</v>
      </c>
      <c r="C169" s="5" t="s">
        <v>30</v>
      </c>
      <c r="D169" s="5" t="s">
        <v>250</v>
      </c>
      <c r="E169" s="21">
        <v>54.183812750400001</v>
      </c>
      <c r="F169" s="21">
        <v>-127.97489492699999</v>
      </c>
      <c r="G169" s="21">
        <v>1000</v>
      </c>
      <c r="H169" s="6" t="s">
        <v>22</v>
      </c>
      <c r="I169" s="6">
        <v>1000</v>
      </c>
      <c r="J169" s="5" t="s">
        <v>22</v>
      </c>
      <c r="K169" s="5" t="s">
        <v>22</v>
      </c>
      <c r="L169" s="14">
        <v>182.65150565656566</v>
      </c>
      <c r="M169" s="23">
        <v>3.0727922061400563</v>
      </c>
      <c r="N169" s="24">
        <v>55.326406871194145</v>
      </c>
      <c r="O169" s="7">
        <f>Table1[[#This Row],[R1 Length (km)]]+Table1[[#This Row],[T1 Length (km)]]</f>
        <v>58.399199077334202</v>
      </c>
      <c r="P169" s="22">
        <v>500</v>
      </c>
      <c r="Q169" s="7">
        <f>(Table1[[#This Row],[Linear Features (km)]]*0.4)*100</f>
        <v>2335.9679630933683</v>
      </c>
      <c r="R169" s="24">
        <v>55.33</v>
      </c>
      <c r="S169" s="8">
        <f>Table1[[#This Row],[ATG (ha)]]/Table1[[#This Row],[Linear Area (ha)]]</f>
        <v>2.3686112512746164E-2</v>
      </c>
      <c r="T169" s="9" t="s">
        <v>22</v>
      </c>
      <c r="U169" s="9" t="s">
        <v>22</v>
      </c>
      <c r="V169" s="9" t="s">
        <v>22</v>
      </c>
      <c r="W169" s="9" t="s">
        <v>22</v>
      </c>
      <c r="X169" s="11">
        <v>582.535689592361</v>
      </c>
      <c r="Y169" s="10">
        <f>Table1[[#This Row],[Raw Terrestrial Score]]/Table1[[#This Row],[Summed Raw Scores]]</f>
        <v>0.53618848685055831</v>
      </c>
      <c r="Z169" s="11">
        <v>503.90257582813501</v>
      </c>
      <c r="AA169" s="10">
        <f>Table1[[#This Row],[Raw Freshwater Score]]/Table1[[#This Row],[Summed Raw Scores]]</f>
        <v>0.46381151314944169</v>
      </c>
      <c r="AB169" s="10">
        <f>Table1[[#This Row],[Raw Terrestrial Score]]+Table1[[#This Row],[Raw Freshwater Score]]</f>
        <v>1086.438265420496</v>
      </c>
      <c r="AC169" s="12">
        <f>Table1[[#This Row],[Terrestrial % of Summed Score]]*Table1[[#This Row],[Scaled Summed Score]]</f>
        <v>0.11548236516450452</v>
      </c>
      <c r="AD169" s="12">
        <f>Table1[[#This Row],[Freshwater % of Summed Score]]*Table1[[#This Row],[Scaled Summed Score]]</f>
        <v>9.9894070541566016E-2</v>
      </c>
      <c r="AE169" s="19">
        <f>Table1[[#This Row],[Summed Raw Scores]]/MAX(Table1[Summed Raw Scores])</f>
        <v>0.21537643570607054</v>
      </c>
    </row>
    <row r="170" spans="1:31" x14ac:dyDescent="0.3">
      <c r="A170" s="5" t="s">
        <v>49</v>
      </c>
      <c r="B170" s="5" t="s">
        <v>42</v>
      </c>
      <c r="C170" s="5" t="s">
        <v>32</v>
      </c>
      <c r="D170" s="5" t="s">
        <v>250</v>
      </c>
      <c r="E170" s="23">
        <v>50.1539637132</v>
      </c>
      <c r="F170" s="23">
        <v>-123.68430182500001</v>
      </c>
      <c r="G170" s="21">
        <v>1000</v>
      </c>
      <c r="H170" s="6" t="s">
        <v>22</v>
      </c>
      <c r="I170" s="7">
        <v>495</v>
      </c>
      <c r="J170" s="5" t="s">
        <v>22</v>
      </c>
      <c r="K170" s="5" t="s">
        <v>22</v>
      </c>
      <c r="L170" s="14">
        <v>171.27576141414141</v>
      </c>
      <c r="M170" s="23">
        <v>1.9313709716799998</v>
      </c>
      <c r="N170" s="24">
        <v>64.098070312499999</v>
      </c>
      <c r="O170" s="7">
        <f>Table1[[#This Row],[R1 Length (km)]]+Table1[[#This Row],[T1 Length (km)]]</f>
        <v>66.029441284179995</v>
      </c>
      <c r="P170" s="22">
        <v>500</v>
      </c>
      <c r="Q170" s="7">
        <f>(Table1[[#This Row],[Linear Features (km)]]*0.4)*100</f>
        <v>2641.1776513671998</v>
      </c>
      <c r="R170" s="24">
        <v>65.650000000000006</v>
      </c>
      <c r="S170" s="8">
        <f>Table1[[#This Row],[ATG (ha)]]/Table1[[#This Row],[Linear Area (ha)]]</f>
        <v>2.4856336326341558E-2</v>
      </c>
      <c r="T170" s="9" t="s">
        <v>22</v>
      </c>
      <c r="U170" s="9" t="s">
        <v>22</v>
      </c>
      <c r="V170" s="9" t="s">
        <v>22</v>
      </c>
      <c r="W170" s="9" t="s">
        <v>22</v>
      </c>
      <c r="X170" s="11">
        <v>517.81032580137298</v>
      </c>
      <c r="Y170" s="10">
        <f>Table1[[#This Row],[Raw Terrestrial Score]]/Table1[[#This Row],[Summed Raw Scores]]</f>
        <v>0.33613839152607672</v>
      </c>
      <c r="Z170" s="11">
        <v>1022.6573472023</v>
      </c>
      <c r="AA170" s="10">
        <f>Table1[[#This Row],[Raw Freshwater Score]]/Table1[[#This Row],[Summed Raw Scores]]</f>
        <v>0.66386160847392317</v>
      </c>
      <c r="AB170" s="10">
        <f>Table1[[#This Row],[Raw Terrestrial Score]]+Table1[[#This Row],[Raw Freshwater Score]]</f>
        <v>1540.4676730036731</v>
      </c>
      <c r="AC170" s="12">
        <f>Table1[[#This Row],[Terrestrial % of Summed Score]]*Table1[[#This Row],[Scaled Summed Score]]</f>
        <v>0.10265115459619277</v>
      </c>
      <c r="AD170" s="12">
        <f>Table1[[#This Row],[Freshwater % of Summed Score]]*Table1[[#This Row],[Scaled Summed Score]]</f>
        <v>0.20273245282262645</v>
      </c>
      <c r="AE170" s="19">
        <f>Table1[[#This Row],[Summed Raw Scores]]/MAX(Table1[Summed Raw Scores])</f>
        <v>0.30538360741881926</v>
      </c>
    </row>
    <row r="171" spans="1:31" x14ac:dyDescent="0.3">
      <c r="A171" s="5" t="s">
        <v>50</v>
      </c>
      <c r="B171" s="5" t="s">
        <v>42</v>
      </c>
      <c r="C171" s="5" t="s">
        <v>32</v>
      </c>
      <c r="D171" s="5" t="s">
        <v>250</v>
      </c>
      <c r="E171" s="23">
        <v>49.755810000899999</v>
      </c>
      <c r="F171" s="23">
        <v>-123.601969999</v>
      </c>
      <c r="G171" s="21">
        <v>1000</v>
      </c>
      <c r="H171" s="6" t="s">
        <v>22</v>
      </c>
      <c r="I171" s="7">
        <v>495</v>
      </c>
      <c r="J171" s="11" t="s">
        <v>22</v>
      </c>
      <c r="K171" s="11" t="s">
        <v>22</v>
      </c>
      <c r="L171" s="14">
        <v>170.55434646464647</v>
      </c>
      <c r="M171" s="23">
        <v>0.42426406860400001</v>
      </c>
      <c r="N171" s="24">
        <v>31.430865786513319</v>
      </c>
      <c r="O171" s="7">
        <f>Table1[[#This Row],[R1 Length (km)]]+Table1[[#This Row],[T1 Length (km)]]</f>
        <v>31.855129855117319</v>
      </c>
      <c r="P171" s="22">
        <v>500</v>
      </c>
      <c r="Q171" s="7">
        <f>(Table1[[#This Row],[Linear Features (km)]]*0.4)*100</f>
        <v>1274.2051942046928</v>
      </c>
      <c r="R171" s="24">
        <v>31.43</v>
      </c>
      <c r="S171" s="8">
        <f>Table1[[#This Row],[ATG (ha)]]/Table1[[#This Row],[Linear Area (ha)]]</f>
        <v>2.466635683400846E-2</v>
      </c>
      <c r="T171" s="9" t="s">
        <v>22</v>
      </c>
      <c r="U171" s="9" t="s">
        <v>22</v>
      </c>
      <c r="V171" s="9" t="s">
        <v>22</v>
      </c>
      <c r="W171" s="9" t="s">
        <v>22</v>
      </c>
      <c r="X171" s="11">
        <v>301.83926180005102</v>
      </c>
      <c r="Y171" s="10">
        <f>Table1[[#This Row],[Raw Terrestrial Score]]/Table1[[#This Row],[Summed Raw Scores]]</f>
        <v>0.43732516857725662</v>
      </c>
      <c r="Z171" s="11">
        <v>388.35486259032001</v>
      </c>
      <c r="AA171" s="10">
        <f>Table1[[#This Row],[Raw Freshwater Score]]/Table1[[#This Row],[Summed Raw Scores]]</f>
        <v>0.56267483142274344</v>
      </c>
      <c r="AB171" s="10">
        <f>Table1[[#This Row],[Raw Terrestrial Score]]+Table1[[#This Row],[Raw Freshwater Score]]</f>
        <v>690.19412439037103</v>
      </c>
      <c r="AC171" s="12">
        <f>Table1[[#This Row],[Terrestrial % of Summed Score]]*Table1[[#This Row],[Scaled Summed Score]]</f>
        <v>5.9836869182332532E-2</v>
      </c>
      <c r="AD171" s="12">
        <f>Table1[[#This Row],[Freshwater % of Summed Score]]*Table1[[#This Row],[Scaled Summed Score]]</f>
        <v>7.6987794664477194E-2</v>
      </c>
      <c r="AE171" s="19">
        <f>Table1[[#This Row],[Summed Raw Scores]]/MAX(Table1[Summed Raw Scores])</f>
        <v>0.13682466384680972</v>
      </c>
    </row>
    <row r="172" spans="1:31" x14ac:dyDescent="0.3">
      <c r="A172" s="5" t="s">
        <v>51</v>
      </c>
      <c r="B172" s="5" t="s">
        <v>42</v>
      </c>
      <c r="C172" s="5" t="s">
        <v>32</v>
      </c>
      <c r="D172" s="5" t="s">
        <v>250</v>
      </c>
      <c r="E172" s="23">
        <v>49.912636246700004</v>
      </c>
      <c r="F172" s="23">
        <v>-123.731816256</v>
      </c>
      <c r="G172" s="21">
        <v>1000</v>
      </c>
      <c r="H172" s="6" t="s">
        <v>22</v>
      </c>
      <c r="I172" s="7">
        <v>495</v>
      </c>
      <c r="J172" s="11" t="s">
        <v>22</v>
      </c>
      <c r="K172" s="11" t="s">
        <v>22</v>
      </c>
      <c r="L172" s="14">
        <v>170.62377878787873</v>
      </c>
      <c r="M172" s="23">
        <v>10.0225371094</v>
      </c>
      <c r="N172" s="24">
        <v>34.413203435597197</v>
      </c>
      <c r="O172" s="7">
        <f>Table1[[#This Row],[R1 Length (km)]]+Table1[[#This Row],[T1 Length (km)]]</f>
        <v>44.435740544997195</v>
      </c>
      <c r="P172" s="22">
        <v>500</v>
      </c>
      <c r="Q172" s="7">
        <f>(Table1[[#This Row],[Linear Features (km)]]*0.4)*100</f>
        <v>1777.4296217998876</v>
      </c>
      <c r="R172" s="24">
        <v>11.75</v>
      </c>
      <c r="S172" s="8">
        <f>Table1[[#This Row],[ATG (ha)]]/Table1[[#This Row],[Linear Area (ha)]]</f>
        <v>6.6106696185818806E-3</v>
      </c>
      <c r="T172" s="9" t="s">
        <v>22</v>
      </c>
      <c r="U172" s="9" t="s">
        <v>22</v>
      </c>
      <c r="V172" s="9" t="s">
        <v>22</v>
      </c>
      <c r="W172" s="9" t="s">
        <v>22</v>
      </c>
      <c r="X172" s="11">
        <v>486.335129916668</v>
      </c>
      <c r="Y172" s="10">
        <f>Table1[[#This Row],[Raw Terrestrial Score]]/Table1[[#This Row],[Summed Raw Scores]]</f>
        <v>0.51128239855114177</v>
      </c>
      <c r="Z172" s="11">
        <v>464.87134872376902</v>
      </c>
      <c r="AA172" s="10">
        <f>Table1[[#This Row],[Raw Freshwater Score]]/Table1[[#This Row],[Summed Raw Scores]]</f>
        <v>0.48871760144885829</v>
      </c>
      <c r="AB172" s="10">
        <f>Table1[[#This Row],[Raw Terrestrial Score]]+Table1[[#This Row],[Raw Freshwater Score]]</f>
        <v>951.20647864043701</v>
      </c>
      <c r="AC172" s="12">
        <f>Table1[[#This Row],[Terrestrial % of Summed Score]]*Table1[[#This Row],[Scaled Summed Score]]</f>
        <v>9.6411485285415696E-2</v>
      </c>
      <c r="AD172" s="12">
        <f>Table1[[#This Row],[Freshwater % of Summed Score]]*Table1[[#This Row],[Scaled Summed Score]]</f>
        <v>9.215648724527177E-2</v>
      </c>
      <c r="AE172" s="19">
        <f>Table1[[#This Row],[Summed Raw Scores]]/MAX(Table1[Summed Raw Scores])</f>
        <v>0.18856797253068747</v>
      </c>
    </row>
    <row r="173" spans="1:31" x14ac:dyDescent="0.3">
      <c r="A173" s="5" t="s">
        <v>212</v>
      </c>
      <c r="B173" s="5" t="s">
        <v>114</v>
      </c>
      <c r="C173" s="5" t="s">
        <v>21</v>
      </c>
      <c r="D173" s="5" t="s">
        <v>250</v>
      </c>
      <c r="E173" s="21">
        <v>50.806605189999999</v>
      </c>
      <c r="F173" s="21">
        <v>-128.13496689999999</v>
      </c>
      <c r="G173" s="21">
        <v>147</v>
      </c>
      <c r="H173" s="5" t="s">
        <v>22</v>
      </c>
      <c r="I173" s="6">
        <v>42</v>
      </c>
      <c r="J173" s="21">
        <v>514.16819999999996</v>
      </c>
      <c r="K173" s="21">
        <v>77.965470085587228</v>
      </c>
      <c r="L173" s="6" t="s">
        <v>22</v>
      </c>
      <c r="M173" s="21">
        <v>3.5</v>
      </c>
      <c r="N173" s="21">
        <v>69</v>
      </c>
      <c r="O173" s="6">
        <f>Table1[[#This Row],[R1 Length (km)]]+Table1[[#This Row],[T1 Length (km)]]</f>
        <v>72.5</v>
      </c>
      <c r="P173" s="11">
        <v>130</v>
      </c>
      <c r="Q173" s="6">
        <f>(Table1[[#This Row],[Linear Features (km)]]*0.4)*100</f>
        <v>2900</v>
      </c>
      <c r="R173" s="24">
        <f>((PI()*(45^2))*Table1[[#This Row],[Number of Turbines - WIND]])/10000</f>
        <v>22.266037932317658</v>
      </c>
      <c r="S173" s="8">
        <f>Table1[[#This Row],[ATG (ha)]]/Table1[[#This Row],[Linear Area (ha)]]</f>
        <v>7.6779441145922956E-3</v>
      </c>
      <c r="T173" s="5" t="s">
        <v>115</v>
      </c>
      <c r="U173" s="5">
        <v>35</v>
      </c>
      <c r="V173" s="9" t="s">
        <v>22</v>
      </c>
      <c r="W173" s="9" t="s">
        <v>22</v>
      </c>
      <c r="X173" s="11">
        <f>812.552610009909+60.09337</f>
        <v>872.64598000990907</v>
      </c>
      <c r="Y173" s="10">
        <f>Table1[[#This Row],[Raw Terrestrial Score]]/Table1[[#This Row],[Summed Raw Scores]]</f>
        <v>0.28468479615471415</v>
      </c>
      <c r="Z173" s="11">
        <v>2192.6599014312019</v>
      </c>
      <c r="AA173" s="10">
        <f>Table1[[#This Row],[Raw Freshwater Score]]/Table1[[#This Row],[Summed Raw Scores]]</f>
        <v>0.7153152038452858</v>
      </c>
      <c r="AB173" s="10">
        <f>Table1[[#This Row],[Raw Terrestrial Score]]+Table1[[#This Row],[Raw Freshwater Score]]</f>
        <v>3065.3058814411111</v>
      </c>
      <c r="AC173" s="12">
        <f>Table1[[#This Row],[Terrestrial % of Summed Score]]*Table1[[#This Row],[Scaled Summed Score]]</f>
        <v>0.17299407319294097</v>
      </c>
      <c r="AD173" s="12">
        <f>Table1[[#This Row],[Freshwater % of Summed Score]]*Table1[[#This Row],[Scaled Summed Score]]</f>
        <v>0.43467474344075796</v>
      </c>
      <c r="AE173" s="19">
        <f>Table1[[#This Row],[Summed Raw Scores]]/MAX(Table1[Summed Raw Scores])</f>
        <v>0.60766881663369898</v>
      </c>
    </row>
    <row r="174" spans="1:31" x14ac:dyDescent="0.3">
      <c r="A174" s="5" t="s">
        <v>213</v>
      </c>
      <c r="B174" s="5" t="s">
        <v>114</v>
      </c>
      <c r="C174" s="5" t="s">
        <v>21</v>
      </c>
      <c r="D174" s="5" t="s">
        <v>250</v>
      </c>
      <c r="E174" s="21">
        <v>50.776845999999999</v>
      </c>
      <c r="F174" s="21">
        <v>-127.8682787</v>
      </c>
      <c r="G174" s="21">
        <v>60</v>
      </c>
      <c r="H174" s="5" t="s">
        <v>22</v>
      </c>
      <c r="I174" s="6">
        <v>14.399999999999999</v>
      </c>
      <c r="J174" s="21">
        <v>188.21735999999999</v>
      </c>
      <c r="K174" s="21">
        <v>101.1195555834226</v>
      </c>
      <c r="L174" s="6" t="s">
        <v>22</v>
      </c>
      <c r="M174" s="21">
        <v>2.1798991699200001</v>
      </c>
      <c r="N174" s="21">
        <v>48.825691406250002</v>
      </c>
      <c r="O174" s="6">
        <f>Table1[[#This Row],[R1 Length (km)]]+Table1[[#This Row],[T1 Length (km)]]</f>
        <v>51.00559057617</v>
      </c>
      <c r="P174" s="11">
        <v>130</v>
      </c>
      <c r="Q174" s="6">
        <f>(Table1[[#This Row],[Linear Features (km)]]*0.4)*100</f>
        <v>2040.2236230468002</v>
      </c>
      <c r="R174" s="24">
        <f>((PI()*(45^2))*Table1[[#This Row],[Number of Turbines - WIND]])/10000</f>
        <v>7.6340701482231959</v>
      </c>
      <c r="S174" s="8">
        <f>Table1[[#This Row],[ATG (ha)]]/Table1[[#This Row],[Linear Area (ha)]]</f>
        <v>3.7417810783029444E-3</v>
      </c>
      <c r="T174" s="5" t="s">
        <v>115</v>
      </c>
      <c r="U174" s="5">
        <v>12</v>
      </c>
      <c r="V174" s="9" t="s">
        <v>22</v>
      </c>
      <c r="W174" s="9" t="s">
        <v>22</v>
      </c>
      <c r="X174" s="11">
        <f>594.317028758116+9.293116</f>
        <v>603.61014475811601</v>
      </c>
      <c r="Y174" s="10">
        <f>Table1[[#This Row],[Raw Terrestrial Score]]/Table1[[#This Row],[Summed Raw Scores]]</f>
        <v>0.25061248879875064</v>
      </c>
      <c r="Z174" s="11">
        <v>1804.9296197658821</v>
      </c>
      <c r="AA174" s="10">
        <f>Table1[[#This Row],[Raw Freshwater Score]]/Table1[[#This Row],[Summed Raw Scores]]</f>
        <v>0.74938751120124936</v>
      </c>
      <c r="AB174" s="10">
        <f>Table1[[#This Row],[Raw Terrestrial Score]]+Table1[[#This Row],[Raw Freshwater Score]]</f>
        <v>2408.5397645239982</v>
      </c>
      <c r="AC174" s="12">
        <f>Table1[[#This Row],[Terrestrial % of Summed Score]]*Table1[[#This Row],[Scaled Summed Score]]</f>
        <v>0.11966018288550585</v>
      </c>
      <c r="AD174" s="12">
        <f>Table1[[#This Row],[Freshwater % of Summed Score]]*Table1[[#This Row],[Scaled Summed Score]]</f>
        <v>0.35781076622428326</v>
      </c>
      <c r="AE174" s="19">
        <f>Table1[[#This Row],[Summed Raw Scores]]/MAX(Table1[Summed Raw Scores])</f>
        <v>0.4774709491097891</v>
      </c>
    </row>
    <row r="175" spans="1:31" x14ac:dyDescent="0.3">
      <c r="A175" s="5" t="s">
        <v>214</v>
      </c>
      <c r="B175" s="5" t="s">
        <v>114</v>
      </c>
      <c r="C175" s="5" t="s">
        <v>21</v>
      </c>
      <c r="D175" s="5" t="s">
        <v>250</v>
      </c>
      <c r="E175" s="21">
        <v>50.739074709999997</v>
      </c>
      <c r="F175" s="21">
        <v>-127.770989</v>
      </c>
      <c r="G175" s="21">
        <v>255</v>
      </c>
      <c r="H175" s="5" t="s">
        <v>22</v>
      </c>
      <c r="I175" s="6">
        <v>61.199999999999996</v>
      </c>
      <c r="J175" s="21">
        <v>786.74436000000003</v>
      </c>
      <c r="K175" s="21">
        <v>93.499766923626581</v>
      </c>
      <c r="L175" s="6" t="s">
        <v>22</v>
      </c>
      <c r="M175" s="21">
        <v>0.7</v>
      </c>
      <c r="N175" s="21">
        <v>173.4</v>
      </c>
      <c r="O175" s="6">
        <f>Table1[[#This Row],[R1 Length (km)]]+Table1[[#This Row],[T1 Length (km)]]</f>
        <v>174.1</v>
      </c>
      <c r="P175" s="11">
        <v>230</v>
      </c>
      <c r="Q175" s="6">
        <f>(Table1[[#This Row],[Linear Features (km)]]*0.4)*100</f>
        <v>6964</v>
      </c>
      <c r="R175" s="24">
        <f>((PI()*(45^2))*Table1[[#This Row],[Number of Turbines - WIND]])/10000</f>
        <v>32.444798129948587</v>
      </c>
      <c r="S175" s="8">
        <f>Table1[[#This Row],[ATG (ha)]]/Table1[[#This Row],[Linear Area (ha)]]</f>
        <v>4.6589313799466668E-3</v>
      </c>
      <c r="T175" s="5" t="s">
        <v>115</v>
      </c>
      <c r="U175" s="5">
        <v>51</v>
      </c>
      <c r="V175" s="9" t="s">
        <v>22</v>
      </c>
      <c r="W175" s="9" t="s">
        <v>22</v>
      </c>
      <c r="X175" s="11">
        <f>726.32064377144+102.0428</f>
        <v>828.36344377143996</v>
      </c>
      <c r="Y175" s="10">
        <f>Table1[[#This Row],[Raw Terrestrial Score]]/Table1[[#This Row],[Summed Raw Scores]]</f>
        <v>0.2996120141291434</v>
      </c>
      <c r="Z175" s="11">
        <v>1936.423696621355</v>
      </c>
      <c r="AA175" s="10">
        <f>Table1[[#This Row],[Raw Freshwater Score]]/Table1[[#This Row],[Summed Raw Scores]]</f>
        <v>0.70038798587085671</v>
      </c>
      <c r="AB175" s="10">
        <f>Table1[[#This Row],[Raw Terrestrial Score]]+Table1[[#This Row],[Raw Freshwater Score]]</f>
        <v>2764.7871403927948</v>
      </c>
      <c r="AC175" s="12">
        <f>Table1[[#This Row],[Terrestrial % of Summed Score]]*Table1[[#This Row],[Scaled Summed Score]]</f>
        <v>0.16421546595622419</v>
      </c>
      <c r="AD175" s="12">
        <f>Table1[[#This Row],[Freshwater % of Summed Score]]*Table1[[#This Row],[Scaled Summed Score]]</f>
        <v>0.3838782626398578</v>
      </c>
      <c r="AE175" s="19">
        <f>Table1[[#This Row],[Summed Raw Scores]]/MAX(Table1[Summed Raw Scores])</f>
        <v>0.54809372859608196</v>
      </c>
    </row>
    <row r="176" spans="1:31" x14ac:dyDescent="0.3">
      <c r="A176" s="5" t="s">
        <v>215</v>
      </c>
      <c r="B176" s="5" t="s">
        <v>114</v>
      </c>
      <c r="C176" s="5" t="s">
        <v>21</v>
      </c>
      <c r="D176" s="5" t="s">
        <v>250</v>
      </c>
      <c r="E176" s="21">
        <v>50.78142433</v>
      </c>
      <c r="F176" s="21">
        <v>-127.6862897</v>
      </c>
      <c r="G176" s="21">
        <v>117</v>
      </c>
      <c r="H176" s="5" t="s">
        <v>22</v>
      </c>
      <c r="I176" s="6">
        <v>27.599999999999998</v>
      </c>
      <c r="J176" s="21">
        <v>358.53366</v>
      </c>
      <c r="K176" s="21">
        <v>83.915463409001291</v>
      </c>
      <c r="L176" s="6" t="s">
        <v>22</v>
      </c>
      <c r="M176" s="21">
        <v>1.7</v>
      </c>
      <c r="N176" s="21">
        <v>36</v>
      </c>
      <c r="O176" s="6">
        <f>Table1[[#This Row],[R1 Length (km)]]+Table1[[#This Row],[T1 Length (km)]]</f>
        <v>37.700000000000003</v>
      </c>
      <c r="P176" s="11">
        <v>130</v>
      </c>
      <c r="Q176" s="6">
        <f>(Table1[[#This Row],[Linear Features (km)]]*0.4)*100</f>
        <v>1508.0000000000002</v>
      </c>
      <c r="R176" s="24">
        <f>((PI()*(45^2))*Table1[[#This Row],[Number of Turbines - WIND]])/10000</f>
        <v>14.631967784094462</v>
      </c>
      <c r="S176" s="8">
        <f>Table1[[#This Row],[ATG (ha)]]/Table1[[#This Row],[Linear Area (ha)]]</f>
        <v>9.7028964085507027E-3</v>
      </c>
      <c r="T176" s="5" t="s">
        <v>115</v>
      </c>
      <c r="U176" s="5">
        <v>23</v>
      </c>
      <c r="V176" s="9" t="s">
        <v>22</v>
      </c>
      <c r="W176" s="9" t="s">
        <v>22</v>
      </c>
      <c r="X176" s="11">
        <f>601.612690583803+37.97201</f>
        <v>639.58470058380294</v>
      </c>
      <c r="Y176" s="10">
        <f>Table1[[#This Row],[Raw Terrestrial Score]]/Table1[[#This Row],[Summed Raw Scores]]</f>
        <v>0.2641546698626655</v>
      </c>
      <c r="Z176" s="11">
        <v>1781.666079939306</v>
      </c>
      <c r="AA176" s="10">
        <f>Table1[[#This Row],[Raw Freshwater Score]]/Table1[[#This Row],[Summed Raw Scores]]</f>
        <v>0.73584533013733455</v>
      </c>
      <c r="AB176" s="10">
        <f>Table1[[#This Row],[Raw Terrestrial Score]]+Table1[[#This Row],[Raw Freshwater Score]]</f>
        <v>2421.2507805231089</v>
      </c>
      <c r="AC176" s="12">
        <f>Table1[[#This Row],[Terrestrial % of Summed Score]]*Table1[[#This Row],[Scaled Summed Score]]</f>
        <v>0.12679180909608184</v>
      </c>
      <c r="AD176" s="12">
        <f>Table1[[#This Row],[Freshwater % of Summed Score]]*Table1[[#This Row],[Scaled Summed Score]]</f>
        <v>0.35319898251854737</v>
      </c>
      <c r="AE176" s="19">
        <f>Table1[[#This Row],[Summed Raw Scores]]/MAX(Table1[Summed Raw Scores])</f>
        <v>0.47999079161462915</v>
      </c>
    </row>
    <row r="177" spans="1:31" x14ac:dyDescent="0.3">
      <c r="A177" s="5" t="s">
        <v>216</v>
      </c>
      <c r="B177" s="5" t="s">
        <v>114</v>
      </c>
      <c r="C177" s="5" t="s">
        <v>21</v>
      </c>
      <c r="D177" s="5" t="s">
        <v>250</v>
      </c>
      <c r="E177" s="21">
        <v>50.644801700000002</v>
      </c>
      <c r="F177" s="21">
        <v>-126.9632505</v>
      </c>
      <c r="G177" s="21">
        <v>165</v>
      </c>
      <c r="H177" s="5" t="s">
        <v>22</v>
      </c>
      <c r="I177" s="6">
        <v>39.6</v>
      </c>
      <c r="J177" s="21">
        <v>522.07848000000001</v>
      </c>
      <c r="K177" s="21">
        <v>88.642968937247929</v>
      </c>
      <c r="L177" s="6" t="s">
        <v>22</v>
      </c>
      <c r="M177" s="21">
        <v>0.2</v>
      </c>
      <c r="N177" s="21">
        <v>122.2</v>
      </c>
      <c r="O177" s="6">
        <f>Table1[[#This Row],[R1 Length (km)]]+Table1[[#This Row],[T1 Length (km)]]</f>
        <v>122.4</v>
      </c>
      <c r="P177" s="11">
        <v>230</v>
      </c>
      <c r="Q177" s="6">
        <f>(Table1[[#This Row],[Linear Features (km)]]*0.4)*100</f>
        <v>4896.0000000000009</v>
      </c>
      <c r="R177" s="24">
        <f>((PI()*(45^2))*Table1[[#This Row],[Number of Turbines - WIND]])/10000</f>
        <v>20.993692907613791</v>
      </c>
      <c r="S177" s="8">
        <f>Table1[[#This Row],[ATG (ha)]]/Table1[[#This Row],[Linear Area (ha)]]</f>
        <v>4.2879274729603328E-3</v>
      </c>
      <c r="T177" s="5" t="s">
        <v>115</v>
      </c>
      <c r="U177" s="5">
        <v>33</v>
      </c>
      <c r="V177" s="9" t="s">
        <v>22</v>
      </c>
      <c r="W177" s="9" t="s">
        <v>22</v>
      </c>
      <c r="X177" s="11">
        <f>496.061652853154+35.21499</f>
        <v>531.27664285315404</v>
      </c>
      <c r="Y177" s="10">
        <f>Table1[[#This Row],[Raw Terrestrial Score]]/Table1[[#This Row],[Summed Raw Scores]]</f>
        <v>0.28446349864033449</v>
      </c>
      <c r="Z177" s="11">
        <v>1336.3676960252103</v>
      </c>
      <c r="AA177" s="10">
        <f>Table1[[#This Row],[Raw Freshwater Score]]/Table1[[#This Row],[Summed Raw Scores]]</f>
        <v>0.71553650135966551</v>
      </c>
      <c r="AB177" s="10">
        <f>Table1[[#This Row],[Raw Terrestrial Score]]+Table1[[#This Row],[Raw Freshwater Score]]</f>
        <v>1867.6443388783644</v>
      </c>
      <c r="AC177" s="12">
        <f>Table1[[#This Row],[Terrestrial % of Summed Score]]*Table1[[#This Row],[Scaled Summed Score]]</f>
        <v>0.10532072861711327</v>
      </c>
      <c r="AD177" s="12">
        <f>Table1[[#This Row],[Freshwater % of Summed Score]]*Table1[[#This Row],[Scaled Summed Score]]</f>
        <v>0.26492265628295447</v>
      </c>
      <c r="AE177" s="19">
        <f>Table1[[#This Row],[Summed Raw Scores]]/MAX(Table1[Summed Raw Scores])</f>
        <v>0.37024338490006775</v>
      </c>
    </row>
    <row r="178" spans="1:31" x14ac:dyDescent="0.3">
      <c r="A178" s="5" t="s">
        <v>217</v>
      </c>
      <c r="B178" s="5" t="s">
        <v>114</v>
      </c>
      <c r="C178" s="5" t="s">
        <v>21</v>
      </c>
      <c r="D178" s="5"/>
      <c r="E178" s="21">
        <v>50.655786939999999</v>
      </c>
      <c r="F178" s="21">
        <v>-127.75765079999999</v>
      </c>
      <c r="G178" s="21">
        <v>39</v>
      </c>
      <c r="H178" s="5" t="s">
        <v>22</v>
      </c>
      <c r="I178" s="6">
        <v>9.6</v>
      </c>
      <c r="J178" s="21">
        <v>119.73168000000001</v>
      </c>
      <c r="K178" s="21">
        <v>108.76961582803685</v>
      </c>
      <c r="L178" s="6" t="s">
        <v>22</v>
      </c>
      <c r="M178" s="21">
        <v>1.2242640380900001</v>
      </c>
      <c r="N178" s="21">
        <v>21.085281250000001</v>
      </c>
      <c r="O178" s="6">
        <f>Table1[[#This Row],[R1 Length (km)]]+Table1[[#This Row],[T1 Length (km)]]</f>
        <v>22.30954528809</v>
      </c>
      <c r="P178" s="11">
        <v>69</v>
      </c>
      <c r="Q178" s="6">
        <f>(Table1[[#This Row],[Linear Features (km)]]*0.4)*100</f>
        <v>892.38181152360005</v>
      </c>
      <c r="R178" s="24">
        <f>((PI()*(45^2))*Table1[[#This Row],[Number of Turbines - WIND]])/10000</f>
        <v>5.0893800988154645</v>
      </c>
      <c r="S178" s="8">
        <f>Table1[[#This Row],[ATG (ha)]]/Table1[[#This Row],[Linear Area (ha)]]</f>
        <v>5.7031418985626315E-3</v>
      </c>
      <c r="T178" s="5" t="s">
        <v>115</v>
      </c>
      <c r="U178" s="5">
        <v>8</v>
      </c>
      <c r="V178" s="9" t="s">
        <v>22</v>
      </c>
      <c r="W178" s="9" t="s">
        <v>22</v>
      </c>
      <c r="X178" s="11">
        <f>99.2075326293707+11.99719</f>
        <v>111.20472262937071</v>
      </c>
      <c r="Y178" s="10">
        <f>Table1[[#This Row],[Raw Terrestrial Score]]/Table1[[#This Row],[Summed Raw Scores]]</f>
        <v>0.34545982765072275</v>
      </c>
      <c r="Z178" s="11">
        <v>210.69876289486882</v>
      </c>
      <c r="AA178" s="10">
        <f>Table1[[#This Row],[Raw Freshwater Score]]/Table1[[#This Row],[Summed Raw Scores]]</f>
        <v>0.6545401723492773</v>
      </c>
      <c r="AB178" s="10">
        <f>Table1[[#This Row],[Raw Terrestrial Score]]+Table1[[#This Row],[Raw Freshwater Score]]</f>
        <v>321.9034855242395</v>
      </c>
      <c r="AC178" s="12">
        <f>Table1[[#This Row],[Terrestrial % of Summed Score]]*Table1[[#This Row],[Scaled Summed Score]]</f>
        <v>2.204531776531831E-2</v>
      </c>
      <c r="AD178" s="12">
        <f>Table1[[#This Row],[Freshwater % of Summed Score]]*Table1[[#This Row],[Scaled Summed Score]]</f>
        <v>4.1769100007179497E-2</v>
      </c>
      <c r="AE178" s="19">
        <f>Table1[[#This Row],[Summed Raw Scores]]/MAX(Table1[Summed Raw Scores])</f>
        <v>6.38144177724978E-2</v>
      </c>
    </row>
    <row r="179" spans="1:31" x14ac:dyDescent="0.3">
      <c r="A179" s="5" t="s">
        <v>218</v>
      </c>
      <c r="B179" s="5" t="s">
        <v>114</v>
      </c>
      <c r="C179" s="5" t="s">
        <v>21</v>
      </c>
      <c r="D179" s="5" t="s">
        <v>250</v>
      </c>
      <c r="E179" s="21">
        <v>50.587989550000003</v>
      </c>
      <c r="F179" s="21">
        <v>-128.2024973</v>
      </c>
      <c r="G179" s="21">
        <v>54</v>
      </c>
      <c r="H179" s="5" t="s">
        <v>22</v>
      </c>
      <c r="I179" s="6">
        <v>13.2</v>
      </c>
      <c r="J179" s="21">
        <v>168.34091999999998</v>
      </c>
      <c r="K179" s="21">
        <v>94.726775014035169</v>
      </c>
      <c r="L179" s="6" t="s">
        <v>22</v>
      </c>
      <c r="M179" s="21">
        <v>0.68284271240200001</v>
      </c>
      <c r="N179" s="21">
        <v>211</v>
      </c>
      <c r="O179" s="6">
        <f>Table1[[#This Row],[R1 Length (km)]]+Table1[[#This Row],[T1 Length (km)]]</f>
        <v>211.68284271240199</v>
      </c>
      <c r="P179" s="11">
        <v>69</v>
      </c>
      <c r="Q179" s="6">
        <f>(Table1[[#This Row],[Linear Features (km)]]*0.4)*100</f>
        <v>8467.3137084960799</v>
      </c>
      <c r="R179" s="24">
        <f>((PI()*(45^2))*Table1[[#This Row],[Number of Turbines - WIND]])/10000</f>
        <v>4.453207586463531</v>
      </c>
      <c r="S179" s="8">
        <f>Table1[[#This Row],[ATG (ha)]]/Table1[[#This Row],[Linear Area (ha)]]</f>
        <v>5.2592920727564333E-4</v>
      </c>
      <c r="T179" s="5" t="s">
        <v>115</v>
      </c>
      <c r="U179" s="5">
        <v>7</v>
      </c>
      <c r="V179" s="9" t="s">
        <v>22</v>
      </c>
      <c r="W179" s="9" t="s">
        <v>22</v>
      </c>
      <c r="X179" s="11">
        <f>755.65848806221+19.5576</f>
        <v>775.21608806221002</v>
      </c>
      <c r="Y179" s="10">
        <f>Table1[[#This Row],[Raw Terrestrial Score]]/Table1[[#This Row],[Summed Raw Scores]]</f>
        <v>0.31833827430534634</v>
      </c>
      <c r="Z179" s="11">
        <v>1659.979898828866</v>
      </c>
      <c r="AA179" s="10">
        <f>Table1[[#This Row],[Raw Freshwater Score]]/Table1[[#This Row],[Summed Raw Scores]]</f>
        <v>0.68166172569465355</v>
      </c>
      <c r="AB179" s="10">
        <f>Table1[[#This Row],[Raw Terrestrial Score]]+Table1[[#This Row],[Raw Freshwater Score]]</f>
        <v>2435.1959868910762</v>
      </c>
      <c r="AC179" s="12">
        <f>Table1[[#This Row],[Terrestrial % of Summed Score]]*Table1[[#This Row],[Scaled Summed Score]]</f>
        <v>0.15367948945007057</v>
      </c>
      <c r="AD179" s="12">
        <f>Table1[[#This Row],[Freshwater % of Summed Score]]*Table1[[#This Row],[Scaled Summed Score]]</f>
        <v>0.32907581160638671</v>
      </c>
      <c r="AE179" s="19">
        <f>Table1[[#This Row],[Summed Raw Scores]]/MAX(Table1[Summed Raw Scores])</f>
        <v>0.48275530105645736</v>
      </c>
    </row>
    <row r="180" spans="1:31" x14ac:dyDescent="0.3">
      <c r="A180" s="5" t="s">
        <v>219</v>
      </c>
      <c r="B180" s="5" t="s">
        <v>114</v>
      </c>
      <c r="C180" s="5" t="s">
        <v>21</v>
      </c>
      <c r="D180" s="5"/>
      <c r="E180" s="21">
        <v>50.701239829999999</v>
      </c>
      <c r="F180" s="21">
        <v>-128.19938149999999</v>
      </c>
      <c r="G180" s="21">
        <v>33</v>
      </c>
      <c r="H180" s="5" t="s">
        <v>22</v>
      </c>
      <c r="I180" s="6">
        <v>8.4</v>
      </c>
      <c r="J180" s="21">
        <v>100.50348</v>
      </c>
      <c r="K180" s="21">
        <v>115.04631020901492</v>
      </c>
      <c r="L180" s="6" t="s">
        <v>22</v>
      </c>
      <c r="M180" s="21">
        <v>0.14142135620100002</v>
      </c>
      <c r="N180" s="21">
        <v>50.245585937500003</v>
      </c>
      <c r="O180" s="6">
        <f>Table1[[#This Row],[R1 Length (km)]]+Table1[[#This Row],[T1 Length (km)]]</f>
        <v>50.387007293701004</v>
      </c>
      <c r="P180" s="11">
        <v>69</v>
      </c>
      <c r="Q180" s="6">
        <f>(Table1[[#This Row],[Linear Features (km)]]*0.4)*100</f>
        <v>2015.4802917480404</v>
      </c>
      <c r="R180" s="24">
        <f>145718.9/10000</f>
        <v>14.57189</v>
      </c>
      <c r="S180" s="8">
        <f>Table1[[#This Row],[ATG (ha)]]/Table1[[#This Row],[Linear Area (ha)]]</f>
        <v>7.2299838701780092E-3</v>
      </c>
      <c r="T180" s="5" t="s">
        <v>136</v>
      </c>
      <c r="U180" s="9" t="s">
        <v>22</v>
      </c>
      <c r="V180" s="9" t="s">
        <v>22</v>
      </c>
      <c r="W180" s="9" t="s">
        <v>22</v>
      </c>
      <c r="X180" s="11">
        <v>112.66033737734</v>
      </c>
      <c r="Y180" s="10">
        <f>Table1[[#This Row],[Raw Terrestrial Score]]/Table1[[#This Row],[Summed Raw Scores]]</f>
        <v>0.18529641507014344</v>
      </c>
      <c r="Z180" s="11">
        <v>495.34029412269598</v>
      </c>
      <c r="AA180" s="10">
        <f>Table1[[#This Row],[Raw Freshwater Score]]/Table1[[#This Row],[Summed Raw Scores]]</f>
        <v>0.81470358492985651</v>
      </c>
      <c r="AB180" s="10">
        <f>Table1[[#This Row],[Raw Terrestrial Score]]+Table1[[#This Row],[Raw Freshwater Score]]</f>
        <v>608.00063150003598</v>
      </c>
      <c r="AC180" s="12">
        <f>Table1[[#This Row],[Terrestrial % of Summed Score]]*Table1[[#This Row],[Scaled Summed Score]]</f>
        <v>2.2333880057495557E-2</v>
      </c>
      <c r="AD180" s="12">
        <f>Table1[[#This Row],[Freshwater % of Summed Score]]*Table1[[#This Row],[Scaled Summed Score]]</f>
        <v>9.8196676613237277E-2</v>
      </c>
      <c r="AE180" s="19">
        <f>Table1[[#This Row],[Summed Raw Scores]]/MAX(Table1[Summed Raw Scores])</f>
        <v>0.12053055667073284</v>
      </c>
    </row>
    <row r="181" spans="1:31" x14ac:dyDescent="0.3">
      <c r="A181" s="5" t="s">
        <v>220</v>
      </c>
      <c r="B181" s="5" t="s">
        <v>114</v>
      </c>
      <c r="C181" s="5" t="s">
        <v>21</v>
      </c>
      <c r="D181" s="5" t="s">
        <v>250</v>
      </c>
      <c r="E181" s="21">
        <v>48.524384269999999</v>
      </c>
      <c r="F181" s="21">
        <v>-124.04424469999999</v>
      </c>
      <c r="G181" s="21">
        <v>48</v>
      </c>
      <c r="H181" s="5" t="s">
        <v>22</v>
      </c>
      <c r="I181" s="6">
        <v>12</v>
      </c>
      <c r="J181" s="21">
        <v>127.8522</v>
      </c>
      <c r="K181" s="21">
        <v>102.72014729515422</v>
      </c>
      <c r="L181" s="6" t="s">
        <v>22</v>
      </c>
      <c r="M181" s="21">
        <v>0.68284277343800004</v>
      </c>
      <c r="N181" s="21">
        <v>34.066906250000002</v>
      </c>
      <c r="O181" s="6">
        <f>Table1[[#This Row],[R1 Length (km)]]+Table1[[#This Row],[T1 Length (km)]]</f>
        <v>34.749749023438</v>
      </c>
      <c r="P181" s="11">
        <v>69</v>
      </c>
      <c r="Q181" s="6">
        <f>(Table1[[#This Row],[Linear Features (km)]]*0.4)*100</f>
        <v>1389.98996093752</v>
      </c>
      <c r="R181" s="24">
        <v>6.36</v>
      </c>
      <c r="S181" s="8">
        <f>Table1[[#This Row],[ATG (ha)]]/Table1[[#This Row],[Linear Area (ha)]]</f>
        <v>4.5755726147189649E-3</v>
      </c>
      <c r="T181" s="5" t="s">
        <v>136</v>
      </c>
      <c r="U181" s="9" t="s">
        <v>22</v>
      </c>
      <c r="V181" s="9" t="s">
        <v>22</v>
      </c>
      <c r="W181" s="9" t="s">
        <v>22</v>
      </c>
      <c r="X181" s="11">
        <v>62.828645855188398</v>
      </c>
      <c r="Y181" s="10">
        <f>Table1[[#This Row],[Raw Terrestrial Score]]/Table1[[#This Row],[Summed Raw Scores]]</f>
        <v>0.35190155890506586</v>
      </c>
      <c r="Z181" s="11">
        <v>115.711756326258</v>
      </c>
      <c r="AA181" s="10">
        <f>Table1[[#This Row],[Raw Freshwater Score]]/Table1[[#This Row],[Summed Raw Scores]]</f>
        <v>0.6480984410949342</v>
      </c>
      <c r="AB181" s="10">
        <f>Table1[[#This Row],[Raw Terrestrial Score]]+Table1[[#This Row],[Raw Freshwater Score]]</f>
        <v>178.54040218144638</v>
      </c>
      <c r="AC181" s="12">
        <f>Table1[[#This Row],[Terrestrial % of Summed Score]]*Table1[[#This Row],[Scaled Summed Score]]</f>
        <v>1.2455203609099774E-2</v>
      </c>
      <c r="AD181" s="12">
        <f>Table1[[#This Row],[Freshwater % of Summed Score]]*Table1[[#This Row],[Scaled Summed Score]]</f>
        <v>2.2938795916943453E-2</v>
      </c>
      <c r="AE181" s="19">
        <f>Table1[[#This Row],[Summed Raw Scores]]/MAX(Table1[Summed Raw Scores])</f>
        <v>3.5393999526043225E-2</v>
      </c>
    </row>
    <row r="182" spans="1:31" x14ac:dyDescent="0.3">
      <c r="A182" s="5" t="s">
        <v>221</v>
      </c>
      <c r="B182" s="5" t="s">
        <v>114</v>
      </c>
      <c r="C182" s="5" t="s">
        <v>21</v>
      </c>
      <c r="D182" s="5" t="s">
        <v>250</v>
      </c>
      <c r="E182" s="21">
        <v>50.496697820000001</v>
      </c>
      <c r="F182" s="21">
        <v>-126.76762239999999</v>
      </c>
      <c r="G182" s="21">
        <v>48</v>
      </c>
      <c r="H182" s="5" t="s">
        <v>22</v>
      </c>
      <c r="I182" s="6">
        <v>12</v>
      </c>
      <c r="J182" s="21">
        <v>164.90700000000001</v>
      </c>
      <c r="K182" s="21">
        <v>88.165206651257805</v>
      </c>
      <c r="L182" s="6" t="s">
        <v>22</v>
      </c>
      <c r="M182" s="21">
        <v>0.7</v>
      </c>
      <c r="N182" s="21">
        <v>9.1999999999999993</v>
      </c>
      <c r="O182" s="6">
        <f>Table1[[#This Row],[R1 Length (km)]]+Table1[[#This Row],[T1 Length (km)]]</f>
        <v>9.8999999999999986</v>
      </c>
      <c r="P182" s="11">
        <v>130</v>
      </c>
      <c r="Q182" s="6">
        <f>(Table1[[#This Row],[Linear Features (km)]]*0.4)*100</f>
        <v>395.99999999999994</v>
      </c>
      <c r="R182" s="24">
        <v>6.36</v>
      </c>
      <c r="S182" s="8">
        <f>Table1[[#This Row],[ATG (ha)]]/Table1[[#This Row],[Linear Area (ha)]]</f>
        <v>1.6060606060606063E-2</v>
      </c>
      <c r="T182" s="5" t="s">
        <v>136</v>
      </c>
      <c r="U182" s="5" t="s">
        <v>22</v>
      </c>
      <c r="V182" s="9" t="s">
        <v>22</v>
      </c>
      <c r="W182" s="9" t="s">
        <v>22</v>
      </c>
      <c r="X182" s="11">
        <v>61.615151176229098</v>
      </c>
      <c r="Y182" s="10">
        <f>Table1[[#This Row],[Raw Terrestrial Score]]/Table1[[#This Row],[Summed Raw Scores]]</f>
        <v>0.33003122189236744</v>
      </c>
      <c r="Z182" s="11">
        <v>125.079764604568</v>
      </c>
      <c r="AA182" s="10">
        <f>Table1[[#This Row],[Raw Freshwater Score]]/Table1[[#This Row],[Summed Raw Scores]]</f>
        <v>0.66996877810763256</v>
      </c>
      <c r="AB182" s="10">
        <f>Table1[[#This Row],[Raw Terrestrial Score]]+Table1[[#This Row],[Raw Freshwater Score]]</f>
        <v>186.69491578079709</v>
      </c>
      <c r="AC182" s="12">
        <f>Table1[[#This Row],[Terrestrial % of Summed Score]]*Table1[[#This Row],[Scaled Summed Score]]</f>
        <v>1.2214639403087221E-2</v>
      </c>
      <c r="AD182" s="12">
        <f>Table1[[#This Row],[Freshwater % of Summed Score]]*Table1[[#This Row],[Scaled Summed Score]]</f>
        <v>2.4795917758897779E-2</v>
      </c>
      <c r="AE182" s="19">
        <f>Table1[[#This Row],[Summed Raw Scores]]/MAX(Table1[Summed Raw Scores])</f>
        <v>3.7010557161985001E-2</v>
      </c>
    </row>
    <row r="183" spans="1:31" x14ac:dyDescent="0.3">
      <c r="A183" s="5" t="s">
        <v>222</v>
      </c>
      <c r="B183" s="5" t="s">
        <v>114</v>
      </c>
      <c r="C183" s="5" t="s">
        <v>21</v>
      </c>
      <c r="D183" s="5" t="s">
        <v>250</v>
      </c>
      <c r="E183" s="21">
        <v>50.494692499999999</v>
      </c>
      <c r="F183" s="21">
        <v>-127.07283200000001</v>
      </c>
      <c r="G183" s="21">
        <v>33</v>
      </c>
      <c r="H183" s="5" t="s">
        <v>22</v>
      </c>
      <c r="I183" s="6">
        <v>8.4</v>
      </c>
      <c r="J183" s="21">
        <v>113.50331999999999</v>
      </c>
      <c r="K183" s="21">
        <v>87.113135229108053</v>
      </c>
      <c r="L183" s="6" t="s">
        <v>22</v>
      </c>
      <c r="M183" s="21">
        <v>1</v>
      </c>
      <c r="N183" s="21">
        <v>8.8000000000000007</v>
      </c>
      <c r="O183" s="6">
        <f>Table1[[#This Row],[R1 Length (km)]]+Table1[[#This Row],[T1 Length (km)]]</f>
        <v>9.8000000000000007</v>
      </c>
      <c r="P183" s="11">
        <v>130</v>
      </c>
      <c r="Q183" s="6">
        <f>(Table1[[#This Row],[Linear Features (km)]]*0.4)*100</f>
        <v>392.00000000000006</v>
      </c>
      <c r="R183" s="24">
        <f>((PI()*(45^2))*Table1[[#This Row],[Number of Turbines - WIND]])/10000</f>
        <v>4.453207586463531</v>
      </c>
      <c r="S183" s="8">
        <f>Table1[[#This Row],[ATG (ha)]]/Table1[[#This Row],[Linear Area (ha)]]</f>
        <v>1.1360223434855946E-2</v>
      </c>
      <c r="T183" s="5" t="s">
        <v>115</v>
      </c>
      <c r="U183" s="5">
        <v>7</v>
      </c>
      <c r="V183" s="9" t="s">
        <v>22</v>
      </c>
      <c r="W183" s="9" t="s">
        <v>22</v>
      </c>
      <c r="X183" s="11">
        <f>32.0294692963362+19.03198</f>
        <v>51.061449296336207</v>
      </c>
      <c r="Y183" s="10">
        <f>Table1[[#This Row],[Raw Terrestrial Score]]/Table1[[#This Row],[Summed Raw Scores]]</f>
        <v>0.23216055318697926</v>
      </c>
      <c r="Z183" s="11">
        <v>168.878797207177</v>
      </c>
      <c r="AA183" s="10">
        <f>Table1[[#This Row],[Raw Freshwater Score]]/Table1[[#This Row],[Summed Raw Scores]]</f>
        <v>0.76783944681302074</v>
      </c>
      <c r="AB183" s="10">
        <f>Table1[[#This Row],[Raw Terrestrial Score]]+Table1[[#This Row],[Raw Freshwater Score]]</f>
        <v>219.94024650351321</v>
      </c>
      <c r="AC183" s="12">
        <f>Table1[[#This Row],[Terrestrial % of Summed Score]]*Table1[[#This Row],[Scaled Summed Score]]</f>
        <v>1.0122464664087177E-2</v>
      </c>
      <c r="AD183" s="12">
        <f>Table1[[#This Row],[Freshwater % of Summed Score]]*Table1[[#This Row],[Scaled Summed Score]]</f>
        <v>3.3478674828092907E-2</v>
      </c>
      <c r="AE183" s="19">
        <f>Table1[[#This Row],[Summed Raw Scores]]/MAX(Table1[Summed Raw Scores])</f>
        <v>4.3601139492180085E-2</v>
      </c>
    </row>
    <row r="184" spans="1:31" x14ac:dyDescent="0.3">
      <c r="A184" s="5" t="s">
        <v>223</v>
      </c>
      <c r="B184" s="5" t="s">
        <v>114</v>
      </c>
      <c r="C184" s="5" t="s">
        <v>21</v>
      </c>
      <c r="D184" s="5" t="s">
        <v>250</v>
      </c>
      <c r="E184" s="21">
        <v>50.446005470000003</v>
      </c>
      <c r="F184" s="21">
        <v>-127.2969015</v>
      </c>
      <c r="G184" s="21">
        <v>33</v>
      </c>
      <c r="H184" s="5" t="s">
        <v>22</v>
      </c>
      <c r="I184" s="6">
        <v>8.4</v>
      </c>
      <c r="J184" s="21">
        <v>129.44651999999999</v>
      </c>
      <c r="K184" s="21">
        <v>88.609477321999194</v>
      </c>
      <c r="L184" s="6" t="s">
        <v>22</v>
      </c>
      <c r="M184" s="21">
        <v>0.9</v>
      </c>
      <c r="N184" s="21">
        <v>17.8</v>
      </c>
      <c r="O184" s="6">
        <f>Table1[[#This Row],[R1 Length (km)]]+Table1[[#This Row],[T1 Length (km)]]</f>
        <v>18.7</v>
      </c>
      <c r="P184" s="11">
        <v>130</v>
      </c>
      <c r="Q184" s="6">
        <f>(Table1[[#This Row],[Linear Features (km)]]*0.4)*100</f>
        <v>748</v>
      </c>
      <c r="R184" s="24">
        <v>4.45</v>
      </c>
      <c r="S184" s="8">
        <f>Table1[[#This Row],[ATG (ha)]]/Table1[[#This Row],[Linear Area (ha)]]</f>
        <v>5.9491978609625667E-3</v>
      </c>
      <c r="T184" s="5" t="s">
        <v>136</v>
      </c>
      <c r="U184" s="9" t="s">
        <v>22</v>
      </c>
      <c r="V184" s="9" t="s">
        <v>22</v>
      </c>
      <c r="W184" s="9" t="s">
        <v>22</v>
      </c>
      <c r="X184" s="11">
        <v>94.023282930254894</v>
      </c>
      <c r="Y184" s="10">
        <f>Table1[[#This Row],[Raw Terrestrial Score]]/Table1[[#This Row],[Summed Raw Scores]]</f>
        <v>0.4719176326343269</v>
      </c>
      <c r="Z184" s="11">
        <v>105.213355898857</v>
      </c>
      <c r="AA184" s="10">
        <f>Table1[[#This Row],[Raw Freshwater Score]]/Table1[[#This Row],[Summed Raw Scores]]</f>
        <v>0.52808236736567316</v>
      </c>
      <c r="AB184" s="10">
        <f>Table1[[#This Row],[Raw Terrestrial Score]]+Table1[[#This Row],[Raw Freshwater Score]]</f>
        <v>199.23663882911188</v>
      </c>
      <c r="AC184" s="12">
        <f>Table1[[#This Row],[Terrestrial % of Summed Score]]*Table1[[#This Row],[Scaled Summed Score]]</f>
        <v>1.8639254705433251E-2</v>
      </c>
      <c r="AD184" s="12">
        <f>Table1[[#This Row],[Freshwater % of Summed Score]]*Table1[[#This Row],[Scaled Summed Score]]</f>
        <v>2.0857584184407901E-2</v>
      </c>
      <c r="AE184" s="19">
        <f>Table1[[#This Row],[Summed Raw Scores]]/MAX(Table1[Summed Raw Scores])</f>
        <v>3.9496838889841152E-2</v>
      </c>
    </row>
    <row r="185" spans="1:31" x14ac:dyDescent="0.3">
      <c r="A185" s="5" t="s">
        <v>224</v>
      </c>
      <c r="B185" s="5" t="s">
        <v>114</v>
      </c>
      <c r="C185" s="5" t="s">
        <v>21</v>
      </c>
      <c r="D185" s="5" t="s">
        <v>250</v>
      </c>
      <c r="E185" s="21">
        <v>50.563312949999997</v>
      </c>
      <c r="F185" s="21">
        <v>-127.93100939999999</v>
      </c>
      <c r="G185" s="21">
        <v>39</v>
      </c>
      <c r="H185" s="5" t="s">
        <v>22</v>
      </c>
      <c r="I185" s="6">
        <v>9.6</v>
      </c>
      <c r="J185" s="21">
        <v>131.15472</v>
      </c>
      <c r="K185" s="21">
        <v>103.77850274255869</v>
      </c>
      <c r="L185" s="6" t="s">
        <v>22</v>
      </c>
      <c r="M185" s="21">
        <v>0.44142135620099998</v>
      </c>
      <c r="N185" s="21">
        <v>37.785996093750001</v>
      </c>
      <c r="O185" s="6">
        <f>Table1[[#This Row],[R1 Length (km)]]+Table1[[#This Row],[T1 Length (km)]]</f>
        <v>38.227417449950998</v>
      </c>
      <c r="P185" s="11">
        <v>69</v>
      </c>
      <c r="Q185" s="6">
        <f>(Table1[[#This Row],[Linear Features (km)]]*0.4)*100</f>
        <v>1529.0966979980401</v>
      </c>
      <c r="R185" s="24">
        <v>5.08</v>
      </c>
      <c r="S185" s="8">
        <f>Table1[[#This Row],[ATG (ha)]]/Table1[[#This Row],[Linear Area (ha)]]</f>
        <v>3.3222228565733987E-3</v>
      </c>
      <c r="T185" s="5" t="s">
        <v>136</v>
      </c>
      <c r="U185" s="9" t="s">
        <v>22</v>
      </c>
      <c r="V185" s="9" t="s">
        <v>22</v>
      </c>
      <c r="W185" s="9" t="s">
        <v>22</v>
      </c>
      <c r="X185" s="11">
        <v>223.12790771096499</v>
      </c>
      <c r="Y185" s="10">
        <f>Table1[[#This Row],[Raw Terrestrial Score]]/Table1[[#This Row],[Summed Raw Scores]]</f>
        <v>0.53061883659569498</v>
      </c>
      <c r="Z185" s="11">
        <v>197.37715604156301</v>
      </c>
      <c r="AA185" s="10">
        <f>Table1[[#This Row],[Raw Freshwater Score]]/Table1[[#This Row],[Summed Raw Scores]]</f>
        <v>0.46938116340430491</v>
      </c>
      <c r="AB185" s="10">
        <f>Table1[[#This Row],[Raw Terrestrial Score]]+Table1[[#This Row],[Raw Freshwater Score]]</f>
        <v>420.50506375252803</v>
      </c>
      <c r="AC185" s="12">
        <f>Table1[[#This Row],[Terrestrial % of Summed Score]]*Table1[[#This Row],[Scaled Summed Score]]</f>
        <v>4.4233064131573886E-2</v>
      </c>
      <c r="AD185" s="12">
        <f>Table1[[#This Row],[Freshwater % of Summed Score]]*Table1[[#This Row],[Scaled Summed Score]]</f>
        <v>3.9128213457742575E-2</v>
      </c>
      <c r="AE185" s="19">
        <f>Table1[[#This Row],[Summed Raw Scores]]/MAX(Table1[Summed Raw Scores])</f>
        <v>8.3361277589316468E-2</v>
      </c>
    </row>
    <row r="186" spans="1:31" x14ac:dyDescent="0.3">
      <c r="A186" s="5" t="s">
        <v>225</v>
      </c>
      <c r="B186" s="5" t="s">
        <v>37</v>
      </c>
      <c r="C186" s="5" t="s">
        <v>59</v>
      </c>
      <c r="D186" s="5" t="s">
        <v>250</v>
      </c>
      <c r="E186" s="21">
        <v>51.936409428200001</v>
      </c>
      <c r="F186" s="21">
        <v>-122.97709502799999</v>
      </c>
      <c r="G186" s="21">
        <v>11.4920585116</v>
      </c>
      <c r="H186" s="6">
        <v>11</v>
      </c>
      <c r="I186" s="6" t="s">
        <v>22</v>
      </c>
      <c r="J186" s="21">
        <v>92</v>
      </c>
      <c r="K186" s="21">
        <v>132.65</v>
      </c>
      <c r="L186" s="6" t="s">
        <v>22</v>
      </c>
      <c r="M186" s="21">
        <v>0</v>
      </c>
      <c r="N186" s="21">
        <v>68.169799999999995</v>
      </c>
      <c r="O186" s="6">
        <f>Table1[[#This Row],[R1 Length (km)]]+Table1[[#This Row],[T1 Length (km)]]</f>
        <v>68.169799999999995</v>
      </c>
      <c r="P186" s="11">
        <v>230</v>
      </c>
      <c r="Q186" s="6">
        <f>(Table1[[#This Row],[Linear Features (km)]]*0.4)*100</f>
        <v>2726.7919999999999</v>
      </c>
      <c r="R186" s="24">
        <v>10</v>
      </c>
      <c r="S186" s="8">
        <f>Table1[[#This Row],[ATG (ha)]]/Table1[[#This Row],[Linear Area (ha)]]</f>
        <v>3.6673130917209674E-3</v>
      </c>
      <c r="T186" s="5" t="s">
        <v>22</v>
      </c>
      <c r="U186" s="5" t="s">
        <v>22</v>
      </c>
      <c r="V186" s="9" t="s">
        <v>22</v>
      </c>
      <c r="W186" s="9" t="s">
        <v>22</v>
      </c>
      <c r="X186" s="11">
        <v>595.16749024391197</v>
      </c>
      <c r="Y186" s="10">
        <f>Table1[[#This Row],[Raw Terrestrial Score]]/Table1[[#This Row],[Summed Raw Scores]]</f>
        <v>0.57016845272704353</v>
      </c>
      <c r="Z186" s="11">
        <v>448.67751275003002</v>
      </c>
      <c r="AA186" s="10">
        <f>Table1[[#This Row],[Raw Freshwater Score]]/Table1[[#This Row],[Summed Raw Scores]]</f>
        <v>0.42983154727295653</v>
      </c>
      <c r="AB186" s="10">
        <f>Table1[[#This Row],[Raw Terrestrial Score]]+Table1[[#This Row],[Raw Freshwater Score]]</f>
        <v>1043.845002993942</v>
      </c>
      <c r="AC186" s="12">
        <f>Table1[[#This Row],[Terrestrial % of Summed Score]]*Table1[[#This Row],[Scaled Summed Score]]</f>
        <v>0.11798650395220425</v>
      </c>
      <c r="AD186" s="12">
        <f>Table1[[#This Row],[Freshwater % of Summed Score]]*Table1[[#This Row],[Scaled Summed Score]]</f>
        <v>8.8946207578729716E-2</v>
      </c>
      <c r="AE186" s="19">
        <f>Table1[[#This Row],[Summed Raw Scores]]/MAX(Table1[Summed Raw Scores])</f>
        <v>0.20693271153093395</v>
      </c>
    </row>
    <row r="187" spans="1:31" x14ac:dyDescent="0.3">
      <c r="A187" s="5" t="s">
        <v>226</v>
      </c>
      <c r="B187" s="5" t="s">
        <v>37</v>
      </c>
      <c r="C187" s="5" t="s">
        <v>32</v>
      </c>
      <c r="D187" s="5" t="s">
        <v>250</v>
      </c>
      <c r="E187" s="21">
        <v>49.079444444499998</v>
      </c>
      <c r="F187" s="21">
        <v>-122.483055556</v>
      </c>
      <c r="G187" s="21">
        <v>46.954864498399999</v>
      </c>
      <c r="H187" s="6">
        <v>45</v>
      </c>
      <c r="I187" s="6" t="s">
        <v>22</v>
      </c>
      <c r="J187" s="21">
        <v>374</v>
      </c>
      <c r="K187" s="21">
        <v>134.79</v>
      </c>
      <c r="L187" s="6" t="s">
        <v>22</v>
      </c>
      <c r="M187" s="21">
        <f>600/1000</f>
        <v>0.6</v>
      </c>
      <c r="N187" s="21">
        <v>3.67279</v>
      </c>
      <c r="O187" s="6">
        <f>Table1[[#This Row],[R1 Length (km)]]+Table1[[#This Row],[T1 Length (km)]]</f>
        <v>4.2727899999999996</v>
      </c>
      <c r="P187" s="11">
        <v>69</v>
      </c>
      <c r="Q187" s="6">
        <f>(Table1[[#This Row],[Linear Features (km)]]*0.4)*100</f>
        <v>170.91159999999999</v>
      </c>
      <c r="R187" s="24">
        <v>10</v>
      </c>
      <c r="S187" s="8">
        <f>Table1[[#This Row],[ATG (ha)]]/Table1[[#This Row],[Linear Area (ha)]]</f>
        <v>5.8509779324516301E-2</v>
      </c>
      <c r="T187" s="5" t="s">
        <v>22</v>
      </c>
      <c r="U187" s="5" t="s">
        <v>22</v>
      </c>
      <c r="V187" s="9" t="s">
        <v>22</v>
      </c>
      <c r="W187" s="9" t="s">
        <v>22</v>
      </c>
      <c r="X187" s="11">
        <v>93.829605728387804</v>
      </c>
      <c r="Y187" s="10">
        <f>Table1[[#This Row],[Raw Terrestrial Score]]/Table1[[#This Row],[Summed Raw Scores]]</f>
        <v>0.65258298349886923</v>
      </c>
      <c r="Z187" s="11">
        <v>49.952270448207898</v>
      </c>
      <c r="AA187" s="10">
        <f>Table1[[#This Row],[Raw Freshwater Score]]/Table1[[#This Row],[Summed Raw Scores]]</f>
        <v>0.34741701650113088</v>
      </c>
      <c r="AB187" s="10">
        <f>Table1[[#This Row],[Raw Terrestrial Score]]+Table1[[#This Row],[Raw Freshwater Score]]</f>
        <v>143.78187617659569</v>
      </c>
      <c r="AC187" s="12">
        <f>Table1[[#This Row],[Terrestrial % of Summed Score]]*Table1[[#This Row],[Scaled Summed Score]]</f>
        <v>1.8600859974003656E-2</v>
      </c>
      <c r="AD187" s="12">
        <f>Table1[[#This Row],[Freshwater % of Summed Score]]*Table1[[#This Row],[Scaled Summed Score]]</f>
        <v>9.9025801161345336E-3</v>
      </c>
      <c r="AE187" s="19">
        <f>Table1[[#This Row],[Summed Raw Scores]]/MAX(Table1[Summed Raw Scores])</f>
        <v>2.8503440090138187E-2</v>
      </c>
    </row>
    <row r="188" spans="1:31" x14ac:dyDescent="0.3">
      <c r="A188" s="5" t="s">
        <v>227</v>
      </c>
      <c r="B188" s="5" t="s">
        <v>37</v>
      </c>
      <c r="C188" s="5" t="s">
        <v>32</v>
      </c>
      <c r="D188" s="5" t="s">
        <v>250</v>
      </c>
      <c r="E188" s="21">
        <v>49.079444444499998</v>
      </c>
      <c r="F188" s="21">
        <v>-122.483055556</v>
      </c>
      <c r="G188" s="21">
        <v>38.505777818399999</v>
      </c>
      <c r="H188" s="6">
        <v>37</v>
      </c>
      <c r="I188" s="6" t="s">
        <v>22</v>
      </c>
      <c r="J188" s="21">
        <v>307</v>
      </c>
      <c r="K188" s="21">
        <v>104.73</v>
      </c>
      <c r="L188" s="6" t="s">
        <v>22</v>
      </c>
      <c r="M188" s="21">
        <v>0</v>
      </c>
      <c r="N188" s="21">
        <v>3.67279</v>
      </c>
      <c r="O188" s="6">
        <f>Table1[[#This Row],[R1 Length (km)]]+Table1[[#This Row],[T1 Length (km)]]</f>
        <v>3.67279</v>
      </c>
      <c r="P188" s="11">
        <v>69</v>
      </c>
      <c r="Q188" s="6">
        <f>(Table1[[#This Row],[Linear Features (km)]]*0.4)*100</f>
        <v>146.91160000000002</v>
      </c>
      <c r="R188" s="24">
        <v>10</v>
      </c>
      <c r="S188" s="8">
        <f>Table1[[#This Row],[ATG (ha)]]/Table1[[#This Row],[Linear Area (ha)]]</f>
        <v>6.8068144380702397E-2</v>
      </c>
      <c r="T188" s="5" t="s">
        <v>22</v>
      </c>
      <c r="U188" s="5" t="s">
        <v>22</v>
      </c>
      <c r="V188" s="9" t="s">
        <v>22</v>
      </c>
      <c r="W188" s="9" t="s">
        <v>22</v>
      </c>
      <c r="X188" s="11">
        <v>93.829605728387804</v>
      </c>
      <c r="Y188" s="10">
        <f>Table1[[#This Row],[Raw Terrestrial Score]]/Table1[[#This Row],[Summed Raw Scores]]</f>
        <v>0.65258298349886923</v>
      </c>
      <c r="Z188" s="11">
        <v>49.952270448207898</v>
      </c>
      <c r="AA188" s="10">
        <f>Table1[[#This Row],[Raw Freshwater Score]]/Table1[[#This Row],[Summed Raw Scores]]</f>
        <v>0.34741701650113088</v>
      </c>
      <c r="AB188" s="10">
        <f>Table1[[#This Row],[Raw Terrestrial Score]]+Table1[[#This Row],[Raw Freshwater Score]]</f>
        <v>143.78187617659569</v>
      </c>
      <c r="AC188" s="12">
        <f>Table1[[#This Row],[Terrestrial % of Summed Score]]*Table1[[#This Row],[Scaled Summed Score]]</f>
        <v>1.8600859974003656E-2</v>
      </c>
      <c r="AD188" s="12">
        <f>Table1[[#This Row],[Freshwater % of Summed Score]]*Table1[[#This Row],[Scaled Summed Score]]</f>
        <v>9.9025801161345336E-3</v>
      </c>
      <c r="AE188" s="19">
        <f>Table1[[#This Row],[Summed Raw Scores]]/MAX(Table1[Summed Raw Scores])</f>
        <v>2.8503440090138187E-2</v>
      </c>
    </row>
    <row r="189" spans="1:31" x14ac:dyDescent="0.3">
      <c r="A189" s="5" t="s">
        <v>228</v>
      </c>
      <c r="B189" s="5" t="s">
        <v>37</v>
      </c>
      <c r="C189" s="5" t="s">
        <v>32</v>
      </c>
      <c r="D189" s="5" t="s">
        <v>250</v>
      </c>
      <c r="E189" s="21">
        <v>49.079444444499998</v>
      </c>
      <c r="F189" s="21">
        <v>-122.483055556</v>
      </c>
      <c r="G189" s="21">
        <v>38.505777818399999</v>
      </c>
      <c r="H189" s="6">
        <v>37</v>
      </c>
      <c r="I189" s="6" t="s">
        <v>22</v>
      </c>
      <c r="J189" s="21">
        <v>307</v>
      </c>
      <c r="K189" s="21">
        <v>104.73</v>
      </c>
      <c r="L189" s="6" t="s">
        <v>22</v>
      </c>
      <c r="M189" s="21">
        <f>600/1000</f>
        <v>0.6</v>
      </c>
      <c r="N189" s="21">
        <v>3.67279</v>
      </c>
      <c r="O189" s="6">
        <f>Table1[[#This Row],[R1 Length (km)]]+Table1[[#This Row],[T1 Length (km)]]</f>
        <v>4.2727899999999996</v>
      </c>
      <c r="P189" s="11">
        <v>69</v>
      </c>
      <c r="Q189" s="6">
        <f>(Table1[[#This Row],[Linear Features (km)]]*0.4)*100</f>
        <v>170.91159999999999</v>
      </c>
      <c r="R189" s="24">
        <v>10</v>
      </c>
      <c r="S189" s="8">
        <f>Table1[[#This Row],[ATG (ha)]]/Table1[[#This Row],[Linear Area (ha)]]</f>
        <v>5.8509779324516301E-2</v>
      </c>
      <c r="T189" s="5" t="s">
        <v>22</v>
      </c>
      <c r="U189" s="5" t="s">
        <v>22</v>
      </c>
      <c r="V189" s="9" t="s">
        <v>22</v>
      </c>
      <c r="W189" s="9" t="s">
        <v>22</v>
      </c>
      <c r="X189" s="11">
        <v>93.829605728387804</v>
      </c>
      <c r="Y189" s="10">
        <f>Table1[[#This Row],[Raw Terrestrial Score]]/Table1[[#This Row],[Summed Raw Scores]]</f>
        <v>0.65258298349886923</v>
      </c>
      <c r="Z189" s="11">
        <v>49.952270448207898</v>
      </c>
      <c r="AA189" s="10">
        <f>Table1[[#This Row],[Raw Freshwater Score]]/Table1[[#This Row],[Summed Raw Scores]]</f>
        <v>0.34741701650113088</v>
      </c>
      <c r="AB189" s="10">
        <f>Table1[[#This Row],[Raw Terrestrial Score]]+Table1[[#This Row],[Raw Freshwater Score]]</f>
        <v>143.78187617659569</v>
      </c>
      <c r="AC189" s="12">
        <f>Table1[[#This Row],[Terrestrial % of Summed Score]]*Table1[[#This Row],[Scaled Summed Score]]</f>
        <v>1.8600859974003656E-2</v>
      </c>
      <c r="AD189" s="12">
        <f>Table1[[#This Row],[Freshwater % of Summed Score]]*Table1[[#This Row],[Scaled Summed Score]]</f>
        <v>9.9025801161345336E-3</v>
      </c>
      <c r="AE189" s="19">
        <f>Table1[[#This Row],[Summed Raw Scores]]/MAX(Table1[Summed Raw Scores])</f>
        <v>2.8503440090138187E-2</v>
      </c>
    </row>
    <row r="190" spans="1:31" x14ac:dyDescent="0.3">
      <c r="A190" s="5" t="s">
        <v>229</v>
      </c>
      <c r="B190" s="5" t="s">
        <v>37</v>
      </c>
      <c r="C190" s="5" t="s">
        <v>27</v>
      </c>
      <c r="D190" s="5" t="s">
        <v>250</v>
      </c>
      <c r="E190" s="21">
        <v>58.805555556500003</v>
      </c>
      <c r="F190" s="21">
        <v>-122.697222223</v>
      </c>
      <c r="G190" s="21">
        <v>38.520155471000002</v>
      </c>
      <c r="H190" s="6">
        <v>37</v>
      </c>
      <c r="I190" s="6" t="s">
        <v>22</v>
      </c>
      <c r="J190" s="21">
        <v>307</v>
      </c>
      <c r="K190" s="21">
        <v>187.48</v>
      </c>
      <c r="L190" s="6" t="s">
        <v>22</v>
      </c>
      <c r="M190" s="21">
        <f>600/1000</f>
        <v>0.6</v>
      </c>
      <c r="N190" s="21">
        <v>351.05200000000002</v>
      </c>
      <c r="O190" s="6">
        <f>Table1[[#This Row],[R1 Length (km)]]+Table1[[#This Row],[T1 Length (km)]]</f>
        <v>351.65200000000004</v>
      </c>
      <c r="P190" s="11">
        <v>230</v>
      </c>
      <c r="Q190" s="6">
        <f>(Table1[[#This Row],[Linear Features (km)]]*0.4)*100</f>
        <v>14066.080000000002</v>
      </c>
      <c r="R190" s="24">
        <v>10</v>
      </c>
      <c r="S190" s="8">
        <f>Table1[[#This Row],[ATG (ha)]]/Table1[[#This Row],[Linear Area (ha)]]</f>
        <v>7.1093012409996243E-4</v>
      </c>
      <c r="T190" s="5" t="s">
        <v>22</v>
      </c>
      <c r="U190" s="5" t="s">
        <v>22</v>
      </c>
      <c r="V190" s="9" t="s">
        <v>22</v>
      </c>
      <c r="W190" s="9" t="s">
        <v>22</v>
      </c>
      <c r="X190" s="11">
        <v>1518.90333972499</v>
      </c>
      <c r="Y190" s="10">
        <f>Table1[[#This Row],[Raw Terrestrial Score]]/Table1[[#This Row],[Summed Raw Scores]]</f>
        <v>0.5262543216554606</v>
      </c>
      <c r="Z190" s="11">
        <v>1367.3500879844701</v>
      </c>
      <c r="AA190" s="10">
        <f>Table1[[#This Row],[Raw Freshwater Score]]/Table1[[#This Row],[Summed Raw Scores]]</f>
        <v>0.47374567834453934</v>
      </c>
      <c r="AB190" s="10">
        <f>Table1[[#This Row],[Raw Terrestrial Score]]+Table1[[#This Row],[Raw Freshwater Score]]</f>
        <v>2886.2534277094601</v>
      </c>
      <c r="AC190" s="12">
        <f>Table1[[#This Row],[Terrestrial % of Summed Score]]*Table1[[#This Row],[Scaled Summed Score]]</f>
        <v>0.30110867584859974</v>
      </c>
      <c r="AD190" s="12">
        <f>Table1[[#This Row],[Freshwater % of Summed Score]]*Table1[[#This Row],[Scaled Summed Score]]</f>
        <v>0.27106463172897866</v>
      </c>
      <c r="AE190" s="19">
        <f>Table1[[#This Row],[Summed Raw Scores]]/MAX(Table1[Summed Raw Scores])</f>
        <v>0.57217330757757845</v>
      </c>
    </row>
    <row r="191" spans="1:31" x14ac:dyDescent="0.3">
      <c r="A191" s="5" t="s">
        <v>230</v>
      </c>
      <c r="B191" s="5" t="s">
        <v>37</v>
      </c>
      <c r="C191" s="5" t="s">
        <v>27</v>
      </c>
      <c r="D191" s="5" t="s">
        <v>250</v>
      </c>
      <c r="E191" s="21">
        <v>58.805555556500003</v>
      </c>
      <c r="F191" s="21">
        <v>-122.697222223</v>
      </c>
      <c r="G191" s="21">
        <v>38.520155471000002</v>
      </c>
      <c r="H191" s="6">
        <v>37</v>
      </c>
      <c r="I191" s="6" t="s">
        <v>22</v>
      </c>
      <c r="J191" s="21">
        <v>307</v>
      </c>
      <c r="K191" s="21">
        <v>187.48</v>
      </c>
      <c r="L191" s="6" t="s">
        <v>22</v>
      </c>
      <c r="M191" s="21">
        <v>0</v>
      </c>
      <c r="N191" s="21">
        <v>351.05200000000002</v>
      </c>
      <c r="O191" s="6">
        <f>Table1[[#This Row],[R1 Length (km)]]+Table1[[#This Row],[T1 Length (km)]]</f>
        <v>351.05200000000002</v>
      </c>
      <c r="P191" s="11">
        <v>230</v>
      </c>
      <c r="Q191" s="6">
        <f>(Table1[[#This Row],[Linear Features (km)]]*0.4)*100</f>
        <v>14042.080000000002</v>
      </c>
      <c r="R191" s="24">
        <v>10</v>
      </c>
      <c r="S191" s="8">
        <f>Table1[[#This Row],[ATG (ha)]]/Table1[[#This Row],[Linear Area (ha)]]</f>
        <v>7.1214520925674818E-4</v>
      </c>
      <c r="T191" s="5" t="s">
        <v>22</v>
      </c>
      <c r="U191" s="5" t="s">
        <v>22</v>
      </c>
      <c r="V191" s="9" t="s">
        <v>22</v>
      </c>
      <c r="W191" s="9" t="s">
        <v>22</v>
      </c>
      <c r="X191" s="11">
        <v>1518.90333972499</v>
      </c>
      <c r="Y191" s="10">
        <f>Table1[[#This Row],[Raw Terrestrial Score]]/Table1[[#This Row],[Summed Raw Scores]]</f>
        <v>0.5262543216554606</v>
      </c>
      <c r="Z191" s="11">
        <v>1367.3500879844701</v>
      </c>
      <c r="AA191" s="10">
        <f>Table1[[#This Row],[Raw Freshwater Score]]/Table1[[#This Row],[Summed Raw Scores]]</f>
        <v>0.47374567834453934</v>
      </c>
      <c r="AB191" s="10">
        <f>Table1[[#This Row],[Raw Terrestrial Score]]+Table1[[#This Row],[Raw Freshwater Score]]</f>
        <v>2886.2534277094601</v>
      </c>
      <c r="AC191" s="12">
        <f>Table1[[#This Row],[Terrestrial % of Summed Score]]*Table1[[#This Row],[Scaled Summed Score]]</f>
        <v>0.30110867584859974</v>
      </c>
      <c r="AD191" s="12">
        <f>Table1[[#This Row],[Freshwater % of Summed Score]]*Table1[[#This Row],[Scaled Summed Score]]</f>
        <v>0.27106463172897866</v>
      </c>
      <c r="AE191" s="19">
        <f>Table1[[#This Row],[Summed Raw Scores]]/MAX(Table1[Summed Raw Scores])</f>
        <v>0.57217330757757845</v>
      </c>
    </row>
    <row r="192" spans="1:31" x14ac:dyDescent="0.3">
      <c r="A192" s="5" t="s">
        <v>231</v>
      </c>
      <c r="B192" s="5" t="s">
        <v>37</v>
      </c>
      <c r="C192" s="5" t="s">
        <v>27</v>
      </c>
      <c r="D192" s="5" t="s">
        <v>250</v>
      </c>
      <c r="E192" s="21">
        <v>58.805555556500003</v>
      </c>
      <c r="F192" s="21">
        <v>-122.697222223</v>
      </c>
      <c r="G192" s="21">
        <v>38.520155471000002</v>
      </c>
      <c r="H192" s="6">
        <v>37</v>
      </c>
      <c r="I192" s="6" t="s">
        <v>22</v>
      </c>
      <c r="J192" s="21">
        <v>307</v>
      </c>
      <c r="K192" s="21">
        <v>187.48</v>
      </c>
      <c r="L192" s="6" t="s">
        <v>22</v>
      </c>
      <c r="M192" s="21">
        <v>0</v>
      </c>
      <c r="N192" s="21">
        <v>351.05200000000002</v>
      </c>
      <c r="O192" s="6">
        <f>Table1[[#This Row],[R1 Length (km)]]+Table1[[#This Row],[T1 Length (km)]]</f>
        <v>351.05200000000002</v>
      </c>
      <c r="P192" s="11">
        <v>230</v>
      </c>
      <c r="Q192" s="6">
        <f>(Table1[[#This Row],[Linear Features (km)]]*0.4)*100</f>
        <v>14042.080000000002</v>
      </c>
      <c r="R192" s="24">
        <v>10</v>
      </c>
      <c r="S192" s="8">
        <f>Table1[[#This Row],[ATG (ha)]]/Table1[[#This Row],[Linear Area (ha)]]</f>
        <v>7.1214520925674818E-4</v>
      </c>
      <c r="T192" s="5" t="s">
        <v>22</v>
      </c>
      <c r="U192" s="5" t="s">
        <v>22</v>
      </c>
      <c r="V192" s="9" t="s">
        <v>22</v>
      </c>
      <c r="W192" s="9" t="s">
        <v>22</v>
      </c>
      <c r="X192" s="11">
        <v>1518.90333972499</v>
      </c>
      <c r="Y192" s="10">
        <f>Table1[[#This Row],[Raw Terrestrial Score]]/Table1[[#This Row],[Summed Raw Scores]]</f>
        <v>0.5262543216554606</v>
      </c>
      <c r="Z192" s="11">
        <v>1367.3500879844701</v>
      </c>
      <c r="AA192" s="10">
        <f>Table1[[#This Row],[Raw Freshwater Score]]/Table1[[#This Row],[Summed Raw Scores]]</f>
        <v>0.47374567834453934</v>
      </c>
      <c r="AB192" s="10">
        <f>Table1[[#This Row],[Raw Terrestrial Score]]+Table1[[#This Row],[Raw Freshwater Score]]</f>
        <v>2886.2534277094601</v>
      </c>
      <c r="AC192" s="12">
        <f>Table1[[#This Row],[Terrestrial % of Summed Score]]*Table1[[#This Row],[Scaled Summed Score]]</f>
        <v>0.30110867584859974</v>
      </c>
      <c r="AD192" s="12">
        <f>Table1[[#This Row],[Freshwater % of Summed Score]]*Table1[[#This Row],[Scaled Summed Score]]</f>
        <v>0.27106463172897866</v>
      </c>
      <c r="AE192" s="19">
        <f>Table1[[#This Row],[Summed Raw Scores]]/MAX(Table1[Summed Raw Scores])</f>
        <v>0.57217330757757845</v>
      </c>
    </row>
    <row r="193" spans="1:31" x14ac:dyDescent="0.3">
      <c r="A193" s="5" t="s">
        <v>232</v>
      </c>
      <c r="B193" s="5" t="s">
        <v>37</v>
      </c>
      <c r="C193" s="5" t="s">
        <v>30</v>
      </c>
      <c r="D193" s="5" t="s">
        <v>250</v>
      </c>
      <c r="E193" s="21">
        <v>58.433333333900002</v>
      </c>
      <c r="F193" s="21">
        <v>-130.024166667</v>
      </c>
      <c r="G193" s="21">
        <v>54</v>
      </c>
      <c r="H193" s="6">
        <v>10</v>
      </c>
      <c r="I193" s="6" t="s">
        <v>22</v>
      </c>
      <c r="J193" s="21">
        <v>86</v>
      </c>
      <c r="K193" s="21">
        <v>205.12</v>
      </c>
      <c r="L193" s="6" t="s">
        <v>22</v>
      </c>
      <c r="M193" s="21">
        <f>473.463877529/1000</f>
        <v>0.47346387752899999</v>
      </c>
      <c r="N193" s="21">
        <v>255.387</v>
      </c>
      <c r="O193" s="6">
        <f>Table1[[#This Row],[R1 Length (km)]]+Table1[[#This Row],[T1 Length (km)]]</f>
        <v>255.86046387752901</v>
      </c>
      <c r="P193" s="11">
        <v>130</v>
      </c>
      <c r="Q193" s="6">
        <f>(Table1[[#This Row],[Linear Features (km)]]*0.4)*100</f>
        <v>10234.418555101161</v>
      </c>
      <c r="R193" s="24">
        <v>10</v>
      </c>
      <c r="S193" s="8">
        <f>Table1[[#This Row],[ATG (ha)]]/Table1[[#This Row],[Linear Area (ha)]]</f>
        <v>9.7709507835358955E-4</v>
      </c>
      <c r="T193" s="5" t="s">
        <v>22</v>
      </c>
      <c r="U193" s="5" t="s">
        <v>22</v>
      </c>
      <c r="V193" s="9" t="s">
        <v>22</v>
      </c>
      <c r="W193" s="9" t="s">
        <v>22</v>
      </c>
      <c r="X193" s="11">
        <v>528.02373223658697</v>
      </c>
      <c r="Y193" s="10">
        <f>Table1[[#This Row],[Raw Terrestrial Score]]/Table1[[#This Row],[Summed Raw Scores]]</f>
        <v>0.22431645789246199</v>
      </c>
      <c r="Z193" s="11">
        <v>1825.89954739064</v>
      </c>
      <c r="AA193" s="10">
        <f>Table1[[#This Row],[Raw Freshwater Score]]/Table1[[#This Row],[Summed Raw Scores]]</f>
        <v>0.77568354210753787</v>
      </c>
      <c r="AB193" s="10">
        <f>Table1[[#This Row],[Raw Terrestrial Score]]+Table1[[#This Row],[Raw Freshwater Score]]</f>
        <v>2353.9232796272272</v>
      </c>
      <c r="AC193" s="12">
        <f>Table1[[#This Row],[Terrestrial % of Summed Score]]*Table1[[#This Row],[Scaled Summed Score]]</f>
        <v>0.1046758688799652</v>
      </c>
      <c r="AD193" s="12">
        <f>Table1[[#This Row],[Freshwater % of Summed Score]]*Table1[[#This Row],[Scaled Summed Score]]</f>
        <v>0.36196786231762318</v>
      </c>
      <c r="AE193" s="19">
        <f>Table1[[#This Row],[Summed Raw Scores]]/MAX(Table1[Summed Raw Scores])</f>
        <v>0.46664373119758845</v>
      </c>
    </row>
    <row r="194" spans="1:31" x14ac:dyDescent="0.3">
      <c r="A194" s="5" t="s">
        <v>233</v>
      </c>
      <c r="B194" s="5" t="s">
        <v>37</v>
      </c>
      <c r="C194" s="5" t="s">
        <v>27</v>
      </c>
      <c r="D194" s="5" t="s">
        <v>250</v>
      </c>
      <c r="E194" s="21">
        <v>55.700000000499998</v>
      </c>
      <c r="F194" s="21">
        <v>-121.633333333</v>
      </c>
      <c r="G194" s="21">
        <v>9.2094357002400002</v>
      </c>
      <c r="H194" s="6">
        <v>9</v>
      </c>
      <c r="I194" s="6" t="s">
        <v>22</v>
      </c>
      <c r="J194" s="21">
        <v>73</v>
      </c>
      <c r="K194" s="21">
        <v>213.94</v>
      </c>
      <c r="L194" s="6" t="s">
        <v>22</v>
      </c>
      <c r="M194" s="21">
        <v>0</v>
      </c>
      <c r="N194" s="21">
        <v>0.42426399999999997</v>
      </c>
      <c r="O194" s="6">
        <f>Table1[[#This Row],[R1 Length (km)]]+Table1[[#This Row],[T1 Length (km)]]</f>
        <v>0.42426399999999997</v>
      </c>
      <c r="P194" s="11">
        <v>25</v>
      </c>
      <c r="Q194" s="6">
        <f>(Table1[[#This Row],[Linear Features (km)]]*0.4)*100</f>
        <v>16.970560000000003</v>
      </c>
      <c r="R194" s="24">
        <v>10</v>
      </c>
      <c r="S194" s="8">
        <f>Table1[[#This Row],[ATG (ha)]]/Table1[[#This Row],[Linear Area (ha)]]</f>
        <v>0.58925574642203904</v>
      </c>
      <c r="T194" s="5" t="s">
        <v>22</v>
      </c>
      <c r="U194" s="5" t="s">
        <v>22</v>
      </c>
      <c r="V194" s="9" t="s">
        <v>22</v>
      </c>
      <c r="W194" s="9" t="s">
        <v>22</v>
      </c>
      <c r="X194" s="11">
        <v>5.7417668402194998E-2</v>
      </c>
      <c r="Y194" s="10">
        <f>Table1[[#This Row],[Raw Terrestrial Score]]/Table1[[#This Row],[Summed Raw Scores]]</f>
        <v>0.8906021992814368</v>
      </c>
      <c r="Z194" s="11">
        <v>7.0529431104659999E-3</v>
      </c>
      <c r="AA194" s="10">
        <f>Table1[[#This Row],[Raw Freshwater Score]]/Table1[[#This Row],[Summed Raw Scores]]</f>
        <v>0.1093978007185633</v>
      </c>
      <c r="AB194" s="10">
        <f>Table1[[#This Row],[Raw Terrestrial Score]]+Table1[[#This Row],[Raw Freshwater Score]]</f>
        <v>6.4470611512660994E-2</v>
      </c>
      <c r="AC194" s="12">
        <f>Table1[[#This Row],[Terrestrial % of Summed Score]]*Table1[[#This Row],[Scaled Summed Score]]</f>
        <v>1.1382526886819033E-5</v>
      </c>
      <c r="AD194" s="12">
        <f>Table1[[#This Row],[Freshwater % of Summed Score]]*Table1[[#This Row],[Scaled Summed Score]]</f>
        <v>1.3981813755261317E-6</v>
      </c>
      <c r="AE194" s="19">
        <f>Table1[[#This Row],[Summed Raw Scores]]/MAX(Table1[Summed Raw Scores])</f>
        <v>1.2780708262345163E-5</v>
      </c>
    </row>
    <row r="195" spans="1:31" x14ac:dyDescent="0.3">
      <c r="A195" s="5" t="s">
        <v>234</v>
      </c>
      <c r="B195" s="5" t="s">
        <v>37</v>
      </c>
      <c r="C195" s="5" t="s">
        <v>27</v>
      </c>
      <c r="D195" s="5" t="s">
        <v>250</v>
      </c>
      <c r="E195" s="21">
        <v>55.700000000499998</v>
      </c>
      <c r="F195" s="21">
        <v>-121.633333333</v>
      </c>
      <c r="G195" s="21">
        <v>0.92358257850000003</v>
      </c>
      <c r="H195" s="6">
        <v>1</v>
      </c>
      <c r="I195" s="6" t="s">
        <v>22</v>
      </c>
      <c r="J195" s="21">
        <v>7</v>
      </c>
      <c r="K195" s="21">
        <v>213.94</v>
      </c>
      <c r="L195" s="6" t="s">
        <v>22</v>
      </c>
      <c r="M195" s="21">
        <v>0</v>
      </c>
      <c r="N195" s="21">
        <v>0.42426399999999997</v>
      </c>
      <c r="O195" s="6">
        <f>Table1[[#This Row],[R1 Length (km)]]+Table1[[#This Row],[T1 Length (km)]]</f>
        <v>0.42426399999999997</v>
      </c>
      <c r="P195" s="11">
        <v>25</v>
      </c>
      <c r="Q195" s="6">
        <f>(Table1[[#This Row],[Linear Features (km)]]*0.4)*100</f>
        <v>16.970560000000003</v>
      </c>
      <c r="R195" s="24">
        <v>10</v>
      </c>
      <c r="S195" s="8">
        <f>Table1[[#This Row],[ATG (ha)]]/Table1[[#This Row],[Linear Area (ha)]]</f>
        <v>0.58925574642203904</v>
      </c>
      <c r="T195" s="5" t="s">
        <v>22</v>
      </c>
      <c r="U195" s="5" t="s">
        <v>22</v>
      </c>
      <c r="V195" s="9" t="s">
        <v>22</v>
      </c>
      <c r="W195" s="9" t="s">
        <v>22</v>
      </c>
      <c r="X195" s="11">
        <v>5.7417668402194998E-2</v>
      </c>
      <c r="Y195" s="10">
        <f>Table1[[#This Row],[Raw Terrestrial Score]]/Table1[[#This Row],[Summed Raw Scores]]</f>
        <v>0.8906021992814368</v>
      </c>
      <c r="Z195" s="11">
        <v>7.0529431104659999E-3</v>
      </c>
      <c r="AA195" s="10">
        <f>Table1[[#This Row],[Raw Freshwater Score]]/Table1[[#This Row],[Summed Raw Scores]]</f>
        <v>0.1093978007185633</v>
      </c>
      <c r="AB195" s="10">
        <f>Table1[[#This Row],[Raw Terrestrial Score]]+Table1[[#This Row],[Raw Freshwater Score]]</f>
        <v>6.4470611512660994E-2</v>
      </c>
      <c r="AC195" s="12">
        <f>Table1[[#This Row],[Terrestrial % of Summed Score]]*Table1[[#This Row],[Scaled Summed Score]]</f>
        <v>1.1382526886819033E-5</v>
      </c>
      <c r="AD195" s="12">
        <f>Table1[[#This Row],[Freshwater % of Summed Score]]*Table1[[#This Row],[Scaled Summed Score]]</f>
        <v>1.3981813755261317E-6</v>
      </c>
      <c r="AE195" s="19">
        <f>Table1[[#This Row],[Summed Raw Scores]]/MAX(Table1[Summed Raw Scores])</f>
        <v>1.2780708262345163E-5</v>
      </c>
    </row>
    <row r="196" spans="1:31" x14ac:dyDescent="0.3">
      <c r="A196" s="5" t="s">
        <v>235</v>
      </c>
      <c r="B196" s="5" t="s">
        <v>37</v>
      </c>
      <c r="C196" s="5" t="s">
        <v>30</v>
      </c>
      <c r="D196" s="5" t="s">
        <v>250</v>
      </c>
      <c r="E196" s="6">
        <v>54.052777778600003</v>
      </c>
      <c r="F196" s="6">
        <v>-128.65</v>
      </c>
      <c r="G196" s="6">
        <v>13.691422297000001</v>
      </c>
      <c r="H196" s="6">
        <v>13</v>
      </c>
      <c r="I196" s="6" t="s">
        <v>22</v>
      </c>
      <c r="J196" s="6">
        <v>109</v>
      </c>
      <c r="K196" s="6">
        <v>133.66</v>
      </c>
      <c r="L196" s="6" t="s">
        <v>22</v>
      </c>
      <c r="M196" s="21">
        <v>0</v>
      </c>
      <c r="N196" s="21">
        <v>4.7698499999999999</v>
      </c>
      <c r="O196" s="6">
        <f>Table1[[#This Row],[R1 Length (km)]]+Table1[[#This Row],[T1 Length (km)]]</f>
        <v>4.7698499999999999</v>
      </c>
      <c r="P196" s="11">
        <v>25</v>
      </c>
      <c r="Q196" s="6">
        <f>(Table1[[#This Row],[Linear Features (km)]]*0.4)*100</f>
        <v>190.79399999999998</v>
      </c>
      <c r="R196" s="7">
        <v>10</v>
      </c>
      <c r="S196" s="8">
        <f>Table1[[#This Row],[ATG (ha)]]/Table1[[#This Row],[Linear Area (ha)]]</f>
        <v>5.241254966089081E-2</v>
      </c>
      <c r="T196" s="5" t="s">
        <v>22</v>
      </c>
      <c r="U196" s="5" t="s">
        <v>22</v>
      </c>
      <c r="V196" s="9" t="s">
        <v>22</v>
      </c>
      <c r="W196" s="9" t="s">
        <v>22</v>
      </c>
      <c r="X196" s="11">
        <v>25.632366001606002</v>
      </c>
      <c r="Y196" s="10">
        <f>Table1[[#This Row],[Raw Terrestrial Score]]/Table1[[#This Row],[Summed Raw Scores]]</f>
        <v>0.43398768429764195</v>
      </c>
      <c r="Z196" s="11">
        <v>33.430061180144499</v>
      </c>
      <c r="AA196" s="10">
        <f>Table1[[#This Row],[Raw Freshwater Score]]/Table1[[#This Row],[Summed Raw Scores]]</f>
        <v>0.5660123157023581</v>
      </c>
      <c r="AB196" s="10">
        <f>Table1[[#This Row],[Raw Terrestrial Score]]+Table1[[#This Row],[Raw Freshwater Score]]</f>
        <v>59.0624271817505</v>
      </c>
      <c r="AC196" s="12">
        <f>Table1[[#This Row],[Terrestrial % of Summed Score]]*Table1[[#This Row],[Scaled Summed Score]]</f>
        <v>5.0813817994551794E-3</v>
      </c>
      <c r="AD196" s="12">
        <f>Table1[[#This Row],[Freshwater % of Summed Score]]*Table1[[#This Row],[Scaled Summed Score]]</f>
        <v>6.6272034514806826E-3</v>
      </c>
      <c r="AE196" s="19">
        <f>Table1[[#This Row],[Summed Raw Scores]]/MAX(Table1[Summed Raw Scores])</f>
        <v>1.1708585250935861E-2</v>
      </c>
    </row>
    <row r="197" spans="1:31" x14ac:dyDescent="0.3">
      <c r="A197" s="5" t="s">
        <v>112</v>
      </c>
      <c r="B197" s="5" t="s">
        <v>97</v>
      </c>
      <c r="C197" s="5" t="s">
        <v>30</v>
      </c>
      <c r="D197" s="5" t="s">
        <v>250</v>
      </c>
      <c r="E197" s="13">
        <v>54.5</v>
      </c>
      <c r="F197" s="13">
        <v>-128.35</v>
      </c>
      <c r="G197" s="6">
        <v>51.2</v>
      </c>
      <c r="H197" s="6">
        <v>40</v>
      </c>
      <c r="I197" s="6">
        <v>8</v>
      </c>
      <c r="J197" s="14">
        <v>208.4</v>
      </c>
      <c r="K197" s="14">
        <v>81.381647398843924</v>
      </c>
      <c r="L197" s="6" t="s">
        <v>22</v>
      </c>
      <c r="M197" s="23">
        <v>0</v>
      </c>
      <c r="N197" s="24">
        <v>16.482337649085515</v>
      </c>
      <c r="O197" s="7">
        <f>Table1[[#This Row],[R1 Length (km)]]+Table1[[#This Row],[T1 Length (km)]]</f>
        <v>16.482337649085515</v>
      </c>
      <c r="P197" s="22">
        <v>69</v>
      </c>
      <c r="Q197" s="7">
        <f>(Table1[[#This Row],[Linear Features (km)]]*0.4)*100</f>
        <v>659.29350596342067</v>
      </c>
      <c r="R197" s="7">
        <v>16.48</v>
      </c>
      <c r="S197" s="8">
        <f>Table1[[#This Row],[ATG (ha)]]/Table1[[#This Row],[Linear Area (ha)]]</f>
        <v>2.4996454311980366E-2</v>
      </c>
      <c r="T197" s="9" t="s">
        <v>22</v>
      </c>
      <c r="U197" s="9" t="s">
        <v>22</v>
      </c>
      <c r="V197" s="9" t="s">
        <v>22</v>
      </c>
      <c r="W197" s="9" t="s">
        <v>22</v>
      </c>
      <c r="X197" s="11">
        <v>31.0827804207802</v>
      </c>
      <c r="Y197" s="10">
        <f>Table1[[#This Row],[Raw Terrestrial Score]]/Table1[[#This Row],[Summed Raw Scores]]</f>
        <v>0.12404550725637715</v>
      </c>
      <c r="Z197" s="11">
        <v>219.49284386634801</v>
      </c>
      <c r="AA197" s="10">
        <f>Table1[[#This Row],[Raw Freshwater Score]]/Table1[[#This Row],[Summed Raw Scores]]</f>
        <v>0.8759544927436228</v>
      </c>
      <c r="AB197" s="10">
        <f>Table1[[#This Row],[Raw Terrestrial Score]]+Table1[[#This Row],[Raw Freshwater Score]]</f>
        <v>250.57562428712822</v>
      </c>
      <c r="AC197" s="12">
        <f>Table1[[#This Row],[Terrestrial % of Summed Score]]*Table1[[#This Row],[Scaled Summed Score]]</f>
        <v>6.1618765390880539E-3</v>
      </c>
      <c r="AD197" s="12">
        <f>Table1[[#This Row],[Freshwater % of Summed Score]]*Table1[[#This Row],[Scaled Summed Score]]</f>
        <v>4.3512446017009786E-2</v>
      </c>
      <c r="AE197" s="19">
        <f>Table1[[#This Row],[Summed Raw Scores]]/MAX(Table1[Summed Raw Scores])</f>
        <v>4.9674322556097841E-2</v>
      </c>
    </row>
  </sheetData>
  <conditionalFormatting sqref="E2:AD142 T139:U168 S143:U165 S169:U195 AF2:AF138 H143:I165 L143:L165 O143:O195 Q143:Q195 X143:AD195 E166:N168 R166:S168 H169:I195 L169:L195">
    <cfRule type="containsText" dxfId="11" priority="21" operator="containsText" text="NA">
      <formula>NOT(ISERROR(SEARCH("NA",E2)))</formula>
    </cfRule>
  </conditionalFormatting>
  <conditionalFormatting sqref="J169:K170">
    <cfRule type="containsText" dxfId="10" priority="1" operator="containsText" text="NA">
      <formula>NOT(ISERROR(SEARCH("NA",J169)))</formula>
    </cfRule>
    <cfRule type="containsBlanks" dxfId="9" priority="2">
      <formula>LEN(TRIM(J169))=0</formula>
    </cfRule>
  </conditionalFormatting>
  <conditionalFormatting sqref="R2:W60 AF2:AF138 E2:S142 X2:AD197 U46:U77 T61:U77 V61:W142 U79:U90 T84:U89 T93:U195 H143:I165 L143:L165 S143:S165 O143:O195 Q143:Q195 E166:N168 R166:S168 H169:I195 L169:L195 S169:S195">
    <cfRule type="containsBlanks" dxfId="8" priority="23">
      <formula>LEN(TRIM(E2))=0</formula>
    </cfRule>
  </conditionalFormatting>
  <conditionalFormatting sqref="R196:W197 T1:U195 R139:T142 S143:T165 S169:T195 R198:T1048576">
    <cfRule type="beginsWith" dxfId="7" priority="19" operator="beginsWith" text="R">
      <formula>LEFT(R1,LEN("R"))="R"</formula>
    </cfRule>
  </conditionalFormatting>
  <conditionalFormatting sqref="T2:U195 R139:T142 S143:T165 S169:T195 R196:W197 R198:T1048576">
    <cfRule type="beginsWith" dxfId="6" priority="20" operator="beginsWith" text="P">
      <formula>LEFT(R2,LEN("P"))="P"</formula>
    </cfRule>
  </conditionalFormatting>
  <conditionalFormatting sqref="T196:W197">
    <cfRule type="containsBlanks" dxfId="5" priority="13">
      <formula>LEN(TRIM(T196))=0</formula>
    </cfRule>
    <cfRule type="containsText" dxfId="4" priority="14" operator="containsText" text="NA">
      <formula>NOT(ISERROR(SEARCH("NA",T196)))</formula>
    </cfRule>
  </conditionalFormatting>
  <conditionalFormatting sqref="V166:W195">
    <cfRule type="containsBlanks" dxfId="3" priority="9">
      <formula>LEN(TRIM(V166))=0</formula>
    </cfRule>
    <cfRule type="beginsWith" dxfId="2" priority="10" operator="beginsWith" text="R">
      <formula>LEFT(V166,LEN("R"))="R"</formula>
    </cfRule>
    <cfRule type="beginsWith" dxfId="1" priority="11" operator="beginsWith" text="P">
      <formula>LEFT(V166,LEN("P"))="P"</formula>
    </cfRule>
    <cfRule type="containsText" dxfId="0" priority="12" operator="containsText" text="NA">
      <formula>NOT(ISERROR(SEARCH("NA",V166)))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 k.</dc:creator>
  <cp:lastModifiedBy>valerie k.</cp:lastModifiedBy>
  <dcterms:created xsi:type="dcterms:W3CDTF">2015-06-05T18:17:20Z</dcterms:created>
  <dcterms:modified xsi:type="dcterms:W3CDTF">2025-02-24T19:52:01Z</dcterms:modified>
</cp:coreProperties>
</file>