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E:\E2O\zonation\400m\"/>
    </mc:Choice>
  </mc:AlternateContent>
  <xr:revisionPtr revIDLastSave="0" documentId="8_{053C816F-C093-4C74-A9F5-5E67109C3A36}" xr6:coauthVersionLast="47" xr6:coauthVersionMax="47" xr10:uidLastSave="{00000000-0000-0000-0000-000000000000}"/>
  <bookViews>
    <workbookView xWindow="6804" yWindow="0" windowWidth="16332" windowHeight="12336" activeTab="2" xr2:uid="{00000000-000D-0000-FFFF-FFFF00000000}"/>
  </bookViews>
  <sheets>
    <sheet name="Sheet1" sheetId="1" r:id="rId1"/>
    <sheet name="Sheet3" sheetId="3" r:id="rId2"/>
    <sheet name="Sheet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61" i="1" l="1"/>
  <c r="W66" i="1"/>
  <c r="W176" i="1"/>
  <c r="W15" i="1"/>
  <c r="W147" i="1"/>
  <c r="W28" i="1"/>
  <c r="W22" i="1"/>
  <c r="W19" i="1"/>
  <c r="W20" i="1"/>
  <c r="W12" i="1"/>
  <c r="W132" i="1"/>
  <c r="W75" i="1"/>
  <c r="W80" i="1"/>
  <c r="W183" i="1"/>
  <c r="W63" i="1"/>
  <c r="W97" i="1"/>
  <c r="W65" i="1"/>
  <c r="W116" i="1"/>
  <c r="W139" i="1"/>
  <c r="W88" i="1"/>
  <c r="W126" i="1"/>
  <c r="W133" i="1"/>
  <c r="W125" i="1"/>
  <c r="W145" i="1"/>
  <c r="W109" i="1"/>
  <c r="W70" i="1"/>
  <c r="W190" i="1"/>
  <c r="W54" i="1"/>
  <c r="W99" i="1"/>
  <c r="W10" i="1"/>
  <c r="W16" i="1"/>
  <c r="W49" i="1"/>
  <c r="W5" i="1"/>
  <c r="W35" i="1"/>
  <c r="W26" i="1"/>
  <c r="W13" i="1"/>
  <c r="W34" i="1"/>
  <c r="W64" i="1"/>
  <c r="W29" i="1"/>
  <c r="W50" i="1"/>
  <c r="W41" i="1"/>
  <c r="W110" i="1"/>
  <c r="W2" i="1"/>
  <c r="W4" i="1"/>
  <c r="W18" i="1"/>
  <c r="W6" i="1"/>
  <c r="W3" i="1"/>
  <c r="W11" i="1"/>
  <c r="W17" i="1"/>
  <c r="U176" i="1"/>
  <c r="U15" i="1"/>
  <c r="U147" i="1"/>
  <c r="U28" i="1"/>
  <c r="U22" i="1"/>
  <c r="U19" i="1"/>
  <c r="U20" i="1"/>
  <c r="U12" i="1"/>
  <c r="U132" i="1"/>
  <c r="U75" i="1"/>
  <c r="U67" i="1"/>
  <c r="U80" i="1"/>
  <c r="U183" i="1"/>
  <c r="U63" i="1"/>
  <c r="U97" i="1"/>
  <c r="U65" i="1"/>
  <c r="U116" i="1"/>
  <c r="U139" i="1"/>
  <c r="U88" i="1"/>
  <c r="U126" i="1"/>
  <c r="U133" i="1"/>
  <c r="U125" i="1"/>
  <c r="U145" i="1"/>
  <c r="U109" i="1"/>
  <c r="U70" i="1"/>
  <c r="U66" i="1"/>
  <c r="U61" i="1"/>
  <c r="U190" i="1"/>
  <c r="U54" i="1"/>
  <c r="U99" i="1"/>
  <c r="U10" i="1"/>
  <c r="U16" i="1"/>
  <c r="U49" i="1"/>
  <c r="U5" i="1"/>
  <c r="U35" i="1"/>
  <c r="U26" i="1"/>
  <c r="U13" i="1"/>
  <c r="U34" i="1"/>
  <c r="U64" i="1"/>
  <c r="U29" i="1"/>
  <c r="U50" i="1"/>
  <c r="U41" i="1"/>
  <c r="U110" i="1"/>
  <c r="U2" i="1"/>
  <c r="U4" i="1"/>
  <c r="U18" i="1"/>
  <c r="U6" i="1"/>
  <c r="U3" i="1"/>
  <c r="U11" i="1"/>
  <c r="U17" i="1"/>
  <c r="N193" i="1"/>
  <c r="N196" i="1"/>
  <c r="N197" i="1"/>
  <c r="N185" i="1"/>
  <c r="N186" i="1"/>
  <c r="N187" i="1"/>
  <c r="N192" i="1"/>
  <c r="N46" i="1"/>
  <c r="N21" i="1"/>
  <c r="N7" i="1"/>
  <c r="N8" i="1"/>
  <c r="N9" i="1"/>
  <c r="N173" i="1"/>
  <c r="N175" i="1"/>
  <c r="N148" i="1"/>
  <c r="N42" i="1"/>
  <c r="N40" i="1"/>
  <c r="N25" i="1"/>
  <c r="N32" i="1"/>
  <c r="N14" i="1"/>
  <c r="N189" i="1"/>
  <c r="N166" i="1"/>
  <c r="N150" i="1"/>
  <c r="N191" i="1"/>
  <c r="N190" i="1"/>
  <c r="N183" i="1"/>
  <c r="N176" i="1"/>
  <c r="N169" i="1"/>
  <c r="N172" i="1"/>
  <c r="N170" i="1"/>
  <c r="N181" i="1"/>
  <c r="N178" i="1"/>
  <c r="N160" i="1"/>
  <c r="N147" i="1"/>
  <c r="N145" i="1"/>
  <c r="N154" i="1"/>
  <c r="N159" i="1"/>
  <c r="N152" i="1"/>
  <c r="N153" i="1"/>
  <c r="N165" i="1"/>
  <c r="N139" i="1"/>
  <c r="N164" i="1"/>
  <c r="N133" i="1"/>
  <c r="N142" i="1"/>
  <c r="N132" i="1"/>
  <c r="N120" i="1"/>
  <c r="N126" i="1"/>
  <c r="N110" i="1"/>
  <c r="N118" i="1"/>
  <c r="N103" i="1"/>
  <c r="N113" i="1"/>
  <c r="N105" i="1"/>
  <c r="N109" i="1"/>
  <c r="N125" i="1"/>
  <c r="N102" i="1"/>
  <c r="N104" i="1"/>
  <c r="N99" i="1"/>
  <c r="N137" i="1"/>
  <c r="N94" i="1"/>
  <c r="N95" i="1"/>
  <c r="N92" i="1"/>
  <c r="N101" i="1"/>
  <c r="N116" i="1"/>
  <c r="N90" i="1"/>
  <c r="N86" i="1"/>
  <c r="N96" i="1"/>
  <c r="N88" i="1"/>
  <c r="N87" i="1"/>
  <c r="N100" i="1"/>
  <c r="N64" i="1"/>
  <c r="N89" i="1"/>
  <c r="N108" i="1"/>
  <c r="N123" i="1"/>
  <c r="N114" i="1"/>
  <c r="N82" i="1"/>
  <c r="N81" i="1"/>
  <c r="N77" i="1"/>
  <c r="N80" i="1"/>
  <c r="N97" i="1"/>
  <c r="N85" i="1"/>
  <c r="N75" i="1"/>
  <c r="N63" i="1"/>
  <c r="N74" i="1"/>
  <c r="N65" i="1"/>
  <c r="N70" i="1"/>
  <c r="N66" i="1"/>
  <c r="N49" i="1"/>
  <c r="N72" i="1"/>
  <c r="N61" i="1"/>
  <c r="N54" i="1"/>
  <c r="N56" i="1"/>
  <c r="N69" i="1"/>
  <c r="N71" i="1"/>
  <c r="N55" i="1"/>
  <c r="N50" i="1"/>
  <c r="N58" i="1"/>
  <c r="N51" i="1"/>
  <c r="N60" i="1"/>
  <c r="N67" i="1"/>
  <c r="N41" i="1"/>
  <c r="N48" i="1"/>
  <c r="N35" i="1"/>
  <c r="N34" i="1"/>
  <c r="N45" i="1"/>
  <c r="N33" i="1"/>
  <c r="N29" i="1"/>
  <c r="N38" i="1"/>
  <c r="N36" i="1"/>
  <c r="N31" i="1"/>
  <c r="N30" i="1"/>
  <c r="N18" i="1"/>
  <c r="N17" i="1"/>
  <c r="N26" i="1"/>
  <c r="N28" i="1"/>
  <c r="N11" i="1"/>
  <c r="N27" i="1"/>
  <c r="N16" i="1"/>
  <c r="N23" i="1"/>
  <c r="N24" i="1"/>
  <c r="N22" i="1"/>
  <c r="N20" i="1"/>
  <c r="N19" i="1"/>
  <c r="N6" i="1"/>
  <c r="N13" i="1"/>
  <c r="N15" i="1"/>
  <c r="N10" i="1"/>
  <c r="N12" i="1"/>
  <c r="N5" i="1"/>
  <c r="N3" i="1"/>
  <c r="N4" i="1"/>
  <c r="N2" i="1"/>
  <c r="N122" i="1"/>
  <c r="N106" i="1"/>
  <c r="N83" i="1"/>
  <c r="N93" i="1"/>
  <c r="N79" i="1"/>
  <c r="N68" i="1"/>
  <c r="N57" i="1"/>
  <c r="N53" i="1"/>
  <c r="N44" i="1"/>
  <c r="N39" i="1"/>
  <c r="N37" i="1"/>
  <c r="N188" i="1"/>
  <c r="N182" i="1"/>
  <c r="N43" i="1"/>
  <c r="N195" i="1"/>
  <c r="N194" i="1"/>
  <c r="N179" i="1"/>
  <c r="N135" i="1"/>
  <c r="N146" i="1"/>
  <c r="N155" i="1"/>
  <c r="N158" i="1"/>
  <c r="N138" i="1"/>
  <c r="N111" i="1"/>
  <c r="N84" i="1"/>
  <c r="N62" i="1"/>
  <c r="N78" i="1"/>
  <c r="N73" i="1"/>
  <c r="N59" i="1"/>
  <c r="N52" i="1"/>
  <c r="N47" i="1"/>
  <c r="N174" i="1"/>
  <c r="N177" i="1"/>
  <c r="N184" i="1"/>
  <c r="N167" i="1"/>
  <c r="N168" i="1"/>
  <c r="N171" i="1"/>
  <c r="N180" i="1"/>
  <c r="N162" i="1"/>
  <c r="N161" i="1"/>
  <c r="N157" i="1"/>
  <c r="N156" i="1"/>
  <c r="N163" i="1"/>
  <c r="N149" i="1"/>
  <c r="N143" i="1"/>
  <c r="N140" i="1"/>
  <c r="N151" i="1"/>
  <c r="N144" i="1"/>
  <c r="N129" i="1"/>
  <c r="N134" i="1"/>
  <c r="N130" i="1"/>
  <c r="N127" i="1"/>
  <c r="N141" i="1"/>
  <c r="N121" i="1"/>
  <c r="N119" i="1"/>
  <c r="N136" i="1"/>
  <c r="N115" i="1"/>
  <c r="N131" i="1"/>
  <c r="N128" i="1"/>
  <c r="N107" i="1"/>
  <c r="N117" i="1"/>
  <c r="N112" i="1"/>
  <c r="N98" i="1"/>
  <c r="N91" i="1"/>
  <c r="N124" i="1"/>
  <c r="N76" i="1"/>
  <c r="T95" i="1" l="1"/>
  <c r="T92" i="1"/>
  <c r="T55" i="1"/>
  <c r="T123" i="1"/>
  <c r="T181" i="1"/>
  <c r="T60" i="1"/>
  <c r="T56" i="1"/>
  <c r="T23" i="1"/>
  <c r="T69" i="1"/>
  <c r="T36" i="1"/>
  <c r="T38" i="1"/>
  <c r="T30" i="1"/>
  <c r="T27" i="1"/>
  <c r="T24" i="1"/>
  <c r="T191" i="1"/>
  <c r="T104" i="1"/>
  <c r="T66" i="1"/>
  <c r="T176" i="1" l="1"/>
  <c r="T15" i="1"/>
  <c r="T147" i="1"/>
  <c r="T28" i="1"/>
  <c r="T22" i="1"/>
  <c r="T19" i="1"/>
  <c r="T20" i="1"/>
  <c r="T12" i="1"/>
  <c r="T132" i="1"/>
  <c r="T75" i="1"/>
  <c r="T67" i="1"/>
  <c r="T80" i="1"/>
  <c r="T183" i="1"/>
  <c r="T63" i="1"/>
  <c r="T97" i="1"/>
  <c r="T65" i="1"/>
  <c r="T116" i="1"/>
  <c r="T139" i="1"/>
  <c r="T88" i="1"/>
  <c r="T126" i="1"/>
  <c r="T133" i="1"/>
  <c r="T125" i="1"/>
  <c r="T145" i="1"/>
  <c r="T109" i="1"/>
  <c r="T70" i="1"/>
  <c r="T61" i="1"/>
  <c r="T190" i="1"/>
  <c r="T54" i="1"/>
  <c r="T99" i="1"/>
  <c r="T50" i="1"/>
  <c r="T29" i="1"/>
  <c r="T64" i="1"/>
  <c r="T34" i="1"/>
  <c r="T13" i="1"/>
  <c r="T26" i="1"/>
  <c r="T5" i="1"/>
  <c r="T49" i="1"/>
  <c r="T16" i="1"/>
  <c r="T10" i="1"/>
  <c r="T4" i="1"/>
  <c r="T2" i="1"/>
  <c r="T110" i="1"/>
  <c r="T41" i="1"/>
  <c r="Q35" i="1"/>
  <c r="T35" i="1" s="1"/>
  <c r="Q18" i="1"/>
  <c r="T18" i="1" s="1"/>
  <c r="Q6" i="1"/>
  <c r="T6" i="1" s="1"/>
  <c r="Q3" i="1"/>
  <c r="T3" i="1" s="1"/>
  <c r="Q11" i="1"/>
  <c r="T11" i="1" s="1"/>
  <c r="Q17" i="1"/>
  <c r="T17" i="1" s="1"/>
  <c r="Y109" i="1" l="1"/>
  <c r="Y147" i="1"/>
  <c r="Y79" i="1"/>
  <c r="Y193" i="1"/>
  <c r="Y175" i="1"/>
  <c r="Y14" i="1"/>
  <c r="Y32" i="1"/>
  <c r="Y148" i="1"/>
  <c r="Y42" i="1"/>
  <c r="Y40" i="1"/>
  <c r="Y25" i="1"/>
  <c r="Y173" i="1"/>
  <c r="Y166" i="1"/>
  <c r="Y189" i="1"/>
  <c r="Y150" i="1"/>
  <c r="Y122" i="1"/>
  <c r="Y57" i="1"/>
  <c r="Y93" i="1"/>
  <c r="Y37" i="1"/>
  <c r="Y44" i="1"/>
  <c r="Y39" i="1"/>
  <c r="Y68" i="1"/>
  <c r="Y53" i="1"/>
  <c r="Y106" i="1"/>
  <c r="Y83" i="1"/>
  <c r="Y182" i="1"/>
  <c r="Y43" i="1"/>
  <c r="Y188" i="1"/>
  <c r="Y143" i="1"/>
  <c r="Y168" i="1"/>
  <c r="Y76" i="1"/>
  <c r="Y128" i="1"/>
  <c r="Y130" i="1"/>
  <c r="Y115" i="1"/>
  <c r="Y117" i="1"/>
  <c r="Y141" i="1"/>
  <c r="Y112" i="1"/>
  <c r="Y136" i="1"/>
  <c r="Y131" i="1"/>
  <c r="Y144" i="1"/>
  <c r="Y127" i="1"/>
  <c r="Y134" i="1"/>
  <c r="Y171" i="1"/>
  <c r="Y121" i="1"/>
  <c r="Y161" i="1"/>
  <c r="Y162" i="1"/>
  <c r="Y149" i="1"/>
  <c r="Y174" i="1"/>
  <c r="Y157" i="1"/>
  <c r="Y167" i="1"/>
  <c r="Y91" i="1"/>
  <c r="Y119" i="1"/>
  <c r="Y156" i="1"/>
  <c r="Y129" i="1"/>
  <c r="Y140" i="1"/>
  <c r="Y180" i="1"/>
  <c r="Y107" i="1"/>
  <c r="Y98" i="1"/>
  <c r="Y124" i="1"/>
  <c r="Y184" i="1"/>
  <c r="Y177" i="1"/>
  <c r="Y151" i="1"/>
  <c r="Y163" i="1"/>
  <c r="Y84" i="1"/>
  <c r="Y111" i="1"/>
  <c r="Y195" i="1"/>
  <c r="Y73" i="1"/>
  <c r="Y146" i="1"/>
  <c r="Y62" i="1"/>
  <c r="Y135" i="1"/>
  <c r="Y59" i="1"/>
  <c r="Y52" i="1"/>
  <c r="Y179" i="1"/>
  <c r="Y155" i="1"/>
  <c r="Y138" i="1"/>
  <c r="Y47" i="1"/>
  <c r="Y194" i="1"/>
  <c r="Y78" i="1"/>
  <c r="Y158" i="1"/>
  <c r="Y86" i="1"/>
  <c r="Y113" i="1"/>
  <c r="Y104" i="1"/>
  <c r="Y48" i="1"/>
  <c r="Y191" i="1"/>
  <c r="Y24" i="1"/>
  <c r="Y27" i="1"/>
  <c r="Y30" i="1"/>
  <c r="Y38" i="1"/>
  <c r="Y45" i="1"/>
  <c r="Y36" i="1"/>
  <c r="Y69" i="1"/>
  <c r="Y72" i="1"/>
  <c r="Y74" i="1"/>
  <c r="Y31" i="1"/>
  <c r="Y71" i="1"/>
  <c r="Y51" i="1"/>
  <c r="Y89" i="1"/>
  <c r="Y118" i="1"/>
  <c r="Y94" i="1"/>
  <c r="Y82" i="1"/>
  <c r="Y164" i="1"/>
  <c r="Y90" i="1"/>
  <c r="Y114" i="1"/>
  <c r="Y87" i="1"/>
  <c r="Y23" i="1"/>
  <c r="Y56" i="1"/>
  <c r="Y60" i="1"/>
  <c r="Y96" i="1"/>
  <c r="Y85" i="1"/>
  <c r="Y165" i="1"/>
  <c r="Y101" i="1"/>
  <c r="Y181" i="1"/>
  <c r="Y190" i="1"/>
  <c r="Y137" i="1"/>
  <c r="Y108" i="1"/>
  <c r="Y58" i="1"/>
  <c r="Y159" i="1"/>
  <c r="Y100" i="1"/>
  <c r="Y154" i="1"/>
  <c r="Y152" i="1"/>
  <c r="Y153" i="1"/>
  <c r="Y123" i="1"/>
  <c r="Y178" i="1"/>
  <c r="Y55" i="1"/>
  <c r="Y142" i="1"/>
  <c r="Y88" i="1"/>
  <c r="Y139" i="1"/>
  <c r="Y33" i="1"/>
  <c r="Y103" i="1"/>
  <c r="Y105" i="1"/>
  <c r="Y102" i="1"/>
  <c r="Y92" i="1"/>
  <c r="Y77" i="1"/>
  <c r="Y81" i="1"/>
  <c r="Y160" i="1"/>
  <c r="Y95" i="1"/>
  <c r="Y169" i="1"/>
  <c r="Y170" i="1"/>
  <c r="Y172" i="1"/>
  <c r="Y120" i="1"/>
  <c r="Y46" i="1"/>
  <c r="Y185" i="1"/>
  <c r="Y186" i="1"/>
  <c r="Y187" i="1"/>
  <c r="Y7" i="1"/>
  <c r="Y8" i="1"/>
  <c r="Y9" i="1"/>
  <c r="Y21" i="1"/>
  <c r="Y196" i="1"/>
  <c r="Y197" i="1"/>
  <c r="Y192" i="1"/>
  <c r="L21" i="1"/>
  <c r="L7" i="1"/>
  <c r="L187" i="1"/>
  <c r="L185" i="1"/>
  <c r="L78" i="1"/>
  <c r="L52" i="1"/>
  <c r="L135" i="1"/>
  <c r="L111" i="1"/>
  <c r="M182" i="1"/>
  <c r="L182" i="1"/>
  <c r="L173" i="1"/>
  <c r="M40" i="1"/>
  <c r="L40" i="1"/>
  <c r="M148" i="1"/>
  <c r="L148" i="1"/>
  <c r="X109" i="1" l="1"/>
  <c r="V111" i="1"/>
  <c r="X111" i="1"/>
  <c r="V192" i="1"/>
  <c r="X192" i="1"/>
  <c r="V186" i="1"/>
  <c r="X186" i="1"/>
  <c r="V33" i="1"/>
  <c r="X33" i="1"/>
  <c r="V152" i="1"/>
  <c r="X152" i="1"/>
  <c r="V181" i="1"/>
  <c r="X181" i="1"/>
  <c r="V87" i="1"/>
  <c r="X87" i="1"/>
  <c r="V51" i="1"/>
  <c r="X51" i="1"/>
  <c r="V38" i="1"/>
  <c r="X38" i="1"/>
  <c r="V86" i="1"/>
  <c r="X86" i="1"/>
  <c r="V52" i="1"/>
  <c r="X52" i="1"/>
  <c r="V84" i="1"/>
  <c r="X84" i="1"/>
  <c r="V180" i="1"/>
  <c r="X180" i="1"/>
  <c r="V174" i="1"/>
  <c r="X174" i="1"/>
  <c r="V144" i="1"/>
  <c r="X144" i="1"/>
  <c r="V128" i="1"/>
  <c r="X128" i="1"/>
  <c r="V106" i="1"/>
  <c r="X106" i="1"/>
  <c r="V122" i="1"/>
  <c r="X122" i="1"/>
  <c r="V148" i="1"/>
  <c r="X148" i="1"/>
  <c r="V153" i="1"/>
  <c r="X153" i="1"/>
  <c r="V157" i="1"/>
  <c r="X157" i="1"/>
  <c r="V197" i="1"/>
  <c r="X197" i="1"/>
  <c r="V185" i="1"/>
  <c r="X185" i="1"/>
  <c r="V160" i="1"/>
  <c r="X160" i="1"/>
  <c r="V154" i="1"/>
  <c r="X154" i="1"/>
  <c r="V101" i="1"/>
  <c r="X101" i="1"/>
  <c r="V114" i="1"/>
  <c r="X114" i="1"/>
  <c r="V71" i="1"/>
  <c r="X71" i="1"/>
  <c r="V30" i="1"/>
  <c r="X30" i="1"/>
  <c r="V158" i="1"/>
  <c r="X158" i="1"/>
  <c r="V59" i="1"/>
  <c r="X59" i="1"/>
  <c r="V163" i="1"/>
  <c r="X163" i="1"/>
  <c r="V140" i="1"/>
  <c r="X140" i="1"/>
  <c r="V149" i="1"/>
  <c r="X149" i="1"/>
  <c r="V131" i="1"/>
  <c r="X131" i="1"/>
  <c r="V76" i="1"/>
  <c r="X76" i="1"/>
  <c r="V53" i="1"/>
  <c r="X53" i="1"/>
  <c r="V150" i="1"/>
  <c r="X150" i="1"/>
  <c r="V32" i="1"/>
  <c r="X32" i="1"/>
  <c r="V95" i="1"/>
  <c r="X95" i="1"/>
  <c r="V45" i="1"/>
  <c r="X45" i="1"/>
  <c r="V57" i="1"/>
  <c r="X57" i="1"/>
  <c r="V196" i="1"/>
  <c r="X196" i="1"/>
  <c r="V46" i="1"/>
  <c r="X46" i="1"/>
  <c r="V81" i="1"/>
  <c r="X81" i="1"/>
  <c r="V100" i="1"/>
  <c r="X100" i="1"/>
  <c r="V165" i="1"/>
  <c r="X165" i="1"/>
  <c r="V90" i="1"/>
  <c r="X90" i="1"/>
  <c r="V31" i="1"/>
  <c r="X31" i="1"/>
  <c r="V27" i="1"/>
  <c r="X27" i="1"/>
  <c r="V78" i="1"/>
  <c r="X78" i="1"/>
  <c r="V135" i="1"/>
  <c r="X135" i="1"/>
  <c r="V151" i="1"/>
  <c r="X151" i="1"/>
  <c r="V129" i="1"/>
  <c r="X129" i="1"/>
  <c r="V162" i="1"/>
  <c r="X162" i="1"/>
  <c r="V136" i="1"/>
  <c r="X136" i="1"/>
  <c r="V168" i="1"/>
  <c r="X168" i="1"/>
  <c r="V68" i="1"/>
  <c r="X68" i="1"/>
  <c r="V189" i="1"/>
  <c r="X189" i="1"/>
  <c r="V14" i="1"/>
  <c r="X14" i="1"/>
  <c r="V103" i="1"/>
  <c r="X103" i="1"/>
  <c r="V23" i="1"/>
  <c r="X23" i="1"/>
  <c r="V107" i="1"/>
  <c r="X107" i="1"/>
  <c r="V130" i="1"/>
  <c r="X130" i="1"/>
  <c r="V21" i="1"/>
  <c r="X21" i="1"/>
  <c r="V120" i="1"/>
  <c r="X120" i="1"/>
  <c r="V77" i="1"/>
  <c r="X77" i="1"/>
  <c r="V142" i="1"/>
  <c r="X142" i="1"/>
  <c r="V159" i="1"/>
  <c r="X159" i="1"/>
  <c r="V85" i="1"/>
  <c r="X85" i="1"/>
  <c r="V164" i="1"/>
  <c r="X164" i="1"/>
  <c r="V74" i="1"/>
  <c r="X74" i="1"/>
  <c r="V24" i="1"/>
  <c r="X24" i="1"/>
  <c r="V194" i="1"/>
  <c r="X194" i="1"/>
  <c r="V62" i="1"/>
  <c r="X62" i="1"/>
  <c r="V177" i="1"/>
  <c r="X177" i="1"/>
  <c r="V156" i="1"/>
  <c r="X156" i="1"/>
  <c r="V161" i="1"/>
  <c r="X161" i="1"/>
  <c r="V112" i="1"/>
  <c r="X112" i="1"/>
  <c r="V143" i="1"/>
  <c r="X143" i="1"/>
  <c r="V39" i="1"/>
  <c r="X39" i="1"/>
  <c r="V166" i="1"/>
  <c r="X166" i="1"/>
  <c r="V175" i="1"/>
  <c r="X175" i="1"/>
  <c r="V113" i="1"/>
  <c r="X113" i="1"/>
  <c r="V127" i="1"/>
  <c r="X127" i="1"/>
  <c r="V42" i="1"/>
  <c r="X42" i="1"/>
  <c r="V9" i="1"/>
  <c r="X9" i="1"/>
  <c r="V172" i="1"/>
  <c r="X172" i="1"/>
  <c r="V92" i="1"/>
  <c r="X92" i="1"/>
  <c r="V55" i="1"/>
  <c r="X55" i="1"/>
  <c r="V58" i="1"/>
  <c r="X58" i="1"/>
  <c r="V96" i="1"/>
  <c r="X96" i="1"/>
  <c r="V82" i="1"/>
  <c r="X82" i="1"/>
  <c r="V72" i="1"/>
  <c r="X72" i="1"/>
  <c r="V191" i="1"/>
  <c r="X191" i="1"/>
  <c r="V47" i="1"/>
  <c r="X47" i="1"/>
  <c r="V146" i="1"/>
  <c r="X146" i="1"/>
  <c r="V184" i="1"/>
  <c r="X184" i="1"/>
  <c r="V119" i="1"/>
  <c r="X119" i="1"/>
  <c r="V121" i="1"/>
  <c r="X121" i="1"/>
  <c r="V141" i="1"/>
  <c r="X141" i="1"/>
  <c r="V188" i="1"/>
  <c r="X188" i="1"/>
  <c r="V44" i="1"/>
  <c r="X44" i="1"/>
  <c r="V173" i="1"/>
  <c r="X173" i="1"/>
  <c r="V193" i="1"/>
  <c r="X193" i="1"/>
  <c r="X147" i="1"/>
  <c r="V187" i="1"/>
  <c r="X187" i="1"/>
  <c r="V179" i="1"/>
  <c r="X179" i="1"/>
  <c r="V8" i="1"/>
  <c r="X8" i="1"/>
  <c r="V170" i="1"/>
  <c r="X170" i="1"/>
  <c r="V102" i="1"/>
  <c r="X102" i="1"/>
  <c r="V178" i="1"/>
  <c r="X178" i="1"/>
  <c r="V108" i="1"/>
  <c r="X108" i="1"/>
  <c r="V60" i="1"/>
  <c r="X60" i="1"/>
  <c r="V94" i="1"/>
  <c r="X94" i="1"/>
  <c r="V69" i="1"/>
  <c r="X69" i="1"/>
  <c r="V48" i="1"/>
  <c r="X48" i="1"/>
  <c r="V138" i="1"/>
  <c r="X138" i="1"/>
  <c r="V73" i="1"/>
  <c r="X73" i="1"/>
  <c r="V124" i="1"/>
  <c r="X124" i="1"/>
  <c r="V91" i="1"/>
  <c r="X91" i="1"/>
  <c r="V171" i="1"/>
  <c r="X171" i="1"/>
  <c r="V117" i="1"/>
  <c r="X117" i="1"/>
  <c r="V43" i="1"/>
  <c r="X43" i="1"/>
  <c r="V37" i="1"/>
  <c r="X37" i="1"/>
  <c r="V25" i="1"/>
  <c r="X25" i="1"/>
  <c r="V79" i="1"/>
  <c r="X79" i="1"/>
  <c r="X88" i="1"/>
  <c r="V89" i="1"/>
  <c r="X89" i="1"/>
  <c r="V83" i="1"/>
  <c r="X83" i="1"/>
  <c r="V7" i="1"/>
  <c r="X7" i="1"/>
  <c r="V169" i="1"/>
  <c r="X169" i="1"/>
  <c r="V105" i="1"/>
  <c r="X105" i="1"/>
  <c r="V123" i="1"/>
  <c r="X123" i="1"/>
  <c r="V137" i="1"/>
  <c r="X137" i="1"/>
  <c r="V56" i="1"/>
  <c r="X56" i="1"/>
  <c r="V118" i="1"/>
  <c r="X118" i="1"/>
  <c r="V36" i="1"/>
  <c r="X36" i="1"/>
  <c r="V104" i="1"/>
  <c r="X104" i="1"/>
  <c r="V155" i="1"/>
  <c r="X155" i="1"/>
  <c r="V195" i="1"/>
  <c r="X195" i="1"/>
  <c r="V98" i="1"/>
  <c r="X98" i="1"/>
  <c r="V167" i="1"/>
  <c r="X167" i="1"/>
  <c r="V134" i="1"/>
  <c r="X134" i="1"/>
  <c r="V115" i="1"/>
  <c r="X115" i="1"/>
  <c r="V182" i="1"/>
  <c r="X182" i="1"/>
  <c r="V93" i="1"/>
  <c r="X93" i="1"/>
  <c r="V40" i="1"/>
  <c r="X40" i="1"/>
  <c r="X190" i="1"/>
  <c r="X139" i="1"/>
  <c r="Y6" i="1"/>
  <c r="V147" i="1"/>
  <c r="Y132" i="1"/>
  <c r="Y99" i="1"/>
  <c r="Y126" i="1"/>
  <c r="Y22" i="1"/>
  <c r="Y49" i="1"/>
  <c r="Y70" i="1"/>
  <c r="V88" i="1"/>
  <c r="V190" i="1"/>
  <c r="V139" i="1"/>
  <c r="Y145" i="1"/>
  <c r="V109" i="1"/>
  <c r="Y133" i="1"/>
  <c r="Y13" i="1"/>
  <c r="Y4" i="1"/>
  <c r="Y29" i="1"/>
  <c r="Y125" i="1"/>
  <c r="Y28" i="1"/>
  <c r="Y183" i="1"/>
  <c r="Y11" i="1"/>
  <c r="Y35" i="1"/>
  <c r="Y97" i="1"/>
  <c r="Y19" i="1"/>
  <c r="Y110" i="1"/>
  <c r="Y18" i="1"/>
  <c r="Y20" i="1"/>
  <c r="Y5" i="1"/>
  <c r="Y66" i="1"/>
  <c r="Y65" i="1"/>
  <c r="Y15" i="1"/>
  <c r="Y116" i="1"/>
  <c r="Y12" i="1"/>
  <c r="Y75" i="1"/>
  <c r="Y3" i="1"/>
  <c r="Y64" i="1"/>
  <c r="Y26" i="1"/>
  <c r="Y54" i="1"/>
  <c r="Y176" i="1"/>
  <c r="Y10" i="1"/>
  <c r="Y50" i="1"/>
  <c r="Y80" i="1"/>
  <c r="Y67" i="1"/>
  <c r="Y63" i="1"/>
  <c r="Y17" i="1"/>
  <c r="Y16" i="1"/>
  <c r="Y61" i="1"/>
  <c r="Y34" i="1"/>
  <c r="Y41" i="1"/>
  <c r="Y2" i="1"/>
  <c r="V34" i="1" l="1"/>
  <c r="V4" i="1"/>
  <c r="V61" i="1"/>
  <c r="V176" i="1"/>
  <c r="V15" i="1"/>
  <c r="X97" i="1"/>
  <c r="V13" i="1"/>
  <c r="X49" i="1"/>
  <c r="V10" i="1"/>
  <c r="V133" i="1"/>
  <c r="V35" i="1"/>
  <c r="X11" i="1"/>
  <c r="V116" i="1"/>
  <c r="V65" i="1"/>
  <c r="V63" i="1"/>
  <c r="V5" i="1"/>
  <c r="X145" i="1"/>
  <c r="V99" i="1"/>
  <c r="X22" i="1"/>
  <c r="X26" i="1"/>
  <c r="V64" i="1"/>
  <c r="V183" i="1"/>
  <c r="V67" i="1"/>
  <c r="V3" i="1"/>
  <c r="X20" i="1"/>
  <c r="V28" i="1"/>
  <c r="X132" i="1"/>
  <c r="V19" i="1"/>
  <c r="X54" i="1"/>
  <c r="V66" i="1"/>
  <c r="V2" i="1"/>
  <c r="V75" i="1"/>
  <c r="X125" i="1"/>
  <c r="V70" i="1"/>
  <c r="V17" i="1"/>
  <c r="X126" i="1"/>
  <c r="X80" i="1"/>
  <c r="V18" i="1"/>
  <c r="V41" i="1"/>
  <c r="X50" i="1"/>
  <c r="V12" i="1"/>
  <c r="V110" i="1"/>
  <c r="V29" i="1"/>
  <c r="V6" i="1"/>
  <c r="X19" i="1"/>
  <c r="V49" i="1"/>
  <c r="V132" i="1"/>
  <c r="X65" i="1"/>
  <c r="V22" i="1"/>
  <c r="V11" i="1"/>
  <c r="X63" i="1"/>
  <c r="V20" i="1"/>
  <c r="V26" i="1"/>
  <c r="X15" i="1"/>
  <c r="V50" i="1"/>
  <c r="V80" i="1"/>
  <c r="V97" i="1"/>
  <c r="X13" i="1"/>
  <c r="X61" i="1"/>
  <c r="X99" i="1"/>
  <c r="X183" i="1"/>
  <c r="X3" i="1"/>
  <c r="X17" i="1"/>
  <c r="X6" i="1"/>
  <c r="V54" i="1"/>
  <c r="V126" i="1"/>
  <c r="X4" i="1"/>
  <c r="X34" i="1"/>
  <c r="X133" i="1"/>
  <c r="V145" i="1"/>
  <c r="X2" i="1"/>
  <c r="X18" i="1"/>
  <c r="X10" i="1"/>
  <c r="X64" i="1"/>
  <c r="AB16" i="1"/>
  <c r="V125" i="1"/>
  <c r="X176" i="1"/>
  <c r="X67" i="1"/>
  <c r="X35" i="1"/>
  <c r="X66" i="1"/>
  <c r="X12" i="1"/>
  <c r="X75" i="1"/>
  <c r="X16" i="1"/>
  <c r="X70" i="1"/>
  <c r="X116" i="1"/>
  <c r="X5" i="1"/>
  <c r="X110" i="1"/>
  <c r="X28" i="1"/>
  <c r="X29" i="1"/>
  <c r="X41" i="1"/>
  <c r="V16" i="1"/>
  <c r="AB65" i="1"/>
  <c r="AB35" i="1"/>
  <c r="AB54" i="1"/>
  <c r="AA54" i="1" s="1"/>
  <c r="AB152" i="1"/>
  <c r="Z152" i="1" s="1"/>
  <c r="AB36" i="1"/>
  <c r="Z36" i="1" s="1"/>
  <c r="AB191" i="1"/>
  <c r="Z191" i="1" s="1"/>
  <c r="AB4" i="1"/>
  <c r="Z4" i="1" s="1"/>
  <c r="AB144" i="1"/>
  <c r="Z144" i="1" s="1"/>
  <c r="AB118" i="1"/>
  <c r="Z118" i="1" s="1"/>
  <c r="AB72" i="1"/>
  <c r="Z72" i="1" s="1"/>
  <c r="AB197" i="1"/>
  <c r="Z197" i="1" s="1"/>
  <c r="AB101" i="1"/>
  <c r="Z101" i="1" s="1"/>
  <c r="AB63" i="1"/>
  <c r="AB64" i="1"/>
  <c r="AB5" i="1"/>
  <c r="AB183" i="1"/>
  <c r="AB134" i="1"/>
  <c r="Z134" i="1" s="1"/>
  <c r="AB56" i="1"/>
  <c r="Z56" i="1" s="1"/>
  <c r="AB25" i="1"/>
  <c r="Z25" i="1" s="1"/>
  <c r="AB138" i="1"/>
  <c r="Z138" i="1" s="1"/>
  <c r="AB169" i="1"/>
  <c r="Z169" i="1" s="1"/>
  <c r="AB57" i="1"/>
  <c r="AA57" i="1" s="1"/>
  <c r="AB141" i="1"/>
  <c r="Z141" i="1" s="1"/>
  <c r="AB82" i="1"/>
  <c r="Z82" i="1" s="1"/>
  <c r="AB106" i="1"/>
  <c r="Z106" i="1" s="1"/>
  <c r="AB175" i="1"/>
  <c r="Z175" i="1" s="1"/>
  <c r="AB62" i="1"/>
  <c r="AA62" i="1" s="1"/>
  <c r="AB92" i="1"/>
  <c r="Z92" i="1" s="1"/>
  <c r="AB70" i="1"/>
  <c r="AB189" i="1"/>
  <c r="Z189" i="1" s="1"/>
  <c r="AB78" i="1"/>
  <c r="Z78" i="1" s="1"/>
  <c r="AB52" i="1"/>
  <c r="Z52" i="1" s="1"/>
  <c r="AB192" i="1"/>
  <c r="Z192" i="1" s="1"/>
  <c r="AB140" i="1"/>
  <c r="Z140" i="1" s="1"/>
  <c r="AB154" i="1"/>
  <c r="Z154" i="1" s="1"/>
  <c r="AB145" i="1"/>
  <c r="AB156" i="1"/>
  <c r="Z156" i="1" s="1"/>
  <c r="AB120" i="1"/>
  <c r="Z120" i="1" s="1"/>
  <c r="AB17" i="1"/>
  <c r="Z17" i="1" s="1"/>
  <c r="AB73" i="1"/>
  <c r="Z73" i="1" s="1"/>
  <c r="AB186" i="1"/>
  <c r="Z186" i="1" s="1"/>
  <c r="AB14" i="1"/>
  <c r="Z14" i="1" s="1"/>
  <c r="AB86" i="1"/>
  <c r="AA86" i="1" s="1"/>
  <c r="AB67" i="1"/>
  <c r="Z67" i="1" s="1"/>
  <c r="AB3" i="1"/>
  <c r="Z3" i="1" s="1"/>
  <c r="AB20" i="1"/>
  <c r="AA20" i="1" s="1"/>
  <c r="AB28" i="1"/>
  <c r="AB167" i="1"/>
  <c r="Z167" i="1" s="1"/>
  <c r="AB137" i="1"/>
  <c r="Z137" i="1" s="1"/>
  <c r="AB37" i="1"/>
  <c r="Z37" i="1" s="1"/>
  <c r="AB48" i="1"/>
  <c r="Z48" i="1" s="1"/>
  <c r="AB7" i="1"/>
  <c r="Z7" i="1" s="1"/>
  <c r="AB107" i="1"/>
  <c r="Z107" i="1" s="1"/>
  <c r="AB121" i="1"/>
  <c r="Z121" i="1" s="1"/>
  <c r="AB96" i="1"/>
  <c r="AA96" i="1" s="1"/>
  <c r="AB84" i="1"/>
  <c r="Z84" i="1" s="1"/>
  <c r="AB166" i="1"/>
  <c r="Z166" i="1" s="1"/>
  <c r="AB194" i="1"/>
  <c r="Z194" i="1" s="1"/>
  <c r="AB172" i="1"/>
  <c r="Z172" i="1" s="1"/>
  <c r="AB157" i="1"/>
  <c r="Z157" i="1" s="1"/>
  <c r="AB68" i="1"/>
  <c r="Z68" i="1" s="1"/>
  <c r="AB27" i="1"/>
  <c r="Z27" i="1" s="1"/>
  <c r="AB51" i="1"/>
  <c r="AA51" i="1" s="1"/>
  <c r="AB133" i="1"/>
  <c r="Z133" i="1" s="1"/>
  <c r="AB163" i="1"/>
  <c r="AA163" i="1" s="1"/>
  <c r="AB88" i="1"/>
  <c r="AA88" i="1" s="1"/>
  <c r="AB42" i="1"/>
  <c r="Z42" i="1" s="1"/>
  <c r="AB44" i="1"/>
  <c r="Z44" i="1" s="1"/>
  <c r="AB87" i="1"/>
  <c r="Z87" i="1" s="1"/>
  <c r="AB114" i="1"/>
  <c r="Z114" i="1" s="1"/>
  <c r="AB115" i="1"/>
  <c r="AA115" i="1" s="1"/>
  <c r="AB188" i="1"/>
  <c r="Z188" i="1" s="1"/>
  <c r="AB135" i="1"/>
  <c r="Z135" i="1" s="1"/>
  <c r="AB2" i="1"/>
  <c r="AB80" i="1"/>
  <c r="AA80" i="1" s="1"/>
  <c r="AB75" i="1"/>
  <c r="AB18" i="1"/>
  <c r="AB125" i="1"/>
  <c r="AA125" i="1" s="1"/>
  <c r="AB98" i="1"/>
  <c r="Z98" i="1" s="1"/>
  <c r="AB123" i="1"/>
  <c r="Z123" i="1" s="1"/>
  <c r="AB43" i="1"/>
  <c r="AA43" i="1" s="1"/>
  <c r="AB69" i="1"/>
  <c r="Z69" i="1" s="1"/>
  <c r="AB21" i="1"/>
  <c r="Z21" i="1" s="1"/>
  <c r="AB45" i="1"/>
  <c r="Z45" i="1" s="1"/>
  <c r="AB119" i="1"/>
  <c r="AA119" i="1" s="1"/>
  <c r="AB58" i="1"/>
  <c r="Z58" i="1" s="1"/>
  <c r="AB181" i="1"/>
  <c r="Z181" i="1" s="1"/>
  <c r="AB39" i="1"/>
  <c r="Z39" i="1" s="1"/>
  <c r="AB24" i="1"/>
  <c r="Z24" i="1" s="1"/>
  <c r="AB9" i="1"/>
  <c r="Z9" i="1" s="1"/>
  <c r="AB22" i="1"/>
  <c r="AA22" i="1" s="1"/>
  <c r="AB168" i="1"/>
  <c r="Z168" i="1" s="1"/>
  <c r="AB31" i="1"/>
  <c r="Z31" i="1" s="1"/>
  <c r="AB160" i="1"/>
  <c r="Z160" i="1" s="1"/>
  <c r="AB32" i="1"/>
  <c r="Z32" i="1" s="1"/>
  <c r="AB59" i="1"/>
  <c r="AA59" i="1" s="1"/>
  <c r="AB81" i="1"/>
  <c r="Z81" i="1" s="1"/>
  <c r="AB130" i="1"/>
  <c r="Z130" i="1" s="1"/>
  <c r="AB124" i="1"/>
  <c r="AA124" i="1" s="1"/>
  <c r="AB8" i="1"/>
  <c r="Z8" i="1" s="1"/>
  <c r="AB131" i="1"/>
  <c r="Z131" i="1" s="1"/>
  <c r="AB11" i="1"/>
  <c r="AB132" i="1"/>
  <c r="AA132" i="1" s="1"/>
  <c r="AB142" i="1"/>
  <c r="Z142" i="1" s="1"/>
  <c r="AB153" i="1"/>
  <c r="Z153" i="1" s="1"/>
  <c r="AB50" i="1"/>
  <c r="AB12" i="1"/>
  <c r="Z12" i="1" s="1"/>
  <c r="AB110" i="1"/>
  <c r="Z110" i="1" s="1"/>
  <c r="AB29" i="1"/>
  <c r="Z29" i="1" s="1"/>
  <c r="AB195" i="1"/>
  <c r="Z195" i="1" s="1"/>
  <c r="AB103" i="1"/>
  <c r="Z103" i="1" s="1"/>
  <c r="AB117" i="1"/>
  <c r="Z117" i="1" s="1"/>
  <c r="AB94" i="1"/>
  <c r="Z94" i="1" s="1"/>
  <c r="AB122" i="1"/>
  <c r="Z122" i="1" s="1"/>
  <c r="AB33" i="1"/>
  <c r="AA33" i="1" s="1"/>
  <c r="AB184" i="1"/>
  <c r="Z184" i="1" s="1"/>
  <c r="AB55" i="1"/>
  <c r="Z55" i="1" s="1"/>
  <c r="AB185" i="1"/>
  <c r="Z185" i="1" s="1"/>
  <c r="AB143" i="1"/>
  <c r="Z143" i="1" s="1"/>
  <c r="AB74" i="1"/>
  <c r="Z74" i="1" s="1"/>
  <c r="AB109" i="1"/>
  <c r="AB126" i="1"/>
  <c r="AA126" i="1" s="1"/>
  <c r="AB136" i="1"/>
  <c r="Z136" i="1" s="1"/>
  <c r="AB90" i="1"/>
  <c r="Z90" i="1" s="1"/>
  <c r="AB49" i="1"/>
  <c r="AB150" i="1"/>
  <c r="Z150" i="1" s="1"/>
  <c r="AB158" i="1"/>
  <c r="Z158" i="1" s="1"/>
  <c r="AB46" i="1"/>
  <c r="Z46" i="1" s="1"/>
  <c r="AB179" i="1"/>
  <c r="Z179" i="1" s="1"/>
  <c r="AB182" i="1"/>
  <c r="Z182" i="1" s="1"/>
  <c r="AB178" i="1"/>
  <c r="Z178" i="1" s="1"/>
  <c r="AB89" i="1"/>
  <c r="Z89" i="1" s="1"/>
  <c r="AB190" i="1"/>
  <c r="Z190" i="1" s="1"/>
  <c r="AB26" i="1"/>
  <c r="AA26" i="1" s="1"/>
  <c r="AB79" i="1"/>
  <c r="Z79" i="1" s="1"/>
  <c r="AB100" i="1"/>
  <c r="Z100" i="1" s="1"/>
  <c r="AB149" i="1"/>
  <c r="Z149" i="1" s="1"/>
  <c r="AB41" i="1"/>
  <c r="AB34" i="1"/>
  <c r="Z34" i="1" s="1"/>
  <c r="AB10" i="1"/>
  <c r="Z10" i="1" s="1"/>
  <c r="AB116" i="1"/>
  <c r="Z116" i="1" s="1"/>
  <c r="AB19" i="1"/>
  <c r="Z19" i="1" s="1"/>
  <c r="AB40" i="1"/>
  <c r="Z40" i="1" s="1"/>
  <c r="AB155" i="1"/>
  <c r="Z155" i="1" s="1"/>
  <c r="AB95" i="1"/>
  <c r="Z95" i="1" s="1"/>
  <c r="AB171" i="1"/>
  <c r="Z171" i="1" s="1"/>
  <c r="AB60" i="1"/>
  <c r="Z60" i="1" s="1"/>
  <c r="AB174" i="1"/>
  <c r="Z174" i="1" s="1"/>
  <c r="AB193" i="1"/>
  <c r="AA193" i="1" s="1"/>
  <c r="AB146" i="1"/>
  <c r="Z146" i="1" s="1"/>
  <c r="AB102" i="1"/>
  <c r="Z102" i="1" s="1"/>
  <c r="AB83" i="1"/>
  <c r="Z83" i="1" s="1"/>
  <c r="AB112" i="1"/>
  <c r="Z112" i="1" s="1"/>
  <c r="AB164" i="1"/>
  <c r="Z164" i="1" s="1"/>
  <c r="AB6" i="1"/>
  <c r="Z6" i="1" s="1"/>
  <c r="AB99" i="1"/>
  <c r="Z99" i="1" s="1"/>
  <c r="AB162" i="1"/>
  <c r="Z162" i="1" s="1"/>
  <c r="AB165" i="1"/>
  <c r="Z165" i="1" s="1"/>
  <c r="AB127" i="1"/>
  <c r="Z127" i="1" s="1"/>
  <c r="AB53" i="1"/>
  <c r="Z53" i="1" s="1"/>
  <c r="AB30" i="1"/>
  <c r="Z30" i="1" s="1"/>
  <c r="AB196" i="1"/>
  <c r="Z196" i="1" s="1"/>
  <c r="AB23" i="1"/>
  <c r="Z23" i="1" s="1"/>
  <c r="AB139" i="1"/>
  <c r="Z139" i="1" s="1"/>
  <c r="AB159" i="1"/>
  <c r="Z159" i="1" s="1"/>
  <c r="AB151" i="1"/>
  <c r="Z151" i="1" s="1"/>
  <c r="AB66" i="1"/>
  <c r="AB105" i="1"/>
  <c r="Z105" i="1" s="1"/>
  <c r="AB177" i="1"/>
  <c r="Z177" i="1" s="1"/>
  <c r="AB128" i="1"/>
  <c r="Z128" i="1" s="1"/>
  <c r="AB61" i="1"/>
  <c r="Z61" i="1" s="1"/>
  <c r="AB176" i="1"/>
  <c r="AB15" i="1"/>
  <c r="AB97" i="1"/>
  <c r="AB93" i="1"/>
  <c r="Z93" i="1" s="1"/>
  <c r="AB104" i="1"/>
  <c r="Z104" i="1" s="1"/>
  <c r="AB187" i="1"/>
  <c r="Z187" i="1" s="1"/>
  <c r="AB91" i="1"/>
  <c r="Z91" i="1" s="1"/>
  <c r="AB108" i="1"/>
  <c r="Z108" i="1" s="1"/>
  <c r="AB38" i="1"/>
  <c r="Z38" i="1" s="1"/>
  <c r="AB173" i="1"/>
  <c r="Z173" i="1" s="1"/>
  <c r="AB47" i="1"/>
  <c r="Z47" i="1" s="1"/>
  <c r="AB170" i="1"/>
  <c r="Z170" i="1" s="1"/>
  <c r="AB111" i="1"/>
  <c r="Z111" i="1" s="1"/>
  <c r="AB161" i="1"/>
  <c r="Z161" i="1" s="1"/>
  <c r="AB85" i="1"/>
  <c r="Z85" i="1" s="1"/>
  <c r="AB180" i="1"/>
  <c r="Z180" i="1" s="1"/>
  <c r="AB13" i="1"/>
  <c r="Z13" i="1" s="1"/>
  <c r="AB129" i="1"/>
  <c r="Z129" i="1" s="1"/>
  <c r="AB77" i="1"/>
  <c r="Z77" i="1" s="1"/>
  <c r="AB113" i="1"/>
  <c r="Z113" i="1" s="1"/>
  <c r="AB76" i="1"/>
  <c r="Z76" i="1" s="1"/>
  <c r="AB71" i="1"/>
  <c r="Z71" i="1" s="1"/>
  <c r="AB148" i="1"/>
  <c r="Z148" i="1" s="1"/>
  <c r="AB147" i="1"/>
  <c r="Z147" i="1" s="1"/>
  <c r="Z176" i="1" l="1"/>
  <c r="AA11" i="1"/>
  <c r="AA145" i="1"/>
  <c r="Z49" i="1"/>
  <c r="Z18" i="1"/>
  <c r="Z2" i="1"/>
  <c r="Z65" i="1"/>
  <c r="Z41" i="1"/>
  <c r="Z66" i="1"/>
  <c r="AA97" i="1"/>
  <c r="Z35" i="1"/>
  <c r="Z63" i="1"/>
  <c r="Z64" i="1"/>
  <c r="Z75" i="1"/>
  <c r="AA50" i="1"/>
  <c r="Z5" i="1"/>
  <c r="Z15" i="1"/>
  <c r="Z70" i="1"/>
  <c r="Z183" i="1"/>
  <c r="Z28" i="1"/>
  <c r="Z16" i="1"/>
  <c r="AA16" i="1"/>
  <c r="Z109" i="1"/>
  <c r="AA109" i="1"/>
  <c r="AA4" i="1"/>
  <c r="AA61" i="1"/>
  <c r="Z43" i="1"/>
  <c r="Z115" i="1"/>
  <c r="Z193" i="1"/>
  <c r="Z132" i="1"/>
  <c r="AA160" i="1"/>
  <c r="AA130" i="1"/>
  <c r="AA47" i="1"/>
  <c r="AA139" i="1"/>
  <c r="AA157" i="1"/>
  <c r="AA91" i="1"/>
  <c r="AA168" i="1"/>
  <c r="AA92" i="1"/>
  <c r="AA98" i="1"/>
  <c r="AA197" i="1"/>
  <c r="AA138" i="1"/>
  <c r="AA100" i="1"/>
  <c r="AA161" i="1"/>
  <c r="AA137" i="1"/>
  <c r="AA148" i="1"/>
  <c r="AA94" i="1"/>
  <c r="AA165" i="1"/>
  <c r="AA112" i="1"/>
  <c r="AA169" i="1"/>
  <c r="AA41" i="1"/>
  <c r="AA75" i="1"/>
  <c r="AA64" i="1"/>
  <c r="AA13" i="1"/>
  <c r="Z20" i="1"/>
  <c r="Z11" i="1"/>
  <c r="Z88" i="1"/>
  <c r="AA71" i="1"/>
  <c r="AA49" i="1"/>
  <c r="AA142" i="1"/>
  <c r="AA121" i="1"/>
  <c r="AA154" i="1"/>
  <c r="AA37" i="1"/>
  <c r="AA103" i="1"/>
  <c r="AA82" i="1"/>
  <c r="AA182" i="1"/>
  <c r="AA101" i="1"/>
  <c r="AA171" i="1"/>
  <c r="AA27" i="1"/>
  <c r="AA166" i="1"/>
  <c r="AA104" i="1"/>
  <c r="AA185" i="1"/>
  <c r="AA73" i="1"/>
  <c r="AA78" i="1"/>
  <c r="AA175" i="1"/>
  <c r="AA56" i="1"/>
  <c r="AA29" i="1"/>
  <c r="AA12" i="1"/>
  <c r="AA10" i="1"/>
  <c r="Z59" i="1"/>
  <c r="Z86" i="1"/>
  <c r="Z163" i="1"/>
  <c r="AA95" i="1"/>
  <c r="AA74" i="1"/>
  <c r="AA173" i="1"/>
  <c r="AA30" i="1"/>
  <c r="AA190" i="1"/>
  <c r="AA21" i="1"/>
  <c r="AA146" i="1"/>
  <c r="AA158" i="1"/>
  <c r="AA25" i="1"/>
  <c r="AA129" i="1"/>
  <c r="AA42" i="1"/>
  <c r="AA167" i="1"/>
  <c r="AA114" i="1"/>
  <c r="AA117" i="1"/>
  <c r="AA162" i="1"/>
  <c r="AA9" i="1"/>
  <c r="AA155" i="1"/>
  <c r="AA28" i="1"/>
  <c r="AA66" i="1"/>
  <c r="AA18" i="1"/>
  <c r="AA6" i="1"/>
  <c r="AA63" i="1"/>
  <c r="Z62" i="1"/>
  <c r="Z33" i="1"/>
  <c r="AA76" i="1"/>
  <c r="AA46" i="1"/>
  <c r="AA177" i="1"/>
  <c r="AA89" i="1"/>
  <c r="AA111" i="1"/>
  <c r="AA140" i="1"/>
  <c r="AA159" i="1"/>
  <c r="AA141" i="1"/>
  <c r="AA192" i="1"/>
  <c r="AA149" i="1"/>
  <c r="AA68" i="1"/>
  <c r="AA55" i="1"/>
  <c r="AA93" i="1"/>
  <c r="AA79" i="1"/>
  <c r="AA189" i="1"/>
  <c r="AA58" i="1"/>
  <c r="AA134" i="1"/>
  <c r="AA110" i="1"/>
  <c r="AA35" i="1"/>
  <c r="AA2" i="1"/>
  <c r="AA17" i="1"/>
  <c r="Z50" i="1"/>
  <c r="Z119" i="1"/>
  <c r="Z51" i="1"/>
  <c r="AA179" i="1"/>
  <c r="AA90" i="1"/>
  <c r="AA143" i="1"/>
  <c r="AA105" i="1"/>
  <c r="AA152" i="1"/>
  <c r="AA53" i="1"/>
  <c r="AA45" i="1"/>
  <c r="AA24" i="1"/>
  <c r="AA181" i="1"/>
  <c r="AA150" i="1"/>
  <c r="AA23" i="1"/>
  <c r="AA72" i="1"/>
  <c r="AA186" i="1"/>
  <c r="AA131" i="1"/>
  <c r="AA107" i="1"/>
  <c r="AA191" i="1"/>
  <c r="AA40" i="1"/>
  <c r="AA5" i="1"/>
  <c r="AA67" i="1"/>
  <c r="AA3" i="1"/>
  <c r="AA15" i="1"/>
  <c r="AA65" i="1"/>
  <c r="AA84" i="1"/>
  <c r="AA178" i="1"/>
  <c r="AA135" i="1"/>
  <c r="AA113" i="1"/>
  <c r="AA118" i="1"/>
  <c r="AA38" i="1"/>
  <c r="AA8" i="1"/>
  <c r="AA81" i="1"/>
  <c r="AA156" i="1"/>
  <c r="AA83" i="1"/>
  <c r="AA147" i="1"/>
  <c r="AA120" i="1"/>
  <c r="AA184" i="1"/>
  <c r="AA87" i="1"/>
  <c r="AA32" i="1"/>
  <c r="AA77" i="1"/>
  <c r="AA116" i="1"/>
  <c r="AA176" i="1"/>
  <c r="AA133" i="1"/>
  <c r="AA183" i="1"/>
  <c r="Z57" i="1"/>
  <c r="AA128" i="1"/>
  <c r="AA69" i="1"/>
  <c r="AA136" i="1"/>
  <c r="AA172" i="1"/>
  <c r="AA195" i="1"/>
  <c r="AA180" i="1"/>
  <c r="AA108" i="1"/>
  <c r="AA31" i="1"/>
  <c r="AA39" i="1"/>
  <c r="AA123" i="1"/>
  <c r="AA174" i="1"/>
  <c r="AA170" i="1"/>
  <c r="AA85" i="1"/>
  <c r="AA188" i="1"/>
  <c r="AA52" i="1"/>
  <c r="AA187" i="1"/>
  <c r="AA19" i="1"/>
  <c r="AA164" i="1"/>
  <c r="AA44" i="1"/>
  <c r="AA70" i="1"/>
  <c r="AA34" i="1"/>
  <c r="AA99" i="1"/>
  <c r="Z124" i="1"/>
  <c r="Z96" i="1"/>
  <c r="AA153" i="1"/>
  <c r="AA14" i="1"/>
  <c r="AA106" i="1"/>
  <c r="AA48" i="1"/>
  <c r="AA151" i="1"/>
  <c r="AA127" i="1"/>
  <c r="AA36" i="1"/>
  <c r="AA122" i="1"/>
  <c r="AA60" i="1"/>
  <c r="AA194" i="1"/>
  <c r="AA7" i="1"/>
  <c r="AA144" i="1"/>
  <c r="AA102" i="1"/>
  <c r="AA196" i="1"/>
  <c r="Z145" i="1"/>
  <c r="Z125" i="1"/>
  <c r="Z126" i="1"/>
  <c r="Z22" i="1"/>
  <c r="Z54" i="1"/>
  <c r="Z97" i="1"/>
  <c r="Z26" i="1"/>
  <c r="Z80" i="1"/>
</calcChain>
</file>

<file path=xl/sharedStrings.xml><?xml version="1.0" encoding="utf-8"?>
<sst xmlns="http://schemas.openxmlformats.org/spreadsheetml/2006/main" count="1704" uniqueCount="248">
  <si>
    <t>BC Hydro Names</t>
  </si>
  <si>
    <t>Project Type</t>
  </si>
  <si>
    <t>Region</t>
  </si>
  <si>
    <t>Latitude</t>
  </si>
  <si>
    <t>Longitude</t>
  </si>
  <si>
    <t>Installed Capacity (MW)</t>
  </si>
  <si>
    <t>Dependable Generating Capacity (MW)</t>
  </si>
  <si>
    <t>Effective Load-Carrying Capacity (MW)</t>
  </si>
  <si>
    <t>Annual Firm Energy (GWh/yr)</t>
  </si>
  <si>
    <t>UEC ($/MWh)</t>
  </si>
  <si>
    <t>UCC ($/kW-yr)</t>
  </si>
  <si>
    <t>R1 Length (km)</t>
  </si>
  <si>
    <t>T1 Length (km)</t>
  </si>
  <si>
    <t>Line Voltage</t>
  </si>
  <si>
    <t>Plateau or Ridgeline - WIND</t>
  </si>
  <si>
    <t>Footprint of Plant (ha) - SOLAR</t>
  </si>
  <si>
    <t>Footprint of Panels (ha) - SOLAR</t>
  </si>
  <si>
    <t>Raw Terrestrial Score</t>
  </si>
  <si>
    <t>Raw Freshwater Score</t>
  </si>
  <si>
    <t>Summed Raw Scores</t>
  </si>
  <si>
    <t>VI_Batt_1</t>
  </si>
  <si>
    <t>Battery</t>
  </si>
  <si>
    <t>Vancouver Island</t>
  </si>
  <si>
    <t>NA</t>
  </si>
  <si>
    <t>Canoe Creek - Valemount</t>
  </si>
  <si>
    <t>Geothermal</t>
  </si>
  <si>
    <t>Kelly Nicola</t>
  </si>
  <si>
    <t>Clarke Lake</t>
  </si>
  <si>
    <t>Peace River</t>
  </si>
  <si>
    <t>Jedney Area</t>
  </si>
  <si>
    <t>Lakelse Lake</t>
  </si>
  <si>
    <t>North Coast</t>
  </si>
  <si>
    <t>Meager Creek</t>
  </si>
  <si>
    <t>Lower Mainland</t>
  </si>
  <si>
    <t>Mt. Cayley</t>
  </si>
  <si>
    <t>Pebble Creek</t>
  </si>
  <si>
    <t>Sloquet Creek</t>
  </si>
  <si>
    <t>MSW 1</t>
  </si>
  <si>
    <t>Biomass</t>
  </si>
  <si>
    <t>MSW 2</t>
  </si>
  <si>
    <t>MSW 3</t>
  </si>
  <si>
    <t>Selkirk</t>
  </si>
  <si>
    <t>Bookhout 2</t>
  </si>
  <si>
    <t>Pumped Storage</t>
  </si>
  <si>
    <t>Hirsch - storage for 16 hrs of generation</t>
  </si>
  <si>
    <t>Kenyon - Stave</t>
  </si>
  <si>
    <t>Lower Falls - storage for 16 hrs of generation</t>
  </si>
  <si>
    <t>Quimper - Bulson</t>
  </si>
  <si>
    <t>Sleeman - storage for 16 hrs of generation</t>
  </si>
  <si>
    <t>Upper Clore - Storage for 16 hrs of generation</t>
  </si>
  <si>
    <t>Upper Deserted - Un-named</t>
  </si>
  <si>
    <t>Upper Misery - Lower Misery</t>
  </si>
  <si>
    <t>Upper Vancouver - Lower Vancouver</t>
  </si>
  <si>
    <t>ROR_5018</t>
  </si>
  <si>
    <t>Run of River</t>
  </si>
  <si>
    <t>ROR_5101</t>
  </si>
  <si>
    <t>ROR_5332</t>
  </si>
  <si>
    <t>Mica</t>
  </si>
  <si>
    <t>Solar35274</t>
  </si>
  <si>
    <t>Solar</t>
  </si>
  <si>
    <t>Central Interior</t>
  </si>
  <si>
    <t>Solar35279</t>
  </si>
  <si>
    <t>Solar36063</t>
  </si>
  <si>
    <t>Solar36070</t>
  </si>
  <si>
    <t>Solar36073</t>
  </si>
  <si>
    <t>Solar36074</t>
  </si>
  <si>
    <t>Solar36893</t>
  </si>
  <si>
    <t>Solar36894</t>
  </si>
  <si>
    <t>Solar37703</t>
  </si>
  <si>
    <t>Solar37705</t>
  </si>
  <si>
    <t>Solar37706</t>
  </si>
  <si>
    <t>Solar37707</t>
  </si>
  <si>
    <t>Solar37708</t>
  </si>
  <si>
    <t>Solar38465</t>
  </si>
  <si>
    <t>Solar62049</t>
  </si>
  <si>
    <t>Solar65978</t>
  </si>
  <si>
    <t>Solar67498</t>
  </si>
  <si>
    <t>Solar69283</t>
  </si>
  <si>
    <t>Solar69284</t>
  </si>
  <si>
    <t>Solar70163</t>
  </si>
  <si>
    <t>Solar70164</t>
  </si>
  <si>
    <t>Solar70167</t>
  </si>
  <si>
    <t>Solar70982</t>
  </si>
  <si>
    <t>Solar70986</t>
  </si>
  <si>
    <t>Solar70988</t>
  </si>
  <si>
    <t>Solar70989</t>
  </si>
  <si>
    <t>Solar70993</t>
  </si>
  <si>
    <t>Solar71004</t>
  </si>
  <si>
    <t>Revelstoke</t>
  </si>
  <si>
    <t>Solar71774</t>
  </si>
  <si>
    <t>Solar72534</t>
  </si>
  <si>
    <t>Solar72543</t>
  </si>
  <si>
    <t>Solar73988</t>
  </si>
  <si>
    <t>Solar76979</t>
  </si>
  <si>
    <t>Solar78421</t>
  </si>
  <si>
    <t>Solar79910</t>
  </si>
  <si>
    <t>East Kootenay</t>
  </si>
  <si>
    <t>Anudol_Creek_A-8hr</t>
  </si>
  <si>
    <t>Small Storage Hydro</t>
  </si>
  <si>
    <t>Ball_Creek-8hr</t>
  </si>
  <si>
    <t>Chemainus_River-8hr</t>
  </si>
  <si>
    <t>Elaho_River-8hr</t>
  </si>
  <si>
    <t>Freda_Creek-8hr</t>
  </si>
  <si>
    <t>Kinskuch_River-8hr</t>
  </si>
  <si>
    <t>More_Creek-8hr</t>
  </si>
  <si>
    <t>Nahatlatch_River-8hr</t>
  </si>
  <si>
    <t>Nass_River-8hr</t>
  </si>
  <si>
    <t>Nimpkish_River_B-8hr</t>
  </si>
  <si>
    <t>Silverhope_Creek-8hr</t>
  </si>
  <si>
    <t>Siwash_Creek-8hr</t>
  </si>
  <si>
    <t>South_Creek-8hr</t>
  </si>
  <si>
    <t>Spuzzum_Creek-8hr</t>
  </si>
  <si>
    <t>Squamish_River_B-8hr</t>
  </si>
  <si>
    <t>Zymoetz_River-8hr</t>
  </si>
  <si>
    <t>BC08</t>
  </si>
  <si>
    <t>Onshore Wind</t>
  </si>
  <si>
    <t>P</t>
  </si>
  <si>
    <t>BC09</t>
  </si>
  <si>
    <t>BC10</t>
  </si>
  <si>
    <t>BC11</t>
  </si>
  <si>
    <t>BC13</t>
  </si>
  <si>
    <t>BC15</t>
  </si>
  <si>
    <t>BC17</t>
  </si>
  <si>
    <t>BC18</t>
  </si>
  <si>
    <t>BC19</t>
  </si>
  <si>
    <t>BC20</t>
  </si>
  <si>
    <t>BC21</t>
  </si>
  <si>
    <t>BC22</t>
  </si>
  <si>
    <t>BC23</t>
  </si>
  <si>
    <t>BC24</t>
  </si>
  <si>
    <t>BC25</t>
  </si>
  <si>
    <t>BC26</t>
  </si>
  <si>
    <t>NC01</t>
  </si>
  <si>
    <t>NC02</t>
  </si>
  <si>
    <t>NC05</t>
  </si>
  <si>
    <t>NC06</t>
  </si>
  <si>
    <t>NC07</t>
  </si>
  <si>
    <t>R</t>
  </si>
  <si>
    <t>NC08</t>
  </si>
  <si>
    <t>NC09</t>
  </si>
  <si>
    <t>NC10</t>
  </si>
  <si>
    <t>NC11</t>
  </si>
  <si>
    <t>NC12</t>
  </si>
  <si>
    <t>NC13</t>
  </si>
  <si>
    <t>PC01</t>
  </si>
  <si>
    <t>PC02</t>
  </si>
  <si>
    <t>PC04</t>
  </si>
  <si>
    <t>PC05</t>
  </si>
  <si>
    <t>PC06</t>
  </si>
  <si>
    <t>PC07</t>
  </si>
  <si>
    <t>PC08</t>
  </si>
  <si>
    <t>PC09</t>
  </si>
  <si>
    <t>PC10</t>
  </si>
  <si>
    <t>PC11</t>
  </si>
  <si>
    <t>PC12</t>
  </si>
  <si>
    <t>PC13</t>
  </si>
  <si>
    <t>PC14</t>
  </si>
  <si>
    <t>PC15</t>
  </si>
  <si>
    <t>PC16</t>
  </si>
  <si>
    <t>PC17</t>
  </si>
  <si>
    <t>PC18</t>
  </si>
  <si>
    <t>PC19</t>
  </si>
  <si>
    <t>PC20</t>
  </si>
  <si>
    <t>PC21</t>
  </si>
  <si>
    <t>PC22</t>
  </si>
  <si>
    <t>PC23</t>
  </si>
  <si>
    <t>PC24</t>
  </si>
  <si>
    <t>PC25</t>
  </si>
  <si>
    <t>PC26</t>
  </si>
  <si>
    <t>PC27</t>
  </si>
  <si>
    <t>PC28</t>
  </si>
  <si>
    <t>PC29</t>
  </si>
  <si>
    <t>PC32</t>
  </si>
  <si>
    <t>PC34</t>
  </si>
  <si>
    <t>PC36</t>
  </si>
  <si>
    <t>PC37</t>
  </si>
  <si>
    <t>PC38</t>
  </si>
  <si>
    <t>PC39</t>
  </si>
  <si>
    <t>PC40</t>
  </si>
  <si>
    <t>PC41</t>
  </si>
  <si>
    <t>PC42</t>
  </si>
  <si>
    <t>PC43</t>
  </si>
  <si>
    <t>PC46</t>
  </si>
  <si>
    <t>PC47</t>
  </si>
  <si>
    <t>PC48</t>
  </si>
  <si>
    <t>SI01</t>
  </si>
  <si>
    <t>SI02</t>
  </si>
  <si>
    <t>SI03</t>
  </si>
  <si>
    <t>SI04</t>
  </si>
  <si>
    <t>Both</t>
  </si>
  <si>
    <t>SI05</t>
  </si>
  <si>
    <t>SI06</t>
  </si>
  <si>
    <t>SI08</t>
  </si>
  <si>
    <t>SI09</t>
  </si>
  <si>
    <t>SI10</t>
  </si>
  <si>
    <t>SI11</t>
  </si>
  <si>
    <t>SI12</t>
  </si>
  <si>
    <t>SI13</t>
  </si>
  <si>
    <t>SI14</t>
  </si>
  <si>
    <t>SI15</t>
  </si>
  <si>
    <t>SI18</t>
  </si>
  <si>
    <t>SI19</t>
  </si>
  <si>
    <t>SI20</t>
  </si>
  <si>
    <t>SI22</t>
  </si>
  <si>
    <t>SI23</t>
  </si>
  <si>
    <t>SI27</t>
  </si>
  <si>
    <t>SI28</t>
  </si>
  <si>
    <t>SI29</t>
  </si>
  <si>
    <t>SI30</t>
  </si>
  <si>
    <t>SI31</t>
  </si>
  <si>
    <t>SI33</t>
  </si>
  <si>
    <t>SI37</t>
  </si>
  <si>
    <t>SI38</t>
  </si>
  <si>
    <t>VI02</t>
  </si>
  <si>
    <t>VI04</t>
  </si>
  <si>
    <t>VI05</t>
  </si>
  <si>
    <t>VI06</t>
  </si>
  <si>
    <t>VI07</t>
  </si>
  <si>
    <t>VI08</t>
  </si>
  <si>
    <t>VI09</t>
  </si>
  <si>
    <t>VI10</t>
  </si>
  <si>
    <t>VI11</t>
  </si>
  <si>
    <t>VI12</t>
  </si>
  <si>
    <t>VI13</t>
  </si>
  <si>
    <t>VI14</t>
  </si>
  <si>
    <t>VI15</t>
  </si>
  <si>
    <t>WBBio_CB_RR</t>
  </si>
  <si>
    <t>WBBio_LM_RR</t>
  </si>
  <si>
    <t>WBBio_LM_ST_1</t>
  </si>
  <si>
    <t>WBBio_LM_ST_2</t>
  </si>
  <si>
    <t>WBBio_NE_ST_1</t>
  </si>
  <si>
    <t>WBBio_NE_ST_2</t>
  </si>
  <si>
    <t>WBBio_NE_ST_3</t>
  </si>
  <si>
    <t>WBBio_NW_ST</t>
  </si>
  <si>
    <t>WBBio_SP_RR</t>
  </si>
  <si>
    <t>WBBio_SP_ST</t>
  </si>
  <si>
    <t>WBBio_WPR_PL</t>
  </si>
  <si>
    <t>Knight - Fourth</t>
  </si>
  <si>
    <t>Municipal Solid Waste</t>
  </si>
  <si>
    <t>Number of Turbines - WIND</t>
  </si>
  <si>
    <t>ATG (ha)</t>
  </si>
  <si>
    <t>Notes</t>
  </si>
  <si>
    <t>Terrestrial % of Summed Score</t>
  </si>
  <si>
    <t>Freshwater % of Summed Score</t>
  </si>
  <si>
    <t>Scaled Summed Score</t>
  </si>
  <si>
    <t>Linear Features (km)</t>
  </si>
  <si>
    <t>Terrestrial Proportion of Scaled Score</t>
  </si>
  <si>
    <t>Freshwater Proportion of Scaled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</si>
</sst>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00"/>
    <numFmt numFmtId="165" formatCode="0.0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Aptos"/>
      <family val="2"/>
    </font>
    <font>
      <sz val="11"/>
      <color rgb="FF000000"/>
      <name val="Aptos"/>
      <family val="2"/>
    </font>
    <font>
      <sz val="11"/>
      <name val="Aptos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6" fillId="0" borderId="0"/>
  </cellStyleXfs>
  <cellXfs count="24">
    <xf numFmtId="0" fontId="0" fillId="0" borderId="0" xfId="0"/>
    <xf numFmtId="0" fontId="3" fillId="0" borderId="1" xfId="0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1" fontId="5" fillId="0" borderId="1" xfId="1" applyNumberFormat="1" applyFont="1" applyBorder="1" applyAlignment="1">
      <alignment horizontal="center" vertical="center"/>
    </xf>
    <xf numFmtId="2" fontId="3" fillId="3" borderId="1" xfId="0" applyNumberFormat="1" applyFont="1" applyFill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/>
    </xf>
    <xf numFmtId="2" fontId="2" fillId="2" borderId="0" xfId="0" applyNumberFormat="1" applyFont="1" applyFill="1" applyAlignment="1">
      <alignment horizontal="center" vertical="center" wrapText="1"/>
    </xf>
    <xf numFmtId="2" fontId="5" fillId="0" borderId="1" xfId="1" applyNumberFormat="1" applyFont="1" applyBorder="1" applyAlignment="1">
      <alignment horizontal="center" vertical="center"/>
    </xf>
    <xf numFmtId="2" fontId="0" fillId="0" borderId="0" xfId="0" applyNumberFormat="1"/>
    <xf numFmtId="2" fontId="4" fillId="0" borderId="1" xfId="0" applyNumberFormat="1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2" fontId="3" fillId="0" borderId="1" xfId="1" applyNumberFormat="1" applyFont="1" applyBorder="1" applyAlignment="1">
      <alignment horizontal="center" vertical="center"/>
    </xf>
    <xf numFmtId="2" fontId="5" fillId="0" borderId="1" xfId="1" applyNumberFormat="1" applyFont="1" applyBorder="1" applyAlignment="1">
      <alignment horizontal="center" vertical="center" wrapText="1"/>
    </xf>
    <xf numFmtId="1" fontId="3" fillId="0" borderId="1" xfId="1" applyNumberFormat="1" applyFont="1" applyBorder="1" applyAlignment="1">
      <alignment horizontal="center" vertical="center"/>
    </xf>
    <xf numFmtId="1" fontId="3" fillId="0" borderId="1" xfId="1" applyNumberFormat="1" applyFont="1" applyFill="1" applyBorder="1" applyAlignment="1">
      <alignment horizontal="center" vertical="center"/>
    </xf>
    <xf numFmtId="2" fontId="3" fillId="0" borderId="1" xfId="1" applyNumberFormat="1" applyFont="1" applyFill="1" applyBorder="1" applyAlignment="1">
      <alignment horizontal="center" vertical="center"/>
    </xf>
    <xf numFmtId="165" fontId="3" fillId="0" borderId="0" xfId="0" applyNumberFormat="1" applyFont="1" applyAlignment="1">
      <alignment horizontal="center" vertical="center"/>
    </xf>
    <xf numFmtId="164" fontId="2" fillId="2" borderId="0" xfId="0" applyNumberFormat="1" applyFont="1" applyFill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/>
    </xf>
    <xf numFmtId="164" fontId="0" fillId="0" borderId="0" xfId="0" applyNumberFormat="1"/>
    <xf numFmtId="165" fontId="2" fillId="2" borderId="0" xfId="0" applyNumberFormat="1" applyFont="1" applyFill="1" applyAlignment="1">
      <alignment horizontal="center" vertical="center" wrapText="1"/>
    </xf>
    <xf numFmtId="165" fontId="0" fillId="0" borderId="0" xfId="0" applyNumberFormat="1"/>
  </cellXfs>
  <cellStyles count="3">
    <cellStyle name="Comma" xfId="1" builtinId="3"/>
    <cellStyle name="Normal" xfId="0" builtinId="0"/>
    <cellStyle name="Normal 2 2" xfId="2" xr:uid="{4C9ABCE0-DE0E-40CC-9FE3-15F4DD800425}"/>
  </cellStyles>
  <dxfs count="35"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ont>
        <color theme="2" tint="-0.24994659260841701"/>
      </font>
      <fill>
        <patternFill>
          <bgColor theme="0" tint="-0.14996795556505021"/>
        </patternFill>
      </fill>
    </dxf>
    <dxf>
      <fill>
        <patternFill>
          <bgColor rgb="FFFFCCC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numFmt numFmtId="165" formatCode="0.0000"/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numFmt numFmtId="164" formatCode="0.000"/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numFmt numFmtId="164" formatCode="0.000"/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"/>
        <family val="2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"/>
        <family val="2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"/>
        <family val="2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numFmt numFmtId="2" formatCode="0.00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numFmt numFmtId="2" formatCode="0.00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numFmt numFmtId="2" formatCode="0.00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border outline="0"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FFCCCC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Sheet1!$Z$1</c:f>
              <c:strCache>
                <c:ptCount val="1"/>
                <c:pt idx="0">
                  <c:v>Terrestrial Proportion of Scaled 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Sheet1!$A$2:$A$198</c:f>
              <c:strCache>
                <c:ptCount val="196"/>
                <c:pt idx="0">
                  <c:v>BC17</c:v>
                </c:pt>
                <c:pt idx="1">
                  <c:v>BC10</c:v>
                </c:pt>
                <c:pt idx="2">
                  <c:v>BC15</c:v>
                </c:pt>
                <c:pt idx="3">
                  <c:v>NC01</c:v>
                </c:pt>
                <c:pt idx="4">
                  <c:v>BC11</c:v>
                </c:pt>
                <c:pt idx="5">
                  <c:v>WBBio_NE_ST_1</c:v>
                </c:pt>
                <c:pt idx="6">
                  <c:v>WBBio_NE_ST_2</c:v>
                </c:pt>
                <c:pt idx="7">
                  <c:v>WBBio_NE_ST_3</c:v>
                </c:pt>
                <c:pt idx="8">
                  <c:v>NC06</c:v>
                </c:pt>
                <c:pt idx="9">
                  <c:v>BC09</c:v>
                </c:pt>
                <c:pt idx="10">
                  <c:v>VI02</c:v>
                </c:pt>
                <c:pt idx="11">
                  <c:v>BC24</c:v>
                </c:pt>
                <c:pt idx="12">
                  <c:v>Clarke Lake</c:v>
                </c:pt>
                <c:pt idx="13">
                  <c:v>VI09</c:v>
                </c:pt>
                <c:pt idx="14">
                  <c:v>NC05</c:v>
                </c:pt>
                <c:pt idx="15">
                  <c:v>BC08</c:v>
                </c:pt>
                <c:pt idx="16">
                  <c:v>BC13</c:v>
                </c:pt>
                <c:pt idx="17">
                  <c:v>VI05</c:v>
                </c:pt>
                <c:pt idx="18">
                  <c:v>VI04</c:v>
                </c:pt>
                <c:pt idx="19">
                  <c:v>WBBio_NW_ST</c:v>
                </c:pt>
                <c:pt idx="20">
                  <c:v>VI06</c:v>
                </c:pt>
                <c:pt idx="21">
                  <c:v>PC22</c:v>
                </c:pt>
                <c:pt idx="22">
                  <c:v>PC01</c:v>
                </c:pt>
                <c:pt idx="23">
                  <c:v>Pebble Creek</c:v>
                </c:pt>
                <c:pt idx="24">
                  <c:v>BC25</c:v>
                </c:pt>
                <c:pt idx="25">
                  <c:v>PC02</c:v>
                </c:pt>
                <c:pt idx="26">
                  <c:v>VI07</c:v>
                </c:pt>
                <c:pt idx="27">
                  <c:v>BC21</c:v>
                </c:pt>
                <c:pt idx="28">
                  <c:v>PC04</c:v>
                </c:pt>
                <c:pt idx="29">
                  <c:v>PC11</c:v>
                </c:pt>
                <c:pt idx="30">
                  <c:v>Jedney Area</c:v>
                </c:pt>
                <c:pt idx="31">
                  <c:v>SI18</c:v>
                </c:pt>
                <c:pt idx="32">
                  <c:v>BC23</c:v>
                </c:pt>
                <c:pt idx="33">
                  <c:v>BC26</c:v>
                </c:pt>
                <c:pt idx="34">
                  <c:v>PC07</c:v>
                </c:pt>
                <c:pt idx="35">
                  <c:v>Lower Falls - storage for 16 hrs of generation</c:v>
                </c:pt>
                <c:pt idx="36">
                  <c:v>PC05</c:v>
                </c:pt>
                <c:pt idx="37">
                  <c:v>Sleeman - storage for 16 hrs of generation</c:v>
                </c:pt>
                <c:pt idx="38">
                  <c:v>Mt. Cayley</c:v>
                </c:pt>
                <c:pt idx="39">
                  <c:v>BC19</c:v>
                </c:pt>
                <c:pt idx="40">
                  <c:v>Meager Creek</c:v>
                </c:pt>
                <c:pt idx="41">
                  <c:v>ROR_5101</c:v>
                </c:pt>
                <c:pt idx="42">
                  <c:v>Quimper - Bulson</c:v>
                </c:pt>
                <c:pt idx="43">
                  <c:v>PC06</c:v>
                </c:pt>
                <c:pt idx="44">
                  <c:v>WBBio_CB_RR</c:v>
                </c:pt>
                <c:pt idx="45">
                  <c:v>South_Creek-8hr</c:v>
                </c:pt>
                <c:pt idx="46">
                  <c:v>NC12</c:v>
                </c:pt>
                <c:pt idx="47">
                  <c:v>NC02</c:v>
                </c:pt>
                <c:pt idx="48">
                  <c:v>BC20</c:v>
                </c:pt>
                <c:pt idx="49">
                  <c:v>PC13</c:v>
                </c:pt>
                <c:pt idx="50">
                  <c:v>Nass_River-8hr</c:v>
                </c:pt>
                <c:pt idx="51">
                  <c:v>Upper Deserted - Un-named</c:v>
                </c:pt>
                <c:pt idx="52">
                  <c:v>NC09</c:v>
                </c:pt>
                <c:pt idx="53">
                  <c:v>PC47</c:v>
                </c:pt>
                <c:pt idx="54">
                  <c:v>PC23</c:v>
                </c:pt>
                <c:pt idx="55">
                  <c:v>Hirsch - storage for 16 hrs of generation</c:v>
                </c:pt>
                <c:pt idx="56">
                  <c:v>PC37</c:v>
                </c:pt>
                <c:pt idx="57">
                  <c:v>Nahatlatch_River-8hr</c:v>
                </c:pt>
                <c:pt idx="58">
                  <c:v>PC24</c:v>
                </c:pt>
                <c:pt idx="59">
                  <c:v>SI01</c:v>
                </c:pt>
                <c:pt idx="60">
                  <c:v>Kinskuch_River-8hr</c:v>
                </c:pt>
                <c:pt idx="61">
                  <c:v>SI15</c:v>
                </c:pt>
                <c:pt idx="62">
                  <c:v>BC22</c:v>
                </c:pt>
                <c:pt idx="63">
                  <c:v>SI13</c:v>
                </c:pt>
                <c:pt idx="64">
                  <c:v>SI02</c:v>
                </c:pt>
                <c:pt idx="65">
                  <c:v>SI31</c:v>
                </c:pt>
                <c:pt idx="66">
                  <c:v>Upper Clore - Storage for 16 hrs of generation</c:v>
                </c:pt>
                <c:pt idx="67">
                  <c:v>PC08</c:v>
                </c:pt>
                <c:pt idx="68">
                  <c:v>SI03</c:v>
                </c:pt>
                <c:pt idx="69">
                  <c:v>PC12</c:v>
                </c:pt>
                <c:pt idx="70">
                  <c:v>PC09</c:v>
                </c:pt>
                <c:pt idx="71">
                  <c:v>Elaho_River-8hr</c:v>
                </c:pt>
                <c:pt idx="72">
                  <c:v>PC10</c:v>
                </c:pt>
                <c:pt idx="73">
                  <c:v>SI33</c:v>
                </c:pt>
                <c:pt idx="74">
                  <c:v>Solar36063</c:v>
                </c:pt>
                <c:pt idx="75">
                  <c:v>SI28</c:v>
                </c:pt>
                <c:pt idx="76">
                  <c:v>Squamish_River_B-8hr</c:v>
                </c:pt>
                <c:pt idx="77">
                  <c:v>Knight - Fourth</c:v>
                </c:pt>
                <c:pt idx="78">
                  <c:v>SI30</c:v>
                </c:pt>
                <c:pt idx="79">
                  <c:v>SI29</c:v>
                </c:pt>
                <c:pt idx="80">
                  <c:v>PC17</c:v>
                </c:pt>
                <c:pt idx="81">
                  <c:v>Upper Vancouver - Lower Vancouver</c:v>
                </c:pt>
                <c:pt idx="82">
                  <c:v>Anudol_Creek_A-8hr</c:v>
                </c:pt>
                <c:pt idx="83">
                  <c:v>PC26</c:v>
                </c:pt>
                <c:pt idx="84">
                  <c:v>NC07</c:v>
                </c:pt>
                <c:pt idx="85">
                  <c:v>PC21</c:v>
                </c:pt>
                <c:pt idx="86">
                  <c:v>SI10</c:v>
                </c:pt>
                <c:pt idx="87">
                  <c:v>PC14</c:v>
                </c:pt>
                <c:pt idx="88">
                  <c:v>PC19</c:v>
                </c:pt>
                <c:pt idx="89">
                  <c:v>Solar70982</c:v>
                </c:pt>
                <c:pt idx="90">
                  <c:v>SI27</c:v>
                </c:pt>
                <c:pt idx="91">
                  <c:v>Kenyon - Stave</c:v>
                </c:pt>
                <c:pt idx="92">
                  <c:v>PC16</c:v>
                </c:pt>
                <c:pt idx="93">
                  <c:v>VI10</c:v>
                </c:pt>
                <c:pt idx="94">
                  <c:v>PC25</c:v>
                </c:pt>
                <c:pt idx="95">
                  <c:v>SI14</c:v>
                </c:pt>
                <c:pt idx="96">
                  <c:v>Solar72534</c:v>
                </c:pt>
                <c:pt idx="97">
                  <c:v>NC08</c:v>
                </c:pt>
                <c:pt idx="98">
                  <c:v>PC39</c:v>
                </c:pt>
                <c:pt idx="99">
                  <c:v>PC28</c:v>
                </c:pt>
                <c:pt idx="100">
                  <c:v>SI23</c:v>
                </c:pt>
                <c:pt idx="101">
                  <c:v>SI19</c:v>
                </c:pt>
                <c:pt idx="102">
                  <c:v>NC11</c:v>
                </c:pt>
                <c:pt idx="103">
                  <c:v>SI20</c:v>
                </c:pt>
                <c:pt idx="104">
                  <c:v>Upper Misery - Lower Misery</c:v>
                </c:pt>
                <c:pt idx="105">
                  <c:v>Solar71774</c:v>
                </c:pt>
                <c:pt idx="106">
                  <c:v>PC36</c:v>
                </c:pt>
                <c:pt idx="107">
                  <c:v>SI04</c:v>
                </c:pt>
                <c:pt idx="108">
                  <c:v>BC18</c:v>
                </c:pt>
                <c:pt idx="109">
                  <c:v>Ball_Creek-8hr</c:v>
                </c:pt>
                <c:pt idx="110">
                  <c:v>Solar37703</c:v>
                </c:pt>
                <c:pt idx="111">
                  <c:v>NC10</c:v>
                </c:pt>
                <c:pt idx="112">
                  <c:v>PC20</c:v>
                </c:pt>
                <c:pt idx="113">
                  <c:v>Solar36074</c:v>
                </c:pt>
                <c:pt idx="114">
                  <c:v>SI12</c:v>
                </c:pt>
                <c:pt idx="115">
                  <c:v>Solar36893</c:v>
                </c:pt>
                <c:pt idx="116">
                  <c:v>PC15</c:v>
                </c:pt>
                <c:pt idx="117">
                  <c:v>Solar70986</c:v>
                </c:pt>
                <c:pt idx="118">
                  <c:v>VI15</c:v>
                </c:pt>
                <c:pt idx="119">
                  <c:v>Solar65978</c:v>
                </c:pt>
                <c:pt idx="120">
                  <c:v>Bookhout 2</c:v>
                </c:pt>
                <c:pt idx="121">
                  <c:v>PC43</c:v>
                </c:pt>
                <c:pt idx="122">
                  <c:v>Solar72543</c:v>
                </c:pt>
                <c:pt idx="123">
                  <c:v>SI06</c:v>
                </c:pt>
                <c:pt idx="124">
                  <c:v>SI09</c:v>
                </c:pt>
                <c:pt idx="125">
                  <c:v>Solar37708</c:v>
                </c:pt>
                <c:pt idx="126">
                  <c:v>Solar36070</c:v>
                </c:pt>
                <c:pt idx="127">
                  <c:v>Solar70989</c:v>
                </c:pt>
                <c:pt idx="128">
                  <c:v>Solar36073</c:v>
                </c:pt>
                <c:pt idx="129">
                  <c:v>Solar37706</c:v>
                </c:pt>
                <c:pt idx="130">
                  <c:v>SI38</c:v>
                </c:pt>
                <c:pt idx="131">
                  <c:v>SI08</c:v>
                </c:pt>
                <c:pt idx="132">
                  <c:v>Solar38465</c:v>
                </c:pt>
                <c:pt idx="133">
                  <c:v>More_Creek-8hr</c:v>
                </c:pt>
                <c:pt idx="134">
                  <c:v>Solar37705</c:v>
                </c:pt>
                <c:pt idx="135">
                  <c:v>PC34</c:v>
                </c:pt>
                <c:pt idx="136">
                  <c:v>Siwash_Creek-8hr</c:v>
                </c:pt>
                <c:pt idx="137">
                  <c:v>SI11</c:v>
                </c:pt>
                <c:pt idx="138">
                  <c:v>Solar70993</c:v>
                </c:pt>
                <c:pt idx="139">
                  <c:v>Solar36894</c:v>
                </c:pt>
                <c:pt idx="140">
                  <c:v>PC48</c:v>
                </c:pt>
                <c:pt idx="141">
                  <c:v>Solar35274</c:v>
                </c:pt>
                <c:pt idx="142">
                  <c:v>Solar37707</c:v>
                </c:pt>
                <c:pt idx="143">
                  <c:v>SI05</c:v>
                </c:pt>
                <c:pt idx="144">
                  <c:v>Freda_Creek-8hr</c:v>
                </c:pt>
                <c:pt idx="145">
                  <c:v>VI08</c:v>
                </c:pt>
                <c:pt idx="146">
                  <c:v>Lakelse Lake</c:v>
                </c:pt>
                <c:pt idx="147">
                  <c:v>Solar69284</c:v>
                </c:pt>
                <c:pt idx="148">
                  <c:v>MSW 3</c:v>
                </c:pt>
                <c:pt idx="149">
                  <c:v>Solar78421</c:v>
                </c:pt>
                <c:pt idx="150">
                  <c:v>PC41</c:v>
                </c:pt>
                <c:pt idx="151">
                  <c:v>PC42</c:v>
                </c:pt>
                <c:pt idx="152">
                  <c:v>PC40</c:v>
                </c:pt>
                <c:pt idx="153">
                  <c:v>Silverhope_Creek-8hr</c:v>
                </c:pt>
                <c:pt idx="154">
                  <c:v>Solar70988</c:v>
                </c:pt>
                <c:pt idx="155">
                  <c:v>Solar70164</c:v>
                </c:pt>
                <c:pt idx="156">
                  <c:v>Zymoetz_River-8hr</c:v>
                </c:pt>
                <c:pt idx="157">
                  <c:v>PC38</c:v>
                </c:pt>
                <c:pt idx="158">
                  <c:v>SI37</c:v>
                </c:pt>
                <c:pt idx="159">
                  <c:v>Solar67498</c:v>
                </c:pt>
                <c:pt idx="160">
                  <c:v>Solar69283</c:v>
                </c:pt>
                <c:pt idx="161">
                  <c:v>Solar79910</c:v>
                </c:pt>
                <c:pt idx="162">
                  <c:v>PC18</c:v>
                </c:pt>
                <c:pt idx="163">
                  <c:v>PC27</c:v>
                </c:pt>
                <c:pt idx="164">
                  <c:v>MSW 1</c:v>
                </c:pt>
                <c:pt idx="165">
                  <c:v>Solar70167</c:v>
                </c:pt>
                <c:pt idx="166">
                  <c:v>Solar35279</c:v>
                </c:pt>
                <c:pt idx="167">
                  <c:v>VI11</c:v>
                </c:pt>
                <c:pt idx="168">
                  <c:v>VI12</c:v>
                </c:pt>
                <c:pt idx="169">
                  <c:v>Solar62049</c:v>
                </c:pt>
                <c:pt idx="170">
                  <c:v>VI14</c:v>
                </c:pt>
                <c:pt idx="171">
                  <c:v>Sloquet Creek</c:v>
                </c:pt>
                <c:pt idx="172">
                  <c:v>Solar70163</c:v>
                </c:pt>
                <c:pt idx="173">
                  <c:v>Canoe Creek - Valemount</c:v>
                </c:pt>
                <c:pt idx="174">
                  <c:v>VI13</c:v>
                </c:pt>
                <c:pt idx="175">
                  <c:v>Solar76979</c:v>
                </c:pt>
                <c:pt idx="176">
                  <c:v>PC46</c:v>
                </c:pt>
                <c:pt idx="177">
                  <c:v>Nimpkish_River_B-8hr</c:v>
                </c:pt>
                <c:pt idx="178">
                  <c:v>Solar71004</c:v>
                </c:pt>
                <c:pt idx="179">
                  <c:v>PC29</c:v>
                </c:pt>
                <c:pt idx="180">
                  <c:v>ROR_5018</c:v>
                </c:pt>
                <c:pt idx="181">
                  <c:v>SI22</c:v>
                </c:pt>
                <c:pt idx="182">
                  <c:v>Solar73988</c:v>
                </c:pt>
                <c:pt idx="183">
                  <c:v>WBBio_LM_RR</c:v>
                </c:pt>
                <c:pt idx="184">
                  <c:v>WBBio_LM_ST_1</c:v>
                </c:pt>
                <c:pt idx="185">
                  <c:v>WBBio_LM_ST_2</c:v>
                </c:pt>
                <c:pt idx="186">
                  <c:v>ROR_5332</c:v>
                </c:pt>
                <c:pt idx="187">
                  <c:v>MSW 2</c:v>
                </c:pt>
                <c:pt idx="188">
                  <c:v>PC32</c:v>
                </c:pt>
                <c:pt idx="189">
                  <c:v>NC13</c:v>
                </c:pt>
                <c:pt idx="190">
                  <c:v>WBBio_WPR_PL</c:v>
                </c:pt>
                <c:pt idx="191">
                  <c:v>VI_Batt_1</c:v>
                </c:pt>
                <c:pt idx="192">
                  <c:v>Spuzzum_Creek-8hr</c:v>
                </c:pt>
                <c:pt idx="193">
                  <c:v>Chemainus_River-8hr</c:v>
                </c:pt>
                <c:pt idx="194">
                  <c:v>WBBio_SP_RR</c:v>
                </c:pt>
                <c:pt idx="195">
                  <c:v>WBBio_SP_ST</c:v>
                </c:pt>
              </c:strCache>
            </c:strRef>
          </c:cat>
          <c:val>
            <c:numRef>
              <c:f>Sheet1!$Z$2:$Z$198</c:f>
              <c:numCache>
                <c:formatCode>0.0000</c:formatCode>
                <c:ptCount val="197"/>
                <c:pt idx="0">
                  <c:v>0.48051567131103101</c:v>
                </c:pt>
                <c:pt idx="1">
                  <c:v>0.48365855469941593</c:v>
                </c:pt>
                <c:pt idx="2">
                  <c:v>0.45094961573141312</c:v>
                </c:pt>
                <c:pt idx="3">
                  <c:v>0.30450642505205472</c:v>
                </c:pt>
                <c:pt idx="4">
                  <c:v>0.34065354161634237</c:v>
                </c:pt>
                <c:pt idx="5">
                  <c:v>0.3648583096902</c:v>
                </c:pt>
                <c:pt idx="6">
                  <c:v>0.3648583096902</c:v>
                </c:pt>
                <c:pt idx="7">
                  <c:v>0.3648583096902</c:v>
                </c:pt>
                <c:pt idx="8">
                  <c:v>0.35549024540383706</c:v>
                </c:pt>
                <c:pt idx="9">
                  <c:v>0.287796542253136</c:v>
                </c:pt>
                <c:pt idx="10">
                  <c:v>0.20109982182784694</c:v>
                </c:pt>
                <c:pt idx="11">
                  <c:v>0.32880128448125601</c:v>
                </c:pt>
                <c:pt idx="12">
                  <c:v>0.285390442331517</c:v>
                </c:pt>
                <c:pt idx="13">
                  <c:v>0.19794935647020087</c:v>
                </c:pt>
                <c:pt idx="14">
                  <c:v>0.28415494180712136</c:v>
                </c:pt>
                <c:pt idx="15">
                  <c:v>0.22897760208037377</c:v>
                </c:pt>
                <c:pt idx="16">
                  <c:v>0.20703727812426687</c:v>
                </c:pt>
                <c:pt idx="17">
                  <c:v>0.16570093183490339</c:v>
                </c:pt>
                <c:pt idx="18">
                  <c:v>0.15546133493440678</c:v>
                </c:pt>
                <c:pt idx="19">
                  <c:v>0.16101747322633717</c:v>
                </c:pt>
                <c:pt idx="20">
                  <c:v>0.1495671681816847</c:v>
                </c:pt>
                <c:pt idx="21">
                  <c:v>0.30711506960101209</c:v>
                </c:pt>
                <c:pt idx="22">
                  <c:v>0.25800389177941085</c:v>
                </c:pt>
                <c:pt idx="23">
                  <c:v>0.201361655937873</c:v>
                </c:pt>
                <c:pt idx="24">
                  <c:v>0.2407409137071479</c:v>
                </c:pt>
                <c:pt idx="25">
                  <c:v>0.23900462125570868</c:v>
                </c:pt>
                <c:pt idx="26">
                  <c:v>0.12938856240666666</c:v>
                </c:pt>
                <c:pt idx="27">
                  <c:v>0.14756879730679076</c:v>
                </c:pt>
                <c:pt idx="28">
                  <c:v>0.21220685132421088</c:v>
                </c:pt>
                <c:pt idx="29">
                  <c:v>0.20008652176214947</c:v>
                </c:pt>
                <c:pt idx="30">
                  <c:v>0.19357928419122866</c:v>
                </c:pt>
                <c:pt idx="31">
                  <c:v>0.15851863309796227</c:v>
                </c:pt>
                <c:pt idx="32">
                  <c:v>0.13283169709037548</c:v>
                </c:pt>
                <c:pt idx="33">
                  <c:v>0.14421080637916084</c:v>
                </c:pt>
                <c:pt idx="34">
                  <c:v>0.17303743082951958</c:v>
                </c:pt>
                <c:pt idx="35">
                  <c:v>0.14982119280555983</c:v>
                </c:pt>
                <c:pt idx="36">
                  <c:v>0.19913498184151862</c:v>
                </c:pt>
                <c:pt idx="37">
                  <c:v>0.14542824385944958</c:v>
                </c:pt>
                <c:pt idx="38">
                  <c:v>0.11252032966508697</c:v>
                </c:pt>
                <c:pt idx="39">
                  <c:v>0.14114272239862702</c:v>
                </c:pt>
                <c:pt idx="40">
                  <c:v>0.13538452234803358</c:v>
                </c:pt>
                <c:pt idx="41">
                  <c:v>8.8623966061434814E-2</c:v>
                </c:pt>
                <c:pt idx="42">
                  <c:v>0.14086272799907948</c:v>
                </c:pt>
                <c:pt idx="43">
                  <c:v>0.17320264020390969</c:v>
                </c:pt>
                <c:pt idx="44">
                  <c:v>0.13741213322803303</c:v>
                </c:pt>
                <c:pt idx="45">
                  <c:v>0.13082363636473771</c:v>
                </c:pt>
                <c:pt idx="46">
                  <c:v>0.1106339353011266</c:v>
                </c:pt>
                <c:pt idx="47">
                  <c:v>0.10531456719365255</c:v>
                </c:pt>
                <c:pt idx="48">
                  <c:v>0.13508008225280335</c:v>
                </c:pt>
                <c:pt idx="49">
                  <c:v>0.13313452863164552</c:v>
                </c:pt>
                <c:pt idx="50">
                  <c:v>0.10721025753003467</c:v>
                </c:pt>
                <c:pt idx="51">
                  <c:v>9.6118803478708076E-2</c:v>
                </c:pt>
                <c:pt idx="52">
                  <c:v>9.7443596978936259E-2</c:v>
                </c:pt>
                <c:pt idx="53">
                  <c:v>0.1134925533801095</c:v>
                </c:pt>
                <c:pt idx="54">
                  <c:v>0.13447562256843429</c:v>
                </c:pt>
                <c:pt idx="55">
                  <c:v>0.1087243846764744</c:v>
                </c:pt>
                <c:pt idx="56">
                  <c:v>0.14105568347240285</c:v>
                </c:pt>
                <c:pt idx="57">
                  <c:v>0.11471302646117308</c:v>
                </c:pt>
                <c:pt idx="58">
                  <c:v>0.12949766570700072</c:v>
                </c:pt>
                <c:pt idx="59">
                  <c:v>0.10539100373637939</c:v>
                </c:pt>
                <c:pt idx="60">
                  <c:v>0.1172132525128964</c:v>
                </c:pt>
                <c:pt idx="61">
                  <c:v>0.11523231403997385</c:v>
                </c:pt>
                <c:pt idx="62">
                  <c:v>8.6695960505081202E-2</c:v>
                </c:pt>
                <c:pt idx="63">
                  <c:v>9.9852058558716525E-2</c:v>
                </c:pt>
                <c:pt idx="64">
                  <c:v>9.8011812569776244E-2</c:v>
                </c:pt>
                <c:pt idx="65">
                  <c:v>0.15551706886379341</c:v>
                </c:pt>
                <c:pt idx="66">
                  <c:v>0.11093790583562853</c:v>
                </c:pt>
                <c:pt idx="67">
                  <c:v>0.13093599312280294</c:v>
                </c:pt>
                <c:pt idx="68">
                  <c:v>0.10937710609202453</c:v>
                </c:pt>
                <c:pt idx="69">
                  <c:v>0.11211223809855098</c:v>
                </c:pt>
                <c:pt idx="70">
                  <c:v>0.11890227989788982</c:v>
                </c:pt>
                <c:pt idx="71">
                  <c:v>7.303812118855621E-2</c:v>
                </c:pt>
                <c:pt idx="72">
                  <c:v>0.10831378617650594</c:v>
                </c:pt>
                <c:pt idx="73">
                  <c:v>0.12175981277737043</c:v>
                </c:pt>
                <c:pt idx="74">
                  <c:v>9.4555847160752285E-2</c:v>
                </c:pt>
                <c:pt idx="75">
                  <c:v>6.7034201742893984E-2</c:v>
                </c:pt>
                <c:pt idx="76">
                  <c:v>6.6434911097701513E-2</c:v>
                </c:pt>
                <c:pt idx="77">
                  <c:v>6.4475506915643299E-2</c:v>
                </c:pt>
                <c:pt idx="78">
                  <c:v>7.7636959910751355E-2</c:v>
                </c:pt>
                <c:pt idx="79">
                  <c:v>7.6400458221452014E-2</c:v>
                </c:pt>
                <c:pt idx="80">
                  <c:v>7.9668015544012885E-2</c:v>
                </c:pt>
                <c:pt idx="81">
                  <c:v>7.48246268453263E-2</c:v>
                </c:pt>
                <c:pt idx="82">
                  <c:v>5.6615634788825787E-2</c:v>
                </c:pt>
                <c:pt idx="83">
                  <c:v>8.4747969467634382E-2</c:v>
                </c:pt>
                <c:pt idx="84">
                  <c:v>5.3340267145984735E-2</c:v>
                </c:pt>
                <c:pt idx="85">
                  <c:v>7.621059902992966E-2</c:v>
                </c:pt>
                <c:pt idx="86">
                  <c:v>8.051781040140199E-2</c:v>
                </c:pt>
                <c:pt idx="87">
                  <c:v>7.9600950850106669E-2</c:v>
                </c:pt>
                <c:pt idx="88">
                  <c:v>7.377639835856617E-2</c:v>
                </c:pt>
                <c:pt idx="89">
                  <c:v>6.7026499128329808E-2</c:v>
                </c:pt>
                <c:pt idx="90">
                  <c:v>6.528338470771794E-2</c:v>
                </c:pt>
                <c:pt idx="91">
                  <c:v>5.2430185362883582E-2</c:v>
                </c:pt>
                <c:pt idx="92">
                  <c:v>7.507512902656259E-2</c:v>
                </c:pt>
                <c:pt idx="93">
                  <c:v>4.7589418176068925E-2</c:v>
                </c:pt>
                <c:pt idx="94">
                  <c:v>6.9686587392871549E-2</c:v>
                </c:pt>
                <c:pt idx="95">
                  <c:v>9.6235696118664962E-2</c:v>
                </c:pt>
                <c:pt idx="96">
                  <c:v>7.7867469061885686E-2</c:v>
                </c:pt>
                <c:pt idx="97">
                  <c:v>5.1096340869400465E-2</c:v>
                </c:pt>
                <c:pt idx="98">
                  <c:v>7.1841157954350199E-2</c:v>
                </c:pt>
                <c:pt idx="99">
                  <c:v>6.9888310907183199E-2</c:v>
                </c:pt>
                <c:pt idx="100">
                  <c:v>5.45760595838835E-2</c:v>
                </c:pt>
                <c:pt idx="101">
                  <c:v>5.8045008429680432E-2</c:v>
                </c:pt>
                <c:pt idx="102">
                  <c:v>5.6897849769902129E-2</c:v>
                </c:pt>
                <c:pt idx="103">
                  <c:v>6.0453075979371142E-2</c:v>
                </c:pt>
                <c:pt idx="104">
                  <c:v>4.9937630171478266E-2</c:v>
                </c:pt>
                <c:pt idx="105">
                  <c:v>5.8369660472190874E-2</c:v>
                </c:pt>
                <c:pt idx="106">
                  <c:v>9.8593682191323709E-2</c:v>
                </c:pt>
                <c:pt idx="107">
                  <c:v>6.2901802430131201E-2</c:v>
                </c:pt>
                <c:pt idx="108">
                  <c:v>6.098085983854247E-2</c:v>
                </c:pt>
                <c:pt idx="109">
                  <c:v>5.0218629476121802E-2</c:v>
                </c:pt>
                <c:pt idx="110">
                  <c:v>6.1863739606259273E-2</c:v>
                </c:pt>
                <c:pt idx="111">
                  <c:v>5.1858099241256103E-2</c:v>
                </c:pt>
                <c:pt idx="112">
                  <c:v>7.3883396827927703E-2</c:v>
                </c:pt>
                <c:pt idx="113">
                  <c:v>5.2911767277138644E-2</c:v>
                </c:pt>
                <c:pt idx="114">
                  <c:v>7.733633795055149E-2</c:v>
                </c:pt>
                <c:pt idx="115">
                  <c:v>5.2434041528942286E-2</c:v>
                </c:pt>
                <c:pt idx="116">
                  <c:v>5.7257924344769819E-2</c:v>
                </c:pt>
                <c:pt idx="117">
                  <c:v>5.9289724698281143E-2</c:v>
                </c:pt>
                <c:pt idx="118">
                  <c:v>4.5989587950195289E-2</c:v>
                </c:pt>
                <c:pt idx="119">
                  <c:v>5.5262473169965756E-2</c:v>
                </c:pt>
                <c:pt idx="120">
                  <c:v>4.4547616210636583E-2</c:v>
                </c:pt>
                <c:pt idx="121">
                  <c:v>6.3090924248699901E-2</c:v>
                </c:pt>
                <c:pt idx="122">
                  <c:v>8.0451303521377568E-2</c:v>
                </c:pt>
                <c:pt idx="123">
                  <c:v>4.9516845062305664E-2</c:v>
                </c:pt>
                <c:pt idx="124">
                  <c:v>5.4211828649765037E-2</c:v>
                </c:pt>
                <c:pt idx="125">
                  <c:v>5.3872316396593345E-2</c:v>
                </c:pt>
                <c:pt idx="126">
                  <c:v>4.5057307863370893E-2</c:v>
                </c:pt>
                <c:pt idx="127">
                  <c:v>5.0972009966788724E-2</c:v>
                </c:pt>
                <c:pt idx="128">
                  <c:v>4.2087869505126073E-2</c:v>
                </c:pt>
                <c:pt idx="129">
                  <c:v>5.5197081409898603E-2</c:v>
                </c:pt>
                <c:pt idx="130">
                  <c:v>6.0170946103164806E-2</c:v>
                </c:pt>
                <c:pt idx="131">
                  <c:v>4.355501742260777E-2</c:v>
                </c:pt>
                <c:pt idx="132">
                  <c:v>4.646928357560709E-2</c:v>
                </c:pt>
                <c:pt idx="133">
                  <c:v>3.517853346794015E-2</c:v>
                </c:pt>
                <c:pt idx="134">
                  <c:v>4.4435208901987287E-2</c:v>
                </c:pt>
                <c:pt idx="135">
                  <c:v>4.5612177040979897E-2</c:v>
                </c:pt>
                <c:pt idx="136">
                  <c:v>3.821084862826598E-2</c:v>
                </c:pt>
                <c:pt idx="137">
                  <c:v>3.122949985547387E-2</c:v>
                </c:pt>
                <c:pt idx="138">
                  <c:v>4.4911719395357937E-2</c:v>
                </c:pt>
                <c:pt idx="139">
                  <c:v>3.695264622108882E-2</c:v>
                </c:pt>
                <c:pt idx="140">
                  <c:v>4.9653382250329656E-2</c:v>
                </c:pt>
                <c:pt idx="141">
                  <c:v>3.1919306248907944E-2</c:v>
                </c:pt>
                <c:pt idx="142">
                  <c:v>3.833049496674281E-2</c:v>
                </c:pt>
                <c:pt idx="143">
                  <c:v>3.4091989562644871E-2</c:v>
                </c:pt>
                <c:pt idx="144">
                  <c:v>2.3506573041053781E-2</c:v>
                </c:pt>
                <c:pt idx="145">
                  <c:v>2.3548775147052083E-2</c:v>
                </c:pt>
                <c:pt idx="146">
                  <c:v>2.5064530787324717E-2</c:v>
                </c:pt>
                <c:pt idx="147">
                  <c:v>3.8433352539258017E-2</c:v>
                </c:pt>
                <c:pt idx="148">
                  <c:v>5.1044475292694728E-2</c:v>
                </c:pt>
                <c:pt idx="149">
                  <c:v>3.5857444271840025E-2</c:v>
                </c:pt>
                <c:pt idx="150">
                  <c:v>3.1343195633136221E-2</c:v>
                </c:pt>
                <c:pt idx="151">
                  <c:v>3.4874058690295098E-2</c:v>
                </c:pt>
                <c:pt idx="152">
                  <c:v>3.525280144766383E-2</c:v>
                </c:pt>
                <c:pt idx="153">
                  <c:v>2.5758456131368179E-2</c:v>
                </c:pt>
                <c:pt idx="154">
                  <c:v>3.3633952819675558E-2</c:v>
                </c:pt>
                <c:pt idx="155">
                  <c:v>3.3461231799405196E-2</c:v>
                </c:pt>
                <c:pt idx="156">
                  <c:v>1.4828444224137375E-2</c:v>
                </c:pt>
                <c:pt idx="157">
                  <c:v>2.6274817136610923E-2</c:v>
                </c:pt>
                <c:pt idx="158">
                  <c:v>3.1917165688383139E-2</c:v>
                </c:pt>
                <c:pt idx="159">
                  <c:v>2.7074326914709075E-2</c:v>
                </c:pt>
                <c:pt idx="160">
                  <c:v>3.1654454490509076E-2</c:v>
                </c:pt>
                <c:pt idx="161">
                  <c:v>3.5099585047256007E-2</c:v>
                </c:pt>
                <c:pt idx="162">
                  <c:v>2.9368652282540098E-2</c:v>
                </c:pt>
                <c:pt idx="163">
                  <c:v>3.2094925299045424E-2</c:v>
                </c:pt>
                <c:pt idx="164">
                  <c:v>1.2130341733899926E-2</c:v>
                </c:pt>
                <c:pt idx="165">
                  <c:v>2.4669255916654975E-2</c:v>
                </c:pt>
                <c:pt idx="166">
                  <c:v>1.8239815853488169E-2</c:v>
                </c:pt>
                <c:pt idx="167">
                  <c:v>1.4633257744848275E-2</c:v>
                </c:pt>
                <c:pt idx="168">
                  <c:v>1.4752773318694628E-2</c:v>
                </c:pt>
                <c:pt idx="169">
                  <c:v>2.0198535712044864E-2</c:v>
                </c:pt>
                <c:pt idx="170">
                  <c:v>1.4370557660157376E-2</c:v>
                </c:pt>
                <c:pt idx="171">
                  <c:v>1.3612858987126426E-2</c:v>
                </c:pt>
                <c:pt idx="172">
                  <c:v>2.0508691024557588E-2</c:v>
                </c:pt>
                <c:pt idx="173">
                  <c:v>2.6607909141033663E-2</c:v>
                </c:pt>
                <c:pt idx="174">
                  <c:v>1.1170040080595581E-2</c:v>
                </c:pt>
                <c:pt idx="175">
                  <c:v>1.693558767097687E-2</c:v>
                </c:pt>
                <c:pt idx="176">
                  <c:v>1.8053601808815455E-2</c:v>
                </c:pt>
                <c:pt idx="177">
                  <c:v>6.0531018923662234E-3</c:v>
                </c:pt>
                <c:pt idx="178">
                  <c:v>2.4511749299776342E-2</c:v>
                </c:pt>
                <c:pt idx="179">
                  <c:v>1.7005855899973315E-2</c:v>
                </c:pt>
                <c:pt idx="180">
                  <c:v>1.5081729345347863E-2</c:v>
                </c:pt>
                <c:pt idx="181">
                  <c:v>1.1112879276494125E-2</c:v>
                </c:pt>
                <c:pt idx="182">
                  <c:v>1.7867281321883612E-2</c:v>
                </c:pt>
                <c:pt idx="183">
                  <c:v>1.1108824799944626E-2</c:v>
                </c:pt>
                <c:pt idx="184">
                  <c:v>1.1108824799944626E-2</c:v>
                </c:pt>
                <c:pt idx="185">
                  <c:v>1.1108824799944626E-2</c:v>
                </c:pt>
                <c:pt idx="186">
                  <c:v>1.0300567360946667E-2</c:v>
                </c:pt>
                <c:pt idx="187">
                  <c:v>9.4997935264606991E-3</c:v>
                </c:pt>
                <c:pt idx="188">
                  <c:v>8.2562454294667909E-3</c:v>
                </c:pt>
                <c:pt idx="189">
                  <c:v>6.9801641986607897E-3</c:v>
                </c:pt>
                <c:pt idx="190">
                  <c:v>5.4546896162896413E-3</c:v>
                </c:pt>
                <c:pt idx="191">
                  <c:v>3.4586409997870338E-3</c:v>
                </c:pt>
                <c:pt idx="192">
                  <c:v>2.4185789970448185E-3</c:v>
                </c:pt>
                <c:pt idx="193">
                  <c:v>1.2128462323415929E-3</c:v>
                </c:pt>
                <c:pt idx="194">
                  <c:v>0</c:v>
                </c:pt>
                <c:pt idx="19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C6-4B82-B141-BEC30190A93D}"/>
            </c:ext>
          </c:extLst>
        </c:ser>
        <c:ser>
          <c:idx val="1"/>
          <c:order val="1"/>
          <c:tx>
            <c:strRef>
              <c:f>Sheet1!$AA$1</c:f>
              <c:strCache>
                <c:ptCount val="1"/>
                <c:pt idx="0">
                  <c:v>Freshwater Proportion of Scaled Score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Sheet1!$A$2:$A$198</c:f>
              <c:strCache>
                <c:ptCount val="196"/>
                <c:pt idx="0">
                  <c:v>BC17</c:v>
                </c:pt>
                <c:pt idx="1">
                  <c:v>BC10</c:v>
                </c:pt>
                <c:pt idx="2">
                  <c:v>BC15</c:v>
                </c:pt>
                <c:pt idx="3">
                  <c:v>NC01</c:v>
                </c:pt>
                <c:pt idx="4">
                  <c:v>BC11</c:v>
                </c:pt>
                <c:pt idx="5">
                  <c:v>WBBio_NE_ST_1</c:v>
                </c:pt>
                <c:pt idx="6">
                  <c:v>WBBio_NE_ST_2</c:v>
                </c:pt>
                <c:pt idx="7">
                  <c:v>WBBio_NE_ST_3</c:v>
                </c:pt>
                <c:pt idx="8">
                  <c:v>NC06</c:v>
                </c:pt>
                <c:pt idx="9">
                  <c:v>BC09</c:v>
                </c:pt>
                <c:pt idx="10">
                  <c:v>VI02</c:v>
                </c:pt>
                <c:pt idx="11">
                  <c:v>BC24</c:v>
                </c:pt>
                <c:pt idx="12">
                  <c:v>Clarke Lake</c:v>
                </c:pt>
                <c:pt idx="13">
                  <c:v>VI09</c:v>
                </c:pt>
                <c:pt idx="14">
                  <c:v>NC05</c:v>
                </c:pt>
                <c:pt idx="15">
                  <c:v>BC08</c:v>
                </c:pt>
                <c:pt idx="16">
                  <c:v>BC13</c:v>
                </c:pt>
                <c:pt idx="17">
                  <c:v>VI05</c:v>
                </c:pt>
                <c:pt idx="18">
                  <c:v>VI04</c:v>
                </c:pt>
                <c:pt idx="19">
                  <c:v>WBBio_NW_ST</c:v>
                </c:pt>
                <c:pt idx="20">
                  <c:v>VI06</c:v>
                </c:pt>
                <c:pt idx="21">
                  <c:v>PC22</c:v>
                </c:pt>
                <c:pt idx="22">
                  <c:v>PC01</c:v>
                </c:pt>
                <c:pt idx="23">
                  <c:v>Pebble Creek</c:v>
                </c:pt>
                <c:pt idx="24">
                  <c:v>BC25</c:v>
                </c:pt>
                <c:pt idx="25">
                  <c:v>PC02</c:v>
                </c:pt>
                <c:pt idx="26">
                  <c:v>VI07</c:v>
                </c:pt>
                <c:pt idx="27">
                  <c:v>BC21</c:v>
                </c:pt>
                <c:pt idx="28">
                  <c:v>PC04</c:v>
                </c:pt>
                <c:pt idx="29">
                  <c:v>PC11</c:v>
                </c:pt>
                <c:pt idx="30">
                  <c:v>Jedney Area</c:v>
                </c:pt>
                <c:pt idx="31">
                  <c:v>SI18</c:v>
                </c:pt>
                <c:pt idx="32">
                  <c:v>BC23</c:v>
                </c:pt>
                <c:pt idx="33">
                  <c:v>BC26</c:v>
                </c:pt>
                <c:pt idx="34">
                  <c:v>PC07</c:v>
                </c:pt>
                <c:pt idx="35">
                  <c:v>Lower Falls - storage for 16 hrs of generation</c:v>
                </c:pt>
                <c:pt idx="36">
                  <c:v>PC05</c:v>
                </c:pt>
                <c:pt idx="37">
                  <c:v>Sleeman - storage for 16 hrs of generation</c:v>
                </c:pt>
                <c:pt idx="38">
                  <c:v>Mt. Cayley</c:v>
                </c:pt>
                <c:pt idx="39">
                  <c:v>BC19</c:v>
                </c:pt>
                <c:pt idx="40">
                  <c:v>Meager Creek</c:v>
                </c:pt>
                <c:pt idx="41">
                  <c:v>ROR_5101</c:v>
                </c:pt>
                <c:pt idx="42">
                  <c:v>Quimper - Bulson</c:v>
                </c:pt>
                <c:pt idx="43">
                  <c:v>PC06</c:v>
                </c:pt>
                <c:pt idx="44">
                  <c:v>WBBio_CB_RR</c:v>
                </c:pt>
                <c:pt idx="45">
                  <c:v>South_Creek-8hr</c:v>
                </c:pt>
                <c:pt idx="46">
                  <c:v>NC12</c:v>
                </c:pt>
                <c:pt idx="47">
                  <c:v>NC02</c:v>
                </c:pt>
                <c:pt idx="48">
                  <c:v>BC20</c:v>
                </c:pt>
                <c:pt idx="49">
                  <c:v>PC13</c:v>
                </c:pt>
                <c:pt idx="50">
                  <c:v>Nass_River-8hr</c:v>
                </c:pt>
                <c:pt idx="51">
                  <c:v>Upper Deserted - Un-named</c:v>
                </c:pt>
                <c:pt idx="52">
                  <c:v>NC09</c:v>
                </c:pt>
                <c:pt idx="53">
                  <c:v>PC47</c:v>
                </c:pt>
                <c:pt idx="54">
                  <c:v>PC23</c:v>
                </c:pt>
                <c:pt idx="55">
                  <c:v>Hirsch - storage for 16 hrs of generation</c:v>
                </c:pt>
                <c:pt idx="56">
                  <c:v>PC37</c:v>
                </c:pt>
                <c:pt idx="57">
                  <c:v>Nahatlatch_River-8hr</c:v>
                </c:pt>
                <c:pt idx="58">
                  <c:v>PC24</c:v>
                </c:pt>
                <c:pt idx="59">
                  <c:v>SI01</c:v>
                </c:pt>
                <c:pt idx="60">
                  <c:v>Kinskuch_River-8hr</c:v>
                </c:pt>
                <c:pt idx="61">
                  <c:v>SI15</c:v>
                </c:pt>
                <c:pt idx="62">
                  <c:v>BC22</c:v>
                </c:pt>
                <c:pt idx="63">
                  <c:v>SI13</c:v>
                </c:pt>
                <c:pt idx="64">
                  <c:v>SI02</c:v>
                </c:pt>
                <c:pt idx="65">
                  <c:v>SI31</c:v>
                </c:pt>
                <c:pt idx="66">
                  <c:v>Upper Clore - Storage for 16 hrs of generation</c:v>
                </c:pt>
                <c:pt idx="67">
                  <c:v>PC08</c:v>
                </c:pt>
                <c:pt idx="68">
                  <c:v>SI03</c:v>
                </c:pt>
                <c:pt idx="69">
                  <c:v>PC12</c:v>
                </c:pt>
                <c:pt idx="70">
                  <c:v>PC09</c:v>
                </c:pt>
                <c:pt idx="71">
                  <c:v>Elaho_River-8hr</c:v>
                </c:pt>
                <c:pt idx="72">
                  <c:v>PC10</c:v>
                </c:pt>
                <c:pt idx="73">
                  <c:v>SI33</c:v>
                </c:pt>
                <c:pt idx="74">
                  <c:v>Solar36063</c:v>
                </c:pt>
                <c:pt idx="75">
                  <c:v>SI28</c:v>
                </c:pt>
                <c:pt idx="76">
                  <c:v>Squamish_River_B-8hr</c:v>
                </c:pt>
                <c:pt idx="77">
                  <c:v>Knight - Fourth</c:v>
                </c:pt>
                <c:pt idx="78">
                  <c:v>SI30</c:v>
                </c:pt>
                <c:pt idx="79">
                  <c:v>SI29</c:v>
                </c:pt>
                <c:pt idx="80">
                  <c:v>PC17</c:v>
                </c:pt>
                <c:pt idx="81">
                  <c:v>Upper Vancouver - Lower Vancouver</c:v>
                </c:pt>
                <c:pt idx="82">
                  <c:v>Anudol_Creek_A-8hr</c:v>
                </c:pt>
                <c:pt idx="83">
                  <c:v>PC26</c:v>
                </c:pt>
                <c:pt idx="84">
                  <c:v>NC07</c:v>
                </c:pt>
                <c:pt idx="85">
                  <c:v>PC21</c:v>
                </c:pt>
                <c:pt idx="86">
                  <c:v>SI10</c:v>
                </c:pt>
                <c:pt idx="87">
                  <c:v>PC14</c:v>
                </c:pt>
                <c:pt idx="88">
                  <c:v>PC19</c:v>
                </c:pt>
                <c:pt idx="89">
                  <c:v>Solar70982</c:v>
                </c:pt>
                <c:pt idx="90">
                  <c:v>SI27</c:v>
                </c:pt>
                <c:pt idx="91">
                  <c:v>Kenyon - Stave</c:v>
                </c:pt>
                <c:pt idx="92">
                  <c:v>PC16</c:v>
                </c:pt>
                <c:pt idx="93">
                  <c:v>VI10</c:v>
                </c:pt>
                <c:pt idx="94">
                  <c:v>PC25</c:v>
                </c:pt>
                <c:pt idx="95">
                  <c:v>SI14</c:v>
                </c:pt>
                <c:pt idx="96">
                  <c:v>Solar72534</c:v>
                </c:pt>
                <c:pt idx="97">
                  <c:v>NC08</c:v>
                </c:pt>
                <c:pt idx="98">
                  <c:v>PC39</c:v>
                </c:pt>
                <c:pt idx="99">
                  <c:v>PC28</c:v>
                </c:pt>
                <c:pt idx="100">
                  <c:v>SI23</c:v>
                </c:pt>
                <c:pt idx="101">
                  <c:v>SI19</c:v>
                </c:pt>
                <c:pt idx="102">
                  <c:v>NC11</c:v>
                </c:pt>
                <c:pt idx="103">
                  <c:v>SI20</c:v>
                </c:pt>
                <c:pt idx="104">
                  <c:v>Upper Misery - Lower Misery</c:v>
                </c:pt>
                <c:pt idx="105">
                  <c:v>Solar71774</c:v>
                </c:pt>
                <c:pt idx="106">
                  <c:v>PC36</c:v>
                </c:pt>
                <c:pt idx="107">
                  <c:v>SI04</c:v>
                </c:pt>
                <c:pt idx="108">
                  <c:v>BC18</c:v>
                </c:pt>
                <c:pt idx="109">
                  <c:v>Ball_Creek-8hr</c:v>
                </c:pt>
                <c:pt idx="110">
                  <c:v>Solar37703</c:v>
                </c:pt>
                <c:pt idx="111">
                  <c:v>NC10</c:v>
                </c:pt>
                <c:pt idx="112">
                  <c:v>PC20</c:v>
                </c:pt>
                <c:pt idx="113">
                  <c:v>Solar36074</c:v>
                </c:pt>
                <c:pt idx="114">
                  <c:v>SI12</c:v>
                </c:pt>
                <c:pt idx="115">
                  <c:v>Solar36893</c:v>
                </c:pt>
                <c:pt idx="116">
                  <c:v>PC15</c:v>
                </c:pt>
                <c:pt idx="117">
                  <c:v>Solar70986</c:v>
                </c:pt>
                <c:pt idx="118">
                  <c:v>VI15</c:v>
                </c:pt>
                <c:pt idx="119">
                  <c:v>Solar65978</c:v>
                </c:pt>
                <c:pt idx="120">
                  <c:v>Bookhout 2</c:v>
                </c:pt>
                <c:pt idx="121">
                  <c:v>PC43</c:v>
                </c:pt>
                <c:pt idx="122">
                  <c:v>Solar72543</c:v>
                </c:pt>
                <c:pt idx="123">
                  <c:v>SI06</c:v>
                </c:pt>
                <c:pt idx="124">
                  <c:v>SI09</c:v>
                </c:pt>
                <c:pt idx="125">
                  <c:v>Solar37708</c:v>
                </c:pt>
                <c:pt idx="126">
                  <c:v>Solar36070</c:v>
                </c:pt>
                <c:pt idx="127">
                  <c:v>Solar70989</c:v>
                </c:pt>
                <c:pt idx="128">
                  <c:v>Solar36073</c:v>
                </c:pt>
                <c:pt idx="129">
                  <c:v>Solar37706</c:v>
                </c:pt>
                <c:pt idx="130">
                  <c:v>SI38</c:v>
                </c:pt>
                <c:pt idx="131">
                  <c:v>SI08</c:v>
                </c:pt>
                <c:pt idx="132">
                  <c:v>Solar38465</c:v>
                </c:pt>
                <c:pt idx="133">
                  <c:v>More_Creek-8hr</c:v>
                </c:pt>
                <c:pt idx="134">
                  <c:v>Solar37705</c:v>
                </c:pt>
                <c:pt idx="135">
                  <c:v>PC34</c:v>
                </c:pt>
                <c:pt idx="136">
                  <c:v>Siwash_Creek-8hr</c:v>
                </c:pt>
                <c:pt idx="137">
                  <c:v>SI11</c:v>
                </c:pt>
                <c:pt idx="138">
                  <c:v>Solar70993</c:v>
                </c:pt>
                <c:pt idx="139">
                  <c:v>Solar36894</c:v>
                </c:pt>
                <c:pt idx="140">
                  <c:v>PC48</c:v>
                </c:pt>
                <c:pt idx="141">
                  <c:v>Solar35274</c:v>
                </c:pt>
                <c:pt idx="142">
                  <c:v>Solar37707</c:v>
                </c:pt>
                <c:pt idx="143">
                  <c:v>SI05</c:v>
                </c:pt>
                <c:pt idx="144">
                  <c:v>Freda_Creek-8hr</c:v>
                </c:pt>
                <c:pt idx="145">
                  <c:v>VI08</c:v>
                </c:pt>
                <c:pt idx="146">
                  <c:v>Lakelse Lake</c:v>
                </c:pt>
                <c:pt idx="147">
                  <c:v>Solar69284</c:v>
                </c:pt>
                <c:pt idx="148">
                  <c:v>MSW 3</c:v>
                </c:pt>
                <c:pt idx="149">
                  <c:v>Solar78421</c:v>
                </c:pt>
                <c:pt idx="150">
                  <c:v>PC41</c:v>
                </c:pt>
                <c:pt idx="151">
                  <c:v>PC42</c:v>
                </c:pt>
                <c:pt idx="152">
                  <c:v>PC40</c:v>
                </c:pt>
                <c:pt idx="153">
                  <c:v>Silverhope_Creek-8hr</c:v>
                </c:pt>
                <c:pt idx="154">
                  <c:v>Solar70988</c:v>
                </c:pt>
                <c:pt idx="155">
                  <c:v>Solar70164</c:v>
                </c:pt>
                <c:pt idx="156">
                  <c:v>Zymoetz_River-8hr</c:v>
                </c:pt>
                <c:pt idx="157">
                  <c:v>PC38</c:v>
                </c:pt>
                <c:pt idx="158">
                  <c:v>SI37</c:v>
                </c:pt>
                <c:pt idx="159">
                  <c:v>Solar67498</c:v>
                </c:pt>
                <c:pt idx="160">
                  <c:v>Solar69283</c:v>
                </c:pt>
                <c:pt idx="161">
                  <c:v>Solar79910</c:v>
                </c:pt>
                <c:pt idx="162">
                  <c:v>PC18</c:v>
                </c:pt>
                <c:pt idx="163">
                  <c:v>PC27</c:v>
                </c:pt>
                <c:pt idx="164">
                  <c:v>MSW 1</c:v>
                </c:pt>
                <c:pt idx="165">
                  <c:v>Solar70167</c:v>
                </c:pt>
                <c:pt idx="166">
                  <c:v>Solar35279</c:v>
                </c:pt>
                <c:pt idx="167">
                  <c:v>VI11</c:v>
                </c:pt>
                <c:pt idx="168">
                  <c:v>VI12</c:v>
                </c:pt>
                <c:pt idx="169">
                  <c:v>Solar62049</c:v>
                </c:pt>
                <c:pt idx="170">
                  <c:v>VI14</c:v>
                </c:pt>
                <c:pt idx="171">
                  <c:v>Sloquet Creek</c:v>
                </c:pt>
                <c:pt idx="172">
                  <c:v>Solar70163</c:v>
                </c:pt>
                <c:pt idx="173">
                  <c:v>Canoe Creek - Valemount</c:v>
                </c:pt>
                <c:pt idx="174">
                  <c:v>VI13</c:v>
                </c:pt>
                <c:pt idx="175">
                  <c:v>Solar76979</c:v>
                </c:pt>
                <c:pt idx="176">
                  <c:v>PC46</c:v>
                </c:pt>
                <c:pt idx="177">
                  <c:v>Nimpkish_River_B-8hr</c:v>
                </c:pt>
                <c:pt idx="178">
                  <c:v>Solar71004</c:v>
                </c:pt>
                <c:pt idx="179">
                  <c:v>PC29</c:v>
                </c:pt>
                <c:pt idx="180">
                  <c:v>ROR_5018</c:v>
                </c:pt>
                <c:pt idx="181">
                  <c:v>SI22</c:v>
                </c:pt>
                <c:pt idx="182">
                  <c:v>Solar73988</c:v>
                </c:pt>
                <c:pt idx="183">
                  <c:v>WBBio_LM_RR</c:v>
                </c:pt>
                <c:pt idx="184">
                  <c:v>WBBio_LM_ST_1</c:v>
                </c:pt>
                <c:pt idx="185">
                  <c:v>WBBio_LM_ST_2</c:v>
                </c:pt>
                <c:pt idx="186">
                  <c:v>ROR_5332</c:v>
                </c:pt>
                <c:pt idx="187">
                  <c:v>MSW 2</c:v>
                </c:pt>
                <c:pt idx="188">
                  <c:v>PC32</c:v>
                </c:pt>
                <c:pt idx="189">
                  <c:v>NC13</c:v>
                </c:pt>
                <c:pt idx="190">
                  <c:v>WBBio_WPR_PL</c:v>
                </c:pt>
                <c:pt idx="191">
                  <c:v>VI_Batt_1</c:v>
                </c:pt>
                <c:pt idx="192">
                  <c:v>Spuzzum_Creek-8hr</c:v>
                </c:pt>
                <c:pt idx="193">
                  <c:v>Chemainus_River-8hr</c:v>
                </c:pt>
                <c:pt idx="194">
                  <c:v>WBBio_SP_RR</c:v>
                </c:pt>
                <c:pt idx="195">
                  <c:v>WBBio_SP_ST</c:v>
                </c:pt>
              </c:strCache>
            </c:strRef>
          </c:cat>
          <c:val>
            <c:numRef>
              <c:f>Sheet1!$AA$2:$AA$198</c:f>
              <c:numCache>
                <c:formatCode>0.0000</c:formatCode>
                <c:ptCount val="197"/>
                <c:pt idx="0">
                  <c:v>0.51948432868896899</c:v>
                </c:pt>
                <c:pt idx="1">
                  <c:v>0.50942426393822815</c:v>
                </c:pt>
                <c:pt idx="2">
                  <c:v>0.49389189073579071</c:v>
                </c:pt>
                <c:pt idx="3">
                  <c:v>0.46128845564468179</c:v>
                </c:pt>
                <c:pt idx="4">
                  <c:v>0.40075635315729896</c:v>
                </c:pt>
                <c:pt idx="5">
                  <c:v>0.34017120987448418</c:v>
                </c:pt>
                <c:pt idx="6">
                  <c:v>0.34017120987448418</c:v>
                </c:pt>
                <c:pt idx="7">
                  <c:v>0.34017120987448418</c:v>
                </c:pt>
                <c:pt idx="8">
                  <c:v>0.34029508046021045</c:v>
                </c:pt>
                <c:pt idx="9">
                  <c:v>0.36517354391092854</c:v>
                </c:pt>
                <c:pt idx="10">
                  <c:v>0.44528755749793725</c:v>
                </c:pt>
                <c:pt idx="11">
                  <c:v>0.30154086689838833</c:v>
                </c:pt>
                <c:pt idx="12">
                  <c:v>0.31190375064832804</c:v>
                </c:pt>
                <c:pt idx="13">
                  <c:v>0.39141305078668043</c:v>
                </c:pt>
                <c:pt idx="14">
                  <c:v>0.30425708906538429</c:v>
                </c:pt>
                <c:pt idx="15">
                  <c:v>0.35013702602375402</c:v>
                </c:pt>
                <c:pt idx="16">
                  <c:v>0.35099048277729572</c:v>
                </c:pt>
                <c:pt idx="17">
                  <c:v>0.38428968679948938</c:v>
                </c:pt>
                <c:pt idx="18">
                  <c:v>0.37845787423768734</c:v>
                </c:pt>
                <c:pt idx="19">
                  <c:v>0.37007636486507783</c:v>
                </c:pt>
                <c:pt idx="20">
                  <c:v>0.36790000419548546</c:v>
                </c:pt>
                <c:pt idx="21">
                  <c:v>0.18589439444261871</c:v>
                </c:pt>
                <c:pt idx="22">
                  <c:v>0.21937138291798194</c:v>
                </c:pt>
                <c:pt idx="23">
                  <c:v>0.25352083408700299</c:v>
                </c:pt>
                <c:pt idx="24">
                  <c:v>0.2126018259269756</c:v>
                </c:pt>
                <c:pt idx="25">
                  <c:v>0.20365167710058338</c:v>
                </c:pt>
                <c:pt idx="26">
                  <c:v>0.30106286556651224</c:v>
                </c:pt>
                <c:pt idx="27">
                  <c:v>0.22395621656120379</c:v>
                </c:pt>
                <c:pt idx="28">
                  <c:v>0.13263991368340958</c:v>
                </c:pt>
                <c:pt idx="29">
                  <c:v>0.14446204344867625</c:v>
                </c:pt>
                <c:pt idx="30">
                  <c:v>0.15024508151309554</c:v>
                </c:pt>
                <c:pt idx="31">
                  <c:v>0.16298334781772783</c:v>
                </c:pt>
                <c:pt idx="32">
                  <c:v>0.18327726808033126</c:v>
                </c:pt>
                <c:pt idx="33">
                  <c:v>0.15699049917022151</c:v>
                </c:pt>
                <c:pt idx="34">
                  <c:v>0.12656816500724319</c:v>
                </c:pt>
                <c:pt idx="35">
                  <c:v>0.14693020497616766</c:v>
                </c:pt>
                <c:pt idx="36">
                  <c:v>9.5358617478763077E-2</c:v>
                </c:pt>
                <c:pt idx="37">
                  <c:v>0.13777636315360303</c:v>
                </c:pt>
                <c:pt idx="38">
                  <c:v>0.16501848120886575</c:v>
                </c:pt>
                <c:pt idx="39">
                  <c:v>0.13353813310285079</c:v>
                </c:pt>
                <c:pt idx="40">
                  <c:v>0.13704229200943804</c:v>
                </c:pt>
                <c:pt idx="41">
                  <c:v>0.17971325108285197</c:v>
                </c:pt>
                <c:pt idx="42">
                  <c:v>0.12704848943550048</c:v>
                </c:pt>
                <c:pt idx="43">
                  <c:v>9.0150380336807973E-2</c:v>
                </c:pt>
                <c:pt idx="44">
                  <c:v>0.12393868867706288</c:v>
                </c:pt>
                <c:pt idx="45">
                  <c:v>0.13005858585968078</c:v>
                </c:pt>
                <c:pt idx="46">
                  <c:v>0.14935368753290773</c:v>
                </c:pt>
                <c:pt idx="47">
                  <c:v>0.15426923347556235</c:v>
                </c:pt>
                <c:pt idx="48">
                  <c:v>0.11357204188569317</c:v>
                </c:pt>
                <c:pt idx="49">
                  <c:v>0.10661810799131778</c:v>
                </c:pt>
                <c:pt idx="50">
                  <c:v>0.13007158077662945</c:v>
                </c:pt>
                <c:pt idx="51">
                  <c:v>0.14043883532145457</c:v>
                </c:pt>
                <c:pt idx="52">
                  <c:v>0.13772610068702495</c:v>
                </c:pt>
                <c:pt idx="53">
                  <c:v>0.11833648864230811</c:v>
                </c:pt>
                <c:pt idx="54">
                  <c:v>9.2539622734296959E-2</c:v>
                </c:pt>
                <c:pt idx="55">
                  <c:v>0.11569226239704564</c:v>
                </c:pt>
                <c:pt idx="56">
                  <c:v>8.2551564152674325E-2</c:v>
                </c:pt>
                <c:pt idx="57">
                  <c:v>0.10821262162837329</c:v>
                </c:pt>
                <c:pt idx="58">
                  <c:v>9.3044582643809562E-2</c:v>
                </c:pt>
                <c:pt idx="59">
                  <c:v>0.11659861649101377</c:v>
                </c:pt>
                <c:pt idx="60">
                  <c:v>0.10119679865375833</c:v>
                </c:pt>
                <c:pt idx="61">
                  <c:v>9.6553999700360507E-2</c:v>
                </c:pt>
                <c:pt idx="62">
                  <c:v>0.1153632760836726</c:v>
                </c:pt>
                <c:pt idx="63">
                  <c:v>0.10049700645541659</c:v>
                </c:pt>
                <c:pt idx="64">
                  <c:v>0.10198727323484673</c:v>
                </c:pt>
                <c:pt idx="65">
                  <c:v>4.4214544929095677E-2</c:v>
                </c:pt>
                <c:pt idx="66">
                  <c:v>8.7620558858691286E-2</c:v>
                </c:pt>
                <c:pt idx="67">
                  <c:v>6.4427473748716199E-2</c:v>
                </c:pt>
                <c:pt idx="68">
                  <c:v>8.5067411245703578E-2</c:v>
                </c:pt>
                <c:pt idx="69">
                  <c:v>7.8011432343575049E-2</c:v>
                </c:pt>
                <c:pt idx="70">
                  <c:v>6.8878392140849037E-2</c:v>
                </c:pt>
                <c:pt idx="71">
                  <c:v>0.11325155186620897</c:v>
                </c:pt>
                <c:pt idx="72">
                  <c:v>7.1756291116540583E-2</c:v>
                </c:pt>
                <c:pt idx="73">
                  <c:v>5.7825328172131124E-2</c:v>
                </c:pt>
                <c:pt idx="74">
                  <c:v>8.4875230567734092E-2</c:v>
                </c:pt>
                <c:pt idx="75">
                  <c:v>0.10592168039804971</c:v>
                </c:pt>
                <c:pt idx="76">
                  <c:v>0.10285737353976405</c:v>
                </c:pt>
                <c:pt idx="77">
                  <c:v>9.996038103116521E-2</c:v>
                </c:pt>
                <c:pt idx="78">
                  <c:v>8.6148901043011553E-2</c:v>
                </c:pt>
                <c:pt idx="79">
                  <c:v>8.6629630683324202E-2</c:v>
                </c:pt>
                <c:pt idx="80">
                  <c:v>8.2978673622027266E-2</c:v>
                </c:pt>
                <c:pt idx="81">
                  <c:v>8.5053064207619919E-2</c:v>
                </c:pt>
                <c:pt idx="82">
                  <c:v>0.10211185704791217</c:v>
                </c:pt>
                <c:pt idx="83">
                  <c:v>7.1167924285038986E-2</c:v>
                </c:pt>
                <c:pt idx="84">
                  <c:v>9.967882858068268E-2</c:v>
                </c:pt>
                <c:pt idx="85">
                  <c:v>7.5828697364412195E-2</c:v>
                </c:pt>
                <c:pt idx="86">
                  <c:v>6.9536693705456745E-2</c:v>
                </c:pt>
                <c:pt idx="87">
                  <c:v>7.0350946966672087E-2</c:v>
                </c:pt>
                <c:pt idx="88">
                  <c:v>7.0509703319112688E-2</c:v>
                </c:pt>
                <c:pt idx="89">
                  <c:v>7.5001804087903245E-2</c:v>
                </c:pt>
                <c:pt idx="90">
                  <c:v>7.4785319843864023E-2</c:v>
                </c:pt>
                <c:pt idx="91">
                  <c:v>8.755331924675705E-2</c:v>
                </c:pt>
                <c:pt idx="92">
                  <c:v>6.1926377615130722E-2</c:v>
                </c:pt>
                <c:pt idx="93">
                  <c:v>8.9028688726888308E-2</c:v>
                </c:pt>
                <c:pt idx="94">
                  <c:v>6.6505519800378929E-2</c:v>
                </c:pt>
                <c:pt idx="95">
                  <c:v>3.9245370699116856E-2</c:v>
                </c:pt>
                <c:pt idx="96">
                  <c:v>5.6322439495743032E-2</c:v>
                </c:pt>
                <c:pt idx="97">
                  <c:v>8.2370194621163573E-2</c:v>
                </c:pt>
                <c:pt idx="98">
                  <c:v>6.0729951706392844E-2</c:v>
                </c:pt>
                <c:pt idx="99">
                  <c:v>6.1830799334146314E-2</c:v>
                </c:pt>
                <c:pt idx="100">
                  <c:v>7.5566851731531007E-2</c:v>
                </c:pt>
                <c:pt idx="101">
                  <c:v>6.8136105585461251E-2</c:v>
                </c:pt>
                <c:pt idx="102">
                  <c:v>6.8175665000001953E-2</c:v>
                </c:pt>
                <c:pt idx="103">
                  <c:v>6.1979240590351058E-2</c:v>
                </c:pt>
                <c:pt idx="104">
                  <c:v>7.155748703688905E-2</c:v>
                </c:pt>
                <c:pt idx="105">
                  <c:v>6.1464057868320099E-2</c:v>
                </c:pt>
                <c:pt idx="106">
                  <c:v>2.0473236671715113E-2</c:v>
                </c:pt>
                <c:pt idx="107">
                  <c:v>5.5429014494516905E-2</c:v>
                </c:pt>
                <c:pt idx="108">
                  <c:v>5.5352938606953915E-2</c:v>
                </c:pt>
                <c:pt idx="109">
                  <c:v>6.3949292725289292E-2</c:v>
                </c:pt>
                <c:pt idx="110">
                  <c:v>4.919438471429248E-2</c:v>
                </c:pt>
                <c:pt idx="111">
                  <c:v>5.6942226617849832E-2</c:v>
                </c:pt>
                <c:pt idx="112">
                  <c:v>3.3340730105263248E-2</c:v>
                </c:pt>
                <c:pt idx="113">
                  <c:v>5.3843759975374869E-2</c:v>
                </c:pt>
                <c:pt idx="114">
                  <c:v>2.6422392104099503E-2</c:v>
                </c:pt>
                <c:pt idx="115">
                  <c:v>5.018928853941567E-2</c:v>
                </c:pt>
                <c:pt idx="116">
                  <c:v>4.4002206652526507E-2</c:v>
                </c:pt>
                <c:pt idx="117">
                  <c:v>4.1672206502220463E-2</c:v>
                </c:pt>
                <c:pt idx="118">
                  <c:v>5.4120343830892793E-2</c:v>
                </c:pt>
                <c:pt idx="119">
                  <c:v>4.4464058872386247E-2</c:v>
                </c:pt>
                <c:pt idx="120">
                  <c:v>5.4752916122008652E-2</c:v>
                </c:pt>
                <c:pt idx="121">
                  <c:v>3.5144608809678464E-2</c:v>
                </c:pt>
                <c:pt idx="122">
                  <c:v>1.7741629566030107E-2</c:v>
                </c:pt>
                <c:pt idx="123">
                  <c:v>4.767501852727081E-2</c:v>
                </c:pt>
                <c:pt idx="124">
                  <c:v>4.2534597289350475E-2</c:v>
                </c:pt>
                <c:pt idx="125">
                  <c:v>3.6013622351532548E-2</c:v>
                </c:pt>
                <c:pt idx="126">
                  <c:v>4.1165033381276882E-2</c:v>
                </c:pt>
                <c:pt idx="127">
                  <c:v>3.3248132642237291E-2</c:v>
                </c:pt>
                <c:pt idx="128">
                  <c:v>4.1834073307105216E-2</c:v>
                </c:pt>
                <c:pt idx="129">
                  <c:v>2.7958061924860517E-2</c:v>
                </c:pt>
                <c:pt idx="130">
                  <c:v>2.1213698560082928E-2</c:v>
                </c:pt>
                <c:pt idx="131">
                  <c:v>3.6878422286829075E-2</c:v>
                </c:pt>
                <c:pt idx="132">
                  <c:v>3.3150062168585945E-2</c:v>
                </c:pt>
                <c:pt idx="133">
                  <c:v>4.4100012508487475E-2</c:v>
                </c:pt>
                <c:pt idx="134">
                  <c:v>3.4119137567938856E-2</c:v>
                </c:pt>
                <c:pt idx="135">
                  <c:v>3.1408570474001911E-2</c:v>
                </c:pt>
                <c:pt idx="136">
                  <c:v>3.7872699525360966E-2</c:v>
                </c:pt>
                <c:pt idx="137">
                  <c:v>4.2715862035198726E-2</c:v>
                </c:pt>
                <c:pt idx="138">
                  <c:v>2.7082231545084139E-2</c:v>
                </c:pt>
                <c:pt idx="139">
                  <c:v>3.1420307186845811E-2</c:v>
                </c:pt>
                <c:pt idx="140">
                  <c:v>1.7015572318777938E-2</c:v>
                </c:pt>
                <c:pt idx="141">
                  <c:v>3.4579248436316948E-2</c:v>
                </c:pt>
                <c:pt idx="142">
                  <c:v>2.69326605603325E-2</c:v>
                </c:pt>
                <c:pt idx="143">
                  <c:v>3.0051762267236881E-2</c:v>
                </c:pt>
                <c:pt idx="144">
                  <c:v>3.9754383850399748E-2</c:v>
                </c:pt>
                <c:pt idx="145">
                  <c:v>3.9712181744401449E-2</c:v>
                </c:pt>
                <c:pt idx="146">
                  <c:v>3.7259226742773946E-2</c:v>
                </c:pt>
                <c:pt idx="147">
                  <c:v>2.2655005832691057E-2</c:v>
                </c:pt>
                <c:pt idx="148">
                  <c:v>9.6604833405182586E-3</c:v>
                </c:pt>
                <c:pt idx="149">
                  <c:v>2.4804914390402277E-2</c:v>
                </c:pt>
                <c:pt idx="150">
                  <c:v>2.9233963087164739E-2</c:v>
                </c:pt>
                <c:pt idx="151">
                  <c:v>2.3530501510501407E-2</c:v>
                </c:pt>
                <c:pt idx="152">
                  <c:v>2.3023958840220637E-2</c:v>
                </c:pt>
                <c:pt idx="153">
                  <c:v>3.1112505114483987E-2</c:v>
                </c:pt>
                <c:pt idx="154">
                  <c:v>2.1959009297056346E-2</c:v>
                </c:pt>
                <c:pt idx="155">
                  <c:v>2.1492730752766562E-2</c:v>
                </c:pt>
                <c:pt idx="156">
                  <c:v>3.8208519634353975E-2</c:v>
                </c:pt>
                <c:pt idx="157">
                  <c:v>2.4674748144317308E-2</c:v>
                </c:pt>
                <c:pt idx="158">
                  <c:v>1.9032399592545091E-2</c:v>
                </c:pt>
                <c:pt idx="159">
                  <c:v>2.3790038424277803E-2</c:v>
                </c:pt>
                <c:pt idx="160">
                  <c:v>1.7931911719357537E-2</c:v>
                </c:pt>
                <c:pt idx="161">
                  <c:v>1.371998168513844E-2</c:v>
                </c:pt>
                <c:pt idx="162">
                  <c:v>1.8471115117528802E-2</c:v>
                </c:pt>
                <c:pt idx="163">
                  <c:v>1.4722442797727258E-2</c:v>
                </c:pt>
                <c:pt idx="164">
                  <c:v>2.7828431036593951E-2</c:v>
                </c:pt>
                <c:pt idx="165">
                  <c:v>1.4096717666659986E-2</c:v>
                </c:pt>
                <c:pt idx="166">
                  <c:v>1.9120358687794492E-2</c:v>
                </c:pt>
                <c:pt idx="167">
                  <c:v>2.2641716854493035E-2</c:v>
                </c:pt>
                <c:pt idx="168">
                  <c:v>2.1542401948321133E-2</c:v>
                </c:pt>
                <c:pt idx="169">
                  <c:v>1.5798439758176172E-2</c:v>
                </c:pt>
                <c:pt idx="170">
                  <c:v>2.1157818129386226E-2</c:v>
                </c:pt>
                <c:pt idx="171">
                  <c:v>2.136171717979839E-2</c:v>
                </c:pt>
                <c:pt idx="172">
                  <c:v>1.2974886158393576E-2</c:v>
                </c:pt>
                <c:pt idx="173">
                  <c:v>6.0662685934746562E-3</c:v>
                </c:pt>
                <c:pt idx="174">
                  <c:v>2.146153768294207E-2</c:v>
                </c:pt>
                <c:pt idx="175">
                  <c:v>1.4886590644117939E-2</c:v>
                </c:pt>
                <c:pt idx="176">
                  <c:v>1.2746177202983135E-2</c:v>
                </c:pt>
                <c:pt idx="177">
                  <c:v>2.3085278251576011E-2</c:v>
                </c:pt>
                <c:pt idx="178">
                  <c:v>2.70963215048548E-3</c:v>
                </c:pt>
                <c:pt idx="179">
                  <c:v>1.0045125666405808E-2</c:v>
                </c:pt>
                <c:pt idx="180">
                  <c:v>1.1415452598412472E-2</c:v>
                </c:pt>
                <c:pt idx="181">
                  <c:v>1.3400226911294793E-2</c:v>
                </c:pt>
                <c:pt idx="182">
                  <c:v>5.7757025668414468E-3</c:v>
                </c:pt>
                <c:pt idx="183">
                  <c:v>1.0404160540246645E-2</c:v>
                </c:pt>
                <c:pt idx="184">
                  <c:v>1.0404160540246645E-2</c:v>
                </c:pt>
                <c:pt idx="185">
                  <c:v>1.0404160540246645E-2</c:v>
                </c:pt>
                <c:pt idx="186">
                  <c:v>9.7214189952709498E-3</c:v>
                </c:pt>
                <c:pt idx="187">
                  <c:v>9.4997935264606991E-3</c:v>
                </c:pt>
                <c:pt idx="188">
                  <c:v>6.7329185863172795E-3</c:v>
                </c:pt>
                <c:pt idx="189">
                  <c:v>6.6944264829261373E-3</c:v>
                </c:pt>
                <c:pt idx="190">
                  <c:v>7.3679016458837688E-3</c:v>
                </c:pt>
                <c:pt idx="191">
                  <c:v>2.0367552554301422E-3</c:v>
                </c:pt>
                <c:pt idx="192">
                  <c:v>2.2674178097295177E-3</c:v>
                </c:pt>
                <c:pt idx="193">
                  <c:v>2.5359512130778759E-3</c:v>
                </c:pt>
                <c:pt idx="194">
                  <c:v>0</c:v>
                </c:pt>
                <c:pt idx="19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C6-4B82-B141-BEC30190A9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1229408"/>
        <c:axId val="221225568"/>
      </c:barChart>
      <c:catAx>
        <c:axId val="2212294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225568"/>
        <c:crosses val="autoZero"/>
        <c:auto val="1"/>
        <c:lblAlgn val="ctr"/>
        <c:lblOffset val="100"/>
        <c:noMultiLvlLbl val="0"/>
      </c:catAx>
      <c:valAx>
        <c:axId val="221225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229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40463823272090982"/>
          <c:y val="1.4012418300653594E-2"/>
          <c:w val="0.5489868766404199"/>
          <c:h val="0.93818267973856206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Sheet1!$Z$1</c:f>
              <c:strCache>
                <c:ptCount val="1"/>
                <c:pt idx="0">
                  <c:v>Terrestrial Proportion of Scaled Score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Sheet1!$A$100:$A$198</c:f>
              <c:strCache>
                <c:ptCount val="98"/>
                <c:pt idx="0">
                  <c:v>PC39</c:v>
                </c:pt>
                <c:pt idx="1">
                  <c:v>PC28</c:v>
                </c:pt>
                <c:pt idx="2">
                  <c:v>SI23</c:v>
                </c:pt>
                <c:pt idx="3">
                  <c:v>SI19</c:v>
                </c:pt>
                <c:pt idx="4">
                  <c:v>NC11</c:v>
                </c:pt>
                <c:pt idx="5">
                  <c:v>SI20</c:v>
                </c:pt>
                <c:pt idx="6">
                  <c:v>Upper Misery - Lower Misery</c:v>
                </c:pt>
                <c:pt idx="7">
                  <c:v>Solar71774</c:v>
                </c:pt>
                <c:pt idx="8">
                  <c:v>PC36</c:v>
                </c:pt>
                <c:pt idx="9">
                  <c:v>SI04</c:v>
                </c:pt>
                <c:pt idx="10">
                  <c:v>BC18</c:v>
                </c:pt>
                <c:pt idx="11">
                  <c:v>Ball_Creek-8hr</c:v>
                </c:pt>
                <c:pt idx="12">
                  <c:v>Solar37703</c:v>
                </c:pt>
                <c:pt idx="13">
                  <c:v>NC10</c:v>
                </c:pt>
                <c:pt idx="14">
                  <c:v>PC20</c:v>
                </c:pt>
                <c:pt idx="15">
                  <c:v>Solar36074</c:v>
                </c:pt>
                <c:pt idx="16">
                  <c:v>SI12</c:v>
                </c:pt>
                <c:pt idx="17">
                  <c:v>Solar36893</c:v>
                </c:pt>
                <c:pt idx="18">
                  <c:v>PC15</c:v>
                </c:pt>
                <c:pt idx="19">
                  <c:v>Solar70986</c:v>
                </c:pt>
                <c:pt idx="20">
                  <c:v>VI15</c:v>
                </c:pt>
                <c:pt idx="21">
                  <c:v>Solar65978</c:v>
                </c:pt>
                <c:pt idx="22">
                  <c:v>Bookhout 2</c:v>
                </c:pt>
                <c:pt idx="23">
                  <c:v>PC43</c:v>
                </c:pt>
                <c:pt idx="24">
                  <c:v>Solar72543</c:v>
                </c:pt>
                <c:pt idx="25">
                  <c:v>SI06</c:v>
                </c:pt>
                <c:pt idx="26">
                  <c:v>SI09</c:v>
                </c:pt>
                <c:pt idx="27">
                  <c:v>Solar37708</c:v>
                </c:pt>
                <c:pt idx="28">
                  <c:v>Solar36070</c:v>
                </c:pt>
                <c:pt idx="29">
                  <c:v>Solar70989</c:v>
                </c:pt>
                <c:pt idx="30">
                  <c:v>Solar36073</c:v>
                </c:pt>
                <c:pt idx="31">
                  <c:v>Solar37706</c:v>
                </c:pt>
                <c:pt idx="32">
                  <c:v>SI38</c:v>
                </c:pt>
                <c:pt idx="33">
                  <c:v>SI08</c:v>
                </c:pt>
                <c:pt idx="34">
                  <c:v>Solar38465</c:v>
                </c:pt>
                <c:pt idx="35">
                  <c:v>More_Creek-8hr</c:v>
                </c:pt>
                <c:pt idx="36">
                  <c:v>Solar37705</c:v>
                </c:pt>
                <c:pt idx="37">
                  <c:v>PC34</c:v>
                </c:pt>
                <c:pt idx="38">
                  <c:v>Siwash_Creek-8hr</c:v>
                </c:pt>
                <c:pt idx="39">
                  <c:v>SI11</c:v>
                </c:pt>
                <c:pt idx="40">
                  <c:v>Solar70993</c:v>
                </c:pt>
                <c:pt idx="41">
                  <c:v>Solar36894</c:v>
                </c:pt>
                <c:pt idx="42">
                  <c:v>PC48</c:v>
                </c:pt>
                <c:pt idx="43">
                  <c:v>Solar35274</c:v>
                </c:pt>
                <c:pt idx="44">
                  <c:v>Solar37707</c:v>
                </c:pt>
                <c:pt idx="45">
                  <c:v>SI05</c:v>
                </c:pt>
                <c:pt idx="46">
                  <c:v>Freda_Creek-8hr</c:v>
                </c:pt>
                <c:pt idx="47">
                  <c:v>VI08</c:v>
                </c:pt>
                <c:pt idx="48">
                  <c:v>Lakelse Lake</c:v>
                </c:pt>
                <c:pt idx="49">
                  <c:v>Solar69284</c:v>
                </c:pt>
                <c:pt idx="50">
                  <c:v>MSW 3</c:v>
                </c:pt>
                <c:pt idx="51">
                  <c:v>Solar78421</c:v>
                </c:pt>
                <c:pt idx="52">
                  <c:v>PC41</c:v>
                </c:pt>
                <c:pt idx="53">
                  <c:v>PC42</c:v>
                </c:pt>
                <c:pt idx="54">
                  <c:v>PC40</c:v>
                </c:pt>
                <c:pt idx="55">
                  <c:v>Silverhope_Creek-8hr</c:v>
                </c:pt>
                <c:pt idx="56">
                  <c:v>Solar70988</c:v>
                </c:pt>
                <c:pt idx="57">
                  <c:v>Solar70164</c:v>
                </c:pt>
                <c:pt idx="58">
                  <c:v>Zymoetz_River-8hr</c:v>
                </c:pt>
                <c:pt idx="59">
                  <c:v>PC38</c:v>
                </c:pt>
                <c:pt idx="60">
                  <c:v>SI37</c:v>
                </c:pt>
                <c:pt idx="61">
                  <c:v>Solar67498</c:v>
                </c:pt>
                <c:pt idx="62">
                  <c:v>Solar69283</c:v>
                </c:pt>
                <c:pt idx="63">
                  <c:v>Solar79910</c:v>
                </c:pt>
                <c:pt idx="64">
                  <c:v>PC18</c:v>
                </c:pt>
                <c:pt idx="65">
                  <c:v>PC27</c:v>
                </c:pt>
                <c:pt idx="66">
                  <c:v>MSW 1</c:v>
                </c:pt>
                <c:pt idx="67">
                  <c:v>Solar70167</c:v>
                </c:pt>
                <c:pt idx="68">
                  <c:v>Solar35279</c:v>
                </c:pt>
                <c:pt idx="69">
                  <c:v>VI11</c:v>
                </c:pt>
                <c:pt idx="70">
                  <c:v>VI12</c:v>
                </c:pt>
                <c:pt idx="71">
                  <c:v>Solar62049</c:v>
                </c:pt>
                <c:pt idx="72">
                  <c:v>VI14</c:v>
                </c:pt>
                <c:pt idx="73">
                  <c:v>Sloquet Creek</c:v>
                </c:pt>
                <c:pt idx="74">
                  <c:v>Solar70163</c:v>
                </c:pt>
                <c:pt idx="75">
                  <c:v>Canoe Creek - Valemount</c:v>
                </c:pt>
                <c:pt idx="76">
                  <c:v>VI13</c:v>
                </c:pt>
                <c:pt idx="77">
                  <c:v>Solar76979</c:v>
                </c:pt>
                <c:pt idx="78">
                  <c:v>PC46</c:v>
                </c:pt>
                <c:pt idx="79">
                  <c:v>Nimpkish_River_B-8hr</c:v>
                </c:pt>
                <c:pt idx="80">
                  <c:v>Solar71004</c:v>
                </c:pt>
                <c:pt idx="81">
                  <c:v>PC29</c:v>
                </c:pt>
                <c:pt idx="82">
                  <c:v>ROR_5018</c:v>
                </c:pt>
                <c:pt idx="83">
                  <c:v>SI22</c:v>
                </c:pt>
                <c:pt idx="84">
                  <c:v>Solar73988</c:v>
                </c:pt>
                <c:pt idx="85">
                  <c:v>WBBio_LM_RR</c:v>
                </c:pt>
                <c:pt idx="86">
                  <c:v>WBBio_LM_ST_1</c:v>
                </c:pt>
                <c:pt idx="87">
                  <c:v>WBBio_LM_ST_2</c:v>
                </c:pt>
                <c:pt idx="88">
                  <c:v>ROR_5332</c:v>
                </c:pt>
                <c:pt idx="89">
                  <c:v>MSW 2</c:v>
                </c:pt>
                <c:pt idx="90">
                  <c:v>PC32</c:v>
                </c:pt>
                <c:pt idx="91">
                  <c:v>NC13</c:v>
                </c:pt>
                <c:pt idx="92">
                  <c:v>WBBio_WPR_PL</c:v>
                </c:pt>
                <c:pt idx="93">
                  <c:v>VI_Batt_1</c:v>
                </c:pt>
                <c:pt idx="94">
                  <c:v>Spuzzum_Creek-8hr</c:v>
                </c:pt>
                <c:pt idx="95">
                  <c:v>Chemainus_River-8hr</c:v>
                </c:pt>
                <c:pt idx="96">
                  <c:v>WBBio_SP_RR</c:v>
                </c:pt>
                <c:pt idx="97">
                  <c:v>WBBio_SP_ST</c:v>
                </c:pt>
              </c:strCache>
            </c:strRef>
          </c:cat>
          <c:val>
            <c:numRef>
              <c:f>Sheet1!$Z$100:$Z$198</c:f>
              <c:numCache>
                <c:formatCode>0.0000</c:formatCode>
                <c:ptCount val="99"/>
                <c:pt idx="0">
                  <c:v>7.1841157954350199E-2</c:v>
                </c:pt>
                <c:pt idx="1">
                  <c:v>6.9888310907183199E-2</c:v>
                </c:pt>
                <c:pt idx="2">
                  <c:v>5.45760595838835E-2</c:v>
                </c:pt>
                <c:pt idx="3">
                  <c:v>5.8045008429680432E-2</c:v>
                </c:pt>
                <c:pt idx="4">
                  <c:v>5.6897849769902129E-2</c:v>
                </c:pt>
                <c:pt idx="5">
                  <c:v>6.0453075979371142E-2</c:v>
                </c:pt>
                <c:pt idx="6">
                  <c:v>4.9937630171478266E-2</c:v>
                </c:pt>
                <c:pt idx="7">
                  <c:v>5.8369660472190874E-2</c:v>
                </c:pt>
                <c:pt idx="8">
                  <c:v>9.8593682191323709E-2</c:v>
                </c:pt>
                <c:pt idx="9">
                  <c:v>6.2901802430131201E-2</c:v>
                </c:pt>
                <c:pt idx="10">
                  <c:v>6.098085983854247E-2</c:v>
                </c:pt>
                <c:pt idx="11">
                  <c:v>5.0218629476121802E-2</c:v>
                </c:pt>
                <c:pt idx="12">
                  <c:v>6.1863739606259273E-2</c:v>
                </c:pt>
                <c:pt idx="13">
                  <c:v>5.1858099241256103E-2</c:v>
                </c:pt>
                <c:pt idx="14">
                  <c:v>7.3883396827927703E-2</c:v>
                </c:pt>
                <c:pt idx="15">
                  <c:v>5.2911767277138644E-2</c:v>
                </c:pt>
                <c:pt idx="16">
                  <c:v>7.733633795055149E-2</c:v>
                </c:pt>
                <c:pt idx="17">
                  <c:v>5.2434041528942286E-2</c:v>
                </c:pt>
                <c:pt idx="18">
                  <c:v>5.7257924344769819E-2</c:v>
                </c:pt>
                <c:pt idx="19">
                  <c:v>5.9289724698281143E-2</c:v>
                </c:pt>
                <c:pt idx="20">
                  <c:v>4.5989587950195289E-2</c:v>
                </c:pt>
                <c:pt idx="21">
                  <c:v>5.5262473169965756E-2</c:v>
                </c:pt>
                <c:pt idx="22">
                  <c:v>4.4547616210636583E-2</c:v>
                </c:pt>
                <c:pt idx="23">
                  <c:v>6.3090924248699901E-2</c:v>
                </c:pt>
                <c:pt idx="24">
                  <c:v>8.0451303521377568E-2</c:v>
                </c:pt>
                <c:pt idx="25">
                  <c:v>4.9516845062305664E-2</c:v>
                </c:pt>
                <c:pt idx="26">
                  <c:v>5.4211828649765037E-2</c:v>
                </c:pt>
                <c:pt idx="27">
                  <c:v>5.3872316396593345E-2</c:v>
                </c:pt>
                <c:pt idx="28">
                  <c:v>4.5057307863370893E-2</c:v>
                </c:pt>
                <c:pt idx="29">
                  <c:v>5.0972009966788724E-2</c:v>
                </c:pt>
                <c:pt idx="30">
                  <c:v>4.2087869505126073E-2</c:v>
                </c:pt>
                <c:pt idx="31">
                  <c:v>5.5197081409898603E-2</c:v>
                </c:pt>
                <c:pt idx="32">
                  <c:v>6.0170946103164806E-2</c:v>
                </c:pt>
                <c:pt idx="33">
                  <c:v>4.355501742260777E-2</c:v>
                </c:pt>
                <c:pt idx="34">
                  <c:v>4.646928357560709E-2</c:v>
                </c:pt>
                <c:pt idx="35">
                  <c:v>3.517853346794015E-2</c:v>
                </c:pt>
                <c:pt idx="36">
                  <c:v>4.4435208901987287E-2</c:v>
                </c:pt>
                <c:pt idx="37">
                  <c:v>4.5612177040979897E-2</c:v>
                </c:pt>
                <c:pt idx="38">
                  <c:v>3.821084862826598E-2</c:v>
                </c:pt>
                <c:pt idx="39">
                  <c:v>3.122949985547387E-2</c:v>
                </c:pt>
                <c:pt idx="40">
                  <c:v>4.4911719395357937E-2</c:v>
                </c:pt>
                <c:pt idx="41">
                  <c:v>3.695264622108882E-2</c:v>
                </c:pt>
                <c:pt idx="42">
                  <c:v>4.9653382250329656E-2</c:v>
                </c:pt>
                <c:pt idx="43">
                  <c:v>3.1919306248907944E-2</c:v>
                </c:pt>
                <c:pt idx="44">
                  <c:v>3.833049496674281E-2</c:v>
                </c:pt>
                <c:pt idx="45">
                  <c:v>3.4091989562644871E-2</c:v>
                </c:pt>
                <c:pt idx="46">
                  <c:v>2.3506573041053781E-2</c:v>
                </c:pt>
                <c:pt idx="47">
                  <c:v>2.3548775147052083E-2</c:v>
                </c:pt>
                <c:pt idx="48">
                  <c:v>2.5064530787324717E-2</c:v>
                </c:pt>
                <c:pt idx="49">
                  <c:v>3.8433352539258017E-2</c:v>
                </c:pt>
                <c:pt idx="50">
                  <c:v>5.1044475292694728E-2</c:v>
                </c:pt>
                <c:pt idx="51">
                  <c:v>3.5857444271840025E-2</c:v>
                </c:pt>
                <c:pt idx="52">
                  <c:v>3.1343195633136221E-2</c:v>
                </c:pt>
                <c:pt idx="53">
                  <c:v>3.4874058690295098E-2</c:v>
                </c:pt>
                <c:pt idx="54">
                  <c:v>3.525280144766383E-2</c:v>
                </c:pt>
                <c:pt idx="55">
                  <c:v>2.5758456131368179E-2</c:v>
                </c:pt>
                <c:pt idx="56">
                  <c:v>3.3633952819675558E-2</c:v>
                </c:pt>
                <c:pt idx="57">
                  <c:v>3.3461231799405196E-2</c:v>
                </c:pt>
                <c:pt idx="58">
                  <c:v>1.4828444224137375E-2</c:v>
                </c:pt>
                <c:pt idx="59">
                  <c:v>2.6274817136610923E-2</c:v>
                </c:pt>
                <c:pt idx="60">
                  <c:v>3.1917165688383139E-2</c:v>
                </c:pt>
                <c:pt idx="61">
                  <c:v>2.7074326914709075E-2</c:v>
                </c:pt>
                <c:pt idx="62">
                  <c:v>3.1654454490509076E-2</c:v>
                </c:pt>
                <c:pt idx="63">
                  <c:v>3.5099585047256007E-2</c:v>
                </c:pt>
                <c:pt idx="64">
                  <c:v>2.9368652282540098E-2</c:v>
                </c:pt>
                <c:pt idx="65">
                  <c:v>3.2094925299045424E-2</c:v>
                </c:pt>
                <c:pt idx="66">
                  <c:v>1.2130341733899926E-2</c:v>
                </c:pt>
                <c:pt idx="67">
                  <c:v>2.4669255916654975E-2</c:v>
                </c:pt>
                <c:pt idx="68">
                  <c:v>1.8239815853488169E-2</c:v>
                </c:pt>
                <c:pt idx="69">
                  <c:v>1.4633257744848275E-2</c:v>
                </c:pt>
                <c:pt idx="70">
                  <c:v>1.4752773318694628E-2</c:v>
                </c:pt>
                <c:pt idx="71">
                  <c:v>2.0198535712044864E-2</c:v>
                </c:pt>
                <c:pt idx="72">
                  <c:v>1.4370557660157376E-2</c:v>
                </c:pt>
                <c:pt idx="73">
                  <c:v>1.3612858987126426E-2</c:v>
                </c:pt>
                <c:pt idx="74">
                  <c:v>2.0508691024557588E-2</c:v>
                </c:pt>
                <c:pt idx="75">
                  <c:v>2.6607909141033663E-2</c:v>
                </c:pt>
                <c:pt idx="76">
                  <c:v>1.1170040080595581E-2</c:v>
                </c:pt>
                <c:pt idx="77">
                  <c:v>1.693558767097687E-2</c:v>
                </c:pt>
                <c:pt idx="78">
                  <c:v>1.8053601808815455E-2</c:v>
                </c:pt>
                <c:pt idx="79">
                  <c:v>6.0531018923662234E-3</c:v>
                </c:pt>
                <c:pt idx="80">
                  <c:v>2.4511749299776342E-2</c:v>
                </c:pt>
                <c:pt idx="81">
                  <c:v>1.7005855899973315E-2</c:v>
                </c:pt>
                <c:pt idx="82">
                  <c:v>1.5081729345347863E-2</c:v>
                </c:pt>
                <c:pt idx="83">
                  <c:v>1.1112879276494125E-2</c:v>
                </c:pt>
                <c:pt idx="84">
                  <c:v>1.7867281321883612E-2</c:v>
                </c:pt>
                <c:pt idx="85">
                  <c:v>1.1108824799944626E-2</c:v>
                </c:pt>
                <c:pt idx="86">
                  <c:v>1.1108824799944626E-2</c:v>
                </c:pt>
                <c:pt idx="87">
                  <c:v>1.1108824799944626E-2</c:v>
                </c:pt>
                <c:pt idx="88">
                  <c:v>1.0300567360946667E-2</c:v>
                </c:pt>
                <c:pt idx="89">
                  <c:v>9.4997935264606991E-3</c:v>
                </c:pt>
                <c:pt idx="90">
                  <c:v>8.2562454294667909E-3</c:v>
                </c:pt>
                <c:pt idx="91">
                  <c:v>6.9801641986607897E-3</c:v>
                </c:pt>
                <c:pt idx="92">
                  <c:v>5.4546896162896413E-3</c:v>
                </c:pt>
                <c:pt idx="93">
                  <c:v>3.4586409997870338E-3</c:v>
                </c:pt>
                <c:pt idx="94">
                  <c:v>2.4185789970448185E-3</c:v>
                </c:pt>
                <c:pt idx="95">
                  <c:v>1.2128462323415929E-3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1F-4E06-AF0E-723561438899}"/>
            </c:ext>
          </c:extLst>
        </c:ser>
        <c:ser>
          <c:idx val="1"/>
          <c:order val="1"/>
          <c:tx>
            <c:strRef>
              <c:f>Sheet1!$AA$1</c:f>
              <c:strCache>
                <c:ptCount val="1"/>
                <c:pt idx="0">
                  <c:v>Freshwater Proportion of Scaled Score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Sheet1!$A$100:$A$198</c:f>
              <c:strCache>
                <c:ptCount val="98"/>
                <c:pt idx="0">
                  <c:v>PC39</c:v>
                </c:pt>
                <c:pt idx="1">
                  <c:v>PC28</c:v>
                </c:pt>
                <c:pt idx="2">
                  <c:v>SI23</c:v>
                </c:pt>
                <c:pt idx="3">
                  <c:v>SI19</c:v>
                </c:pt>
                <c:pt idx="4">
                  <c:v>NC11</c:v>
                </c:pt>
                <c:pt idx="5">
                  <c:v>SI20</c:v>
                </c:pt>
                <c:pt idx="6">
                  <c:v>Upper Misery - Lower Misery</c:v>
                </c:pt>
                <c:pt idx="7">
                  <c:v>Solar71774</c:v>
                </c:pt>
                <c:pt idx="8">
                  <c:v>PC36</c:v>
                </c:pt>
                <c:pt idx="9">
                  <c:v>SI04</c:v>
                </c:pt>
                <c:pt idx="10">
                  <c:v>BC18</c:v>
                </c:pt>
                <c:pt idx="11">
                  <c:v>Ball_Creek-8hr</c:v>
                </c:pt>
                <c:pt idx="12">
                  <c:v>Solar37703</c:v>
                </c:pt>
                <c:pt idx="13">
                  <c:v>NC10</c:v>
                </c:pt>
                <c:pt idx="14">
                  <c:v>PC20</c:v>
                </c:pt>
                <c:pt idx="15">
                  <c:v>Solar36074</c:v>
                </c:pt>
                <c:pt idx="16">
                  <c:v>SI12</c:v>
                </c:pt>
                <c:pt idx="17">
                  <c:v>Solar36893</c:v>
                </c:pt>
                <c:pt idx="18">
                  <c:v>PC15</c:v>
                </c:pt>
                <c:pt idx="19">
                  <c:v>Solar70986</c:v>
                </c:pt>
                <c:pt idx="20">
                  <c:v>VI15</c:v>
                </c:pt>
                <c:pt idx="21">
                  <c:v>Solar65978</c:v>
                </c:pt>
                <c:pt idx="22">
                  <c:v>Bookhout 2</c:v>
                </c:pt>
                <c:pt idx="23">
                  <c:v>PC43</c:v>
                </c:pt>
                <c:pt idx="24">
                  <c:v>Solar72543</c:v>
                </c:pt>
                <c:pt idx="25">
                  <c:v>SI06</c:v>
                </c:pt>
                <c:pt idx="26">
                  <c:v>SI09</c:v>
                </c:pt>
                <c:pt idx="27">
                  <c:v>Solar37708</c:v>
                </c:pt>
                <c:pt idx="28">
                  <c:v>Solar36070</c:v>
                </c:pt>
                <c:pt idx="29">
                  <c:v>Solar70989</c:v>
                </c:pt>
                <c:pt idx="30">
                  <c:v>Solar36073</c:v>
                </c:pt>
                <c:pt idx="31">
                  <c:v>Solar37706</c:v>
                </c:pt>
                <c:pt idx="32">
                  <c:v>SI38</c:v>
                </c:pt>
                <c:pt idx="33">
                  <c:v>SI08</c:v>
                </c:pt>
                <c:pt idx="34">
                  <c:v>Solar38465</c:v>
                </c:pt>
                <c:pt idx="35">
                  <c:v>More_Creek-8hr</c:v>
                </c:pt>
                <c:pt idx="36">
                  <c:v>Solar37705</c:v>
                </c:pt>
                <c:pt idx="37">
                  <c:v>PC34</c:v>
                </c:pt>
                <c:pt idx="38">
                  <c:v>Siwash_Creek-8hr</c:v>
                </c:pt>
                <c:pt idx="39">
                  <c:v>SI11</c:v>
                </c:pt>
                <c:pt idx="40">
                  <c:v>Solar70993</c:v>
                </c:pt>
                <c:pt idx="41">
                  <c:v>Solar36894</c:v>
                </c:pt>
                <c:pt idx="42">
                  <c:v>PC48</c:v>
                </c:pt>
                <c:pt idx="43">
                  <c:v>Solar35274</c:v>
                </c:pt>
                <c:pt idx="44">
                  <c:v>Solar37707</c:v>
                </c:pt>
                <c:pt idx="45">
                  <c:v>SI05</c:v>
                </c:pt>
                <c:pt idx="46">
                  <c:v>Freda_Creek-8hr</c:v>
                </c:pt>
                <c:pt idx="47">
                  <c:v>VI08</c:v>
                </c:pt>
                <c:pt idx="48">
                  <c:v>Lakelse Lake</c:v>
                </c:pt>
                <c:pt idx="49">
                  <c:v>Solar69284</c:v>
                </c:pt>
                <c:pt idx="50">
                  <c:v>MSW 3</c:v>
                </c:pt>
                <c:pt idx="51">
                  <c:v>Solar78421</c:v>
                </c:pt>
                <c:pt idx="52">
                  <c:v>PC41</c:v>
                </c:pt>
                <c:pt idx="53">
                  <c:v>PC42</c:v>
                </c:pt>
                <c:pt idx="54">
                  <c:v>PC40</c:v>
                </c:pt>
                <c:pt idx="55">
                  <c:v>Silverhope_Creek-8hr</c:v>
                </c:pt>
                <c:pt idx="56">
                  <c:v>Solar70988</c:v>
                </c:pt>
                <c:pt idx="57">
                  <c:v>Solar70164</c:v>
                </c:pt>
                <c:pt idx="58">
                  <c:v>Zymoetz_River-8hr</c:v>
                </c:pt>
                <c:pt idx="59">
                  <c:v>PC38</c:v>
                </c:pt>
                <c:pt idx="60">
                  <c:v>SI37</c:v>
                </c:pt>
                <c:pt idx="61">
                  <c:v>Solar67498</c:v>
                </c:pt>
                <c:pt idx="62">
                  <c:v>Solar69283</c:v>
                </c:pt>
                <c:pt idx="63">
                  <c:v>Solar79910</c:v>
                </c:pt>
                <c:pt idx="64">
                  <c:v>PC18</c:v>
                </c:pt>
                <c:pt idx="65">
                  <c:v>PC27</c:v>
                </c:pt>
                <c:pt idx="66">
                  <c:v>MSW 1</c:v>
                </c:pt>
                <c:pt idx="67">
                  <c:v>Solar70167</c:v>
                </c:pt>
                <c:pt idx="68">
                  <c:v>Solar35279</c:v>
                </c:pt>
                <c:pt idx="69">
                  <c:v>VI11</c:v>
                </c:pt>
                <c:pt idx="70">
                  <c:v>VI12</c:v>
                </c:pt>
                <c:pt idx="71">
                  <c:v>Solar62049</c:v>
                </c:pt>
                <c:pt idx="72">
                  <c:v>VI14</c:v>
                </c:pt>
                <c:pt idx="73">
                  <c:v>Sloquet Creek</c:v>
                </c:pt>
                <c:pt idx="74">
                  <c:v>Solar70163</c:v>
                </c:pt>
                <c:pt idx="75">
                  <c:v>Canoe Creek - Valemount</c:v>
                </c:pt>
                <c:pt idx="76">
                  <c:v>VI13</c:v>
                </c:pt>
                <c:pt idx="77">
                  <c:v>Solar76979</c:v>
                </c:pt>
                <c:pt idx="78">
                  <c:v>PC46</c:v>
                </c:pt>
                <c:pt idx="79">
                  <c:v>Nimpkish_River_B-8hr</c:v>
                </c:pt>
                <c:pt idx="80">
                  <c:v>Solar71004</c:v>
                </c:pt>
                <c:pt idx="81">
                  <c:v>PC29</c:v>
                </c:pt>
                <c:pt idx="82">
                  <c:v>ROR_5018</c:v>
                </c:pt>
                <c:pt idx="83">
                  <c:v>SI22</c:v>
                </c:pt>
                <c:pt idx="84">
                  <c:v>Solar73988</c:v>
                </c:pt>
                <c:pt idx="85">
                  <c:v>WBBio_LM_RR</c:v>
                </c:pt>
                <c:pt idx="86">
                  <c:v>WBBio_LM_ST_1</c:v>
                </c:pt>
                <c:pt idx="87">
                  <c:v>WBBio_LM_ST_2</c:v>
                </c:pt>
                <c:pt idx="88">
                  <c:v>ROR_5332</c:v>
                </c:pt>
                <c:pt idx="89">
                  <c:v>MSW 2</c:v>
                </c:pt>
                <c:pt idx="90">
                  <c:v>PC32</c:v>
                </c:pt>
                <c:pt idx="91">
                  <c:v>NC13</c:v>
                </c:pt>
                <c:pt idx="92">
                  <c:v>WBBio_WPR_PL</c:v>
                </c:pt>
                <c:pt idx="93">
                  <c:v>VI_Batt_1</c:v>
                </c:pt>
                <c:pt idx="94">
                  <c:v>Spuzzum_Creek-8hr</c:v>
                </c:pt>
                <c:pt idx="95">
                  <c:v>Chemainus_River-8hr</c:v>
                </c:pt>
                <c:pt idx="96">
                  <c:v>WBBio_SP_RR</c:v>
                </c:pt>
                <c:pt idx="97">
                  <c:v>WBBio_SP_ST</c:v>
                </c:pt>
              </c:strCache>
            </c:strRef>
          </c:cat>
          <c:val>
            <c:numRef>
              <c:f>Sheet1!$AA$100:$AA$198</c:f>
              <c:numCache>
                <c:formatCode>0.0000</c:formatCode>
                <c:ptCount val="99"/>
                <c:pt idx="0">
                  <c:v>6.0729951706392844E-2</c:v>
                </c:pt>
                <c:pt idx="1">
                  <c:v>6.1830799334146314E-2</c:v>
                </c:pt>
                <c:pt idx="2">
                  <c:v>7.5566851731531007E-2</c:v>
                </c:pt>
                <c:pt idx="3">
                  <c:v>6.8136105585461251E-2</c:v>
                </c:pt>
                <c:pt idx="4">
                  <c:v>6.8175665000001953E-2</c:v>
                </c:pt>
                <c:pt idx="5">
                  <c:v>6.1979240590351058E-2</c:v>
                </c:pt>
                <c:pt idx="6">
                  <c:v>7.155748703688905E-2</c:v>
                </c:pt>
                <c:pt idx="7">
                  <c:v>6.1464057868320099E-2</c:v>
                </c:pt>
                <c:pt idx="8">
                  <c:v>2.0473236671715113E-2</c:v>
                </c:pt>
                <c:pt idx="9">
                  <c:v>5.5429014494516905E-2</c:v>
                </c:pt>
                <c:pt idx="10">
                  <c:v>5.5352938606953915E-2</c:v>
                </c:pt>
                <c:pt idx="11">
                  <c:v>6.3949292725289292E-2</c:v>
                </c:pt>
                <c:pt idx="12">
                  <c:v>4.919438471429248E-2</c:v>
                </c:pt>
                <c:pt idx="13">
                  <c:v>5.6942226617849832E-2</c:v>
                </c:pt>
                <c:pt idx="14">
                  <c:v>3.3340730105263248E-2</c:v>
                </c:pt>
                <c:pt idx="15">
                  <c:v>5.3843759975374869E-2</c:v>
                </c:pt>
                <c:pt idx="16">
                  <c:v>2.6422392104099503E-2</c:v>
                </c:pt>
                <c:pt idx="17">
                  <c:v>5.018928853941567E-2</c:v>
                </c:pt>
                <c:pt idx="18">
                  <c:v>4.4002206652526507E-2</c:v>
                </c:pt>
                <c:pt idx="19">
                  <c:v>4.1672206502220463E-2</c:v>
                </c:pt>
                <c:pt idx="20">
                  <c:v>5.4120343830892793E-2</c:v>
                </c:pt>
                <c:pt idx="21">
                  <c:v>4.4464058872386247E-2</c:v>
                </c:pt>
                <c:pt idx="22">
                  <c:v>5.4752916122008652E-2</c:v>
                </c:pt>
                <c:pt idx="23">
                  <c:v>3.5144608809678464E-2</c:v>
                </c:pt>
                <c:pt idx="24">
                  <c:v>1.7741629566030107E-2</c:v>
                </c:pt>
                <c:pt idx="25">
                  <c:v>4.767501852727081E-2</c:v>
                </c:pt>
                <c:pt idx="26">
                  <c:v>4.2534597289350475E-2</c:v>
                </c:pt>
                <c:pt idx="27">
                  <c:v>3.6013622351532548E-2</c:v>
                </c:pt>
                <c:pt idx="28">
                  <c:v>4.1165033381276882E-2</c:v>
                </c:pt>
                <c:pt idx="29">
                  <c:v>3.3248132642237291E-2</c:v>
                </c:pt>
                <c:pt idx="30">
                  <c:v>4.1834073307105216E-2</c:v>
                </c:pt>
                <c:pt idx="31">
                  <c:v>2.7958061924860517E-2</c:v>
                </c:pt>
                <c:pt idx="32">
                  <c:v>2.1213698560082928E-2</c:v>
                </c:pt>
                <c:pt idx="33">
                  <c:v>3.6878422286829075E-2</c:v>
                </c:pt>
                <c:pt idx="34">
                  <c:v>3.3150062168585945E-2</c:v>
                </c:pt>
                <c:pt idx="35">
                  <c:v>4.4100012508487475E-2</c:v>
                </c:pt>
                <c:pt idx="36">
                  <c:v>3.4119137567938856E-2</c:v>
                </c:pt>
                <c:pt idx="37">
                  <c:v>3.1408570474001911E-2</c:v>
                </c:pt>
                <c:pt idx="38">
                  <c:v>3.7872699525360966E-2</c:v>
                </c:pt>
                <c:pt idx="39">
                  <c:v>4.2715862035198726E-2</c:v>
                </c:pt>
                <c:pt idx="40">
                  <c:v>2.7082231545084139E-2</c:v>
                </c:pt>
                <c:pt idx="41">
                  <c:v>3.1420307186845811E-2</c:v>
                </c:pt>
                <c:pt idx="42">
                  <c:v>1.7015572318777938E-2</c:v>
                </c:pt>
                <c:pt idx="43">
                  <c:v>3.4579248436316948E-2</c:v>
                </c:pt>
                <c:pt idx="44">
                  <c:v>2.69326605603325E-2</c:v>
                </c:pt>
                <c:pt idx="45">
                  <c:v>3.0051762267236881E-2</c:v>
                </c:pt>
                <c:pt idx="46">
                  <c:v>3.9754383850399748E-2</c:v>
                </c:pt>
                <c:pt idx="47">
                  <c:v>3.9712181744401449E-2</c:v>
                </c:pt>
                <c:pt idx="48">
                  <c:v>3.7259226742773946E-2</c:v>
                </c:pt>
                <c:pt idx="49">
                  <c:v>2.2655005832691057E-2</c:v>
                </c:pt>
                <c:pt idx="50">
                  <c:v>9.6604833405182586E-3</c:v>
                </c:pt>
                <c:pt idx="51">
                  <c:v>2.4804914390402277E-2</c:v>
                </c:pt>
                <c:pt idx="52">
                  <c:v>2.9233963087164739E-2</c:v>
                </c:pt>
                <c:pt idx="53">
                  <c:v>2.3530501510501407E-2</c:v>
                </c:pt>
                <c:pt idx="54">
                  <c:v>2.3023958840220637E-2</c:v>
                </c:pt>
                <c:pt idx="55">
                  <c:v>3.1112505114483987E-2</c:v>
                </c:pt>
                <c:pt idx="56">
                  <c:v>2.1959009297056346E-2</c:v>
                </c:pt>
                <c:pt idx="57">
                  <c:v>2.1492730752766562E-2</c:v>
                </c:pt>
                <c:pt idx="58">
                  <c:v>3.8208519634353975E-2</c:v>
                </c:pt>
                <c:pt idx="59">
                  <c:v>2.4674748144317308E-2</c:v>
                </c:pt>
                <c:pt idx="60">
                  <c:v>1.9032399592545091E-2</c:v>
                </c:pt>
                <c:pt idx="61">
                  <c:v>2.3790038424277803E-2</c:v>
                </c:pt>
                <c:pt idx="62">
                  <c:v>1.7931911719357537E-2</c:v>
                </c:pt>
                <c:pt idx="63">
                  <c:v>1.371998168513844E-2</c:v>
                </c:pt>
                <c:pt idx="64">
                  <c:v>1.8471115117528802E-2</c:v>
                </c:pt>
                <c:pt idx="65">
                  <c:v>1.4722442797727258E-2</c:v>
                </c:pt>
                <c:pt idx="66">
                  <c:v>2.7828431036593951E-2</c:v>
                </c:pt>
                <c:pt idx="67">
                  <c:v>1.4096717666659986E-2</c:v>
                </c:pt>
                <c:pt idx="68">
                  <c:v>1.9120358687794492E-2</c:v>
                </c:pt>
                <c:pt idx="69">
                  <c:v>2.2641716854493035E-2</c:v>
                </c:pt>
                <c:pt idx="70">
                  <c:v>2.1542401948321133E-2</c:v>
                </c:pt>
                <c:pt idx="71">
                  <c:v>1.5798439758176172E-2</c:v>
                </c:pt>
                <c:pt idx="72">
                  <c:v>2.1157818129386226E-2</c:v>
                </c:pt>
                <c:pt idx="73">
                  <c:v>2.136171717979839E-2</c:v>
                </c:pt>
                <c:pt idx="74">
                  <c:v>1.2974886158393576E-2</c:v>
                </c:pt>
                <c:pt idx="75">
                  <c:v>6.0662685934746562E-3</c:v>
                </c:pt>
                <c:pt idx="76">
                  <c:v>2.146153768294207E-2</c:v>
                </c:pt>
                <c:pt idx="77">
                  <c:v>1.4886590644117939E-2</c:v>
                </c:pt>
                <c:pt idx="78">
                  <c:v>1.2746177202983135E-2</c:v>
                </c:pt>
                <c:pt idx="79">
                  <c:v>2.3085278251576011E-2</c:v>
                </c:pt>
                <c:pt idx="80">
                  <c:v>2.70963215048548E-3</c:v>
                </c:pt>
                <c:pt idx="81">
                  <c:v>1.0045125666405808E-2</c:v>
                </c:pt>
                <c:pt idx="82">
                  <c:v>1.1415452598412472E-2</c:v>
                </c:pt>
                <c:pt idx="83">
                  <c:v>1.3400226911294793E-2</c:v>
                </c:pt>
                <c:pt idx="84">
                  <c:v>5.7757025668414468E-3</c:v>
                </c:pt>
                <c:pt idx="85">
                  <c:v>1.0404160540246645E-2</c:v>
                </c:pt>
                <c:pt idx="86">
                  <c:v>1.0404160540246645E-2</c:v>
                </c:pt>
                <c:pt idx="87">
                  <c:v>1.0404160540246645E-2</c:v>
                </c:pt>
                <c:pt idx="88">
                  <c:v>9.7214189952709498E-3</c:v>
                </c:pt>
                <c:pt idx="89">
                  <c:v>9.4997935264606991E-3</c:v>
                </c:pt>
                <c:pt idx="90">
                  <c:v>6.7329185863172795E-3</c:v>
                </c:pt>
                <c:pt idx="91">
                  <c:v>6.6944264829261373E-3</c:v>
                </c:pt>
                <c:pt idx="92">
                  <c:v>7.3679016458837688E-3</c:v>
                </c:pt>
                <c:pt idx="93">
                  <c:v>2.0367552554301422E-3</c:v>
                </c:pt>
                <c:pt idx="94">
                  <c:v>2.2674178097295177E-3</c:v>
                </c:pt>
                <c:pt idx="95">
                  <c:v>2.5359512130778759E-3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1F-4E06-AF0E-7235614388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1229408"/>
        <c:axId val="221225568"/>
      </c:barChart>
      <c:catAx>
        <c:axId val="2212294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225568"/>
        <c:crosses val="autoZero"/>
        <c:auto val="1"/>
        <c:lblAlgn val="ctr"/>
        <c:lblOffset val="100"/>
        <c:noMultiLvlLbl val="0"/>
      </c:catAx>
      <c:valAx>
        <c:axId val="221225568"/>
        <c:scaling>
          <c:orientation val="minMax"/>
          <c:max val="1"/>
        </c:scaling>
        <c:delete val="0"/>
        <c:axPos val="b"/>
        <c:numFmt formatCode="0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229408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Sheet1!$Z$1</c:f>
              <c:strCache>
                <c:ptCount val="1"/>
                <c:pt idx="0">
                  <c:v>Terrestrial Proportion of Scaled Score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Sheet1!$A$2:$A$99</c:f>
              <c:strCache>
                <c:ptCount val="98"/>
                <c:pt idx="0">
                  <c:v>BC17</c:v>
                </c:pt>
                <c:pt idx="1">
                  <c:v>BC10</c:v>
                </c:pt>
                <c:pt idx="2">
                  <c:v>BC15</c:v>
                </c:pt>
                <c:pt idx="3">
                  <c:v>NC01</c:v>
                </c:pt>
                <c:pt idx="4">
                  <c:v>BC11</c:v>
                </c:pt>
                <c:pt idx="5">
                  <c:v>WBBio_NE_ST_1</c:v>
                </c:pt>
                <c:pt idx="6">
                  <c:v>WBBio_NE_ST_2</c:v>
                </c:pt>
                <c:pt idx="7">
                  <c:v>WBBio_NE_ST_3</c:v>
                </c:pt>
                <c:pt idx="8">
                  <c:v>NC06</c:v>
                </c:pt>
                <c:pt idx="9">
                  <c:v>BC09</c:v>
                </c:pt>
                <c:pt idx="10">
                  <c:v>VI02</c:v>
                </c:pt>
                <c:pt idx="11">
                  <c:v>BC24</c:v>
                </c:pt>
                <c:pt idx="12">
                  <c:v>Clarke Lake</c:v>
                </c:pt>
                <c:pt idx="13">
                  <c:v>VI09</c:v>
                </c:pt>
                <c:pt idx="14">
                  <c:v>NC05</c:v>
                </c:pt>
                <c:pt idx="15">
                  <c:v>BC08</c:v>
                </c:pt>
                <c:pt idx="16">
                  <c:v>BC13</c:v>
                </c:pt>
                <c:pt idx="17">
                  <c:v>VI05</c:v>
                </c:pt>
                <c:pt idx="18">
                  <c:v>VI04</c:v>
                </c:pt>
                <c:pt idx="19">
                  <c:v>WBBio_NW_ST</c:v>
                </c:pt>
                <c:pt idx="20">
                  <c:v>VI06</c:v>
                </c:pt>
                <c:pt idx="21">
                  <c:v>PC22</c:v>
                </c:pt>
                <c:pt idx="22">
                  <c:v>PC01</c:v>
                </c:pt>
                <c:pt idx="23">
                  <c:v>Pebble Creek</c:v>
                </c:pt>
                <c:pt idx="24">
                  <c:v>BC25</c:v>
                </c:pt>
                <c:pt idx="25">
                  <c:v>PC02</c:v>
                </c:pt>
                <c:pt idx="26">
                  <c:v>VI07</c:v>
                </c:pt>
                <c:pt idx="27">
                  <c:v>BC21</c:v>
                </c:pt>
                <c:pt idx="28">
                  <c:v>PC04</c:v>
                </c:pt>
                <c:pt idx="29">
                  <c:v>PC11</c:v>
                </c:pt>
                <c:pt idx="30">
                  <c:v>Jedney Area</c:v>
                </c:pt>
                <c:pt idx="31">
                  <c:v>SI18</c:v>
                </c:pt>
                <c:pt idx="32">
                  <c:v>BC23</c:v>
                </c:pt>
                <c:pt idx="33">
                  <c:v>BC26</c:v>
                </c:pt>
                <c:pt idx="34">
                  <c:v>PC07</c:v>
                </c:pt>
                <c:pt idx="35">
                  <c:v>Lower Falls - storage for 16 hrs of generation</c:v>
                </c:pt>
                <c:pt idx="36">
                  <c:v>PC05</c:v>
                </c:pt>
                <c:pt idx="37">
                  <c:v>Sleeman - storage for 16 hrs of generation</c:v>
                </c:pt>
                <c:pt idx="38">
                  <c:v>Mt. Cayley</c:v>
                </c:pt>
                <c:pt idx="39">
                  <c:v>BC19</c:v>
                </c:pt>
                <c:pt idx="40">
                  <c:v>Meager Creek</c:v>
                </c:pt>
                <c:pt idx="41">
                  <c:v>ROR_5101</c:v>
                </c:pt>
                <c:pt idx="42">
                  <c:v>Quimper - Bulson</c:v>
                </c:pt>
                <c:pt idx="43">
                  <c:v>PC06</c:v>
                </c:pt>
                <c:pt idx="44">
                  <c:v>WBBio_CB_RR</c:v>
                </c:pt>
                <c:pt idx="45">
                  <c:v>South_Creek-8hr</c:v>
                </c:pt>
                <c:pt idx="46">
                  <c:v>NC12</c:v>
                </c:pt>
                <c:pt idx="47">
                  <c:v>NC02</c:v>
                </c:pt>
                <c:pt idx="48">
                  <c:v>BC20</c:v>
                </c:pt>
                <c:pt idx="49">
                  <c:v>PC13</c:v>
                </c:pt>
                <c:pt idx="50">
                  <c:v>Nass_River-8hr</c:v>
                </c:pt>
                <c:pt idx="51">
                  <c:v>Upper Deserted - Un-named</c:v>
                </c:pt>
                <c:pt idx="52">
                  <c:v>NC09</c:v>
                </c:pt>
                <c:pt idx="53">
                  <c:v>PC47</c:v>
                </c:pt>
                <c:pt idx="54">
                  <c:v>PC23</c:v>
                </c:pt>
                <c:pt idx="55">
                  <c:v>Hirsch - storage for 16 hrs of generation</c:v>
                </c:pt>
                <c:pt idx="56">
                  <c:v>PC37</c:v>
                </c:pt>
                <c:pt idx="57">
                  <c:v>Nahatlatch_River-8hr</c:v>
                </c:pt>
                <c:pt idx="58">
                  <c:v>PC24</c:v>
                </c:pt>
                <c:pt idx="59">
                  <c:v>SI01</c:v>
                </c:pt>
                <c:pt idx="60">
                  <c:v>Kinskuch_River-8hr</c:v>
                </c:pt>
                <c:pt idx="61">
                  <c:v>SI15</c:v>
                </c:pt>
                <c:pt idx="62">
                  <c:v>BC22</c:v>
                </c:pt>
                <c:pt idx="63">
                  <c:v>SI13</c:v>
                </c:pt>
                <c:pt idx="64">
                  <c:v>SI02</c:v>
                </c:pt>
                <c:pt idx="65">
                  <c:v>SI31</c:v>
                </c:pt>
                <c:pt idx="66">
                  <c:v>Upper Clore - Storage for 16 hrs of generation</c:v>
                </c:pt>
                <c:pt idx="67">
                  <c:v>PC08</c:v>
                </c:pt>
                <c:pt idx="68">
                  <c:v>SI03</c:v>
                </c:pt>
                <c:pt idx="69">
                  <c:v>PC12</c:v>
                </c:pt>
                <c:pt idx="70">
                  <c:v>PC09</c:v>
                </c:pt>
                <c:pt idx="71">
                  <c:v>Elaho_River-8hr</c:v>
                </c:pt>
                <c:pt idx="72">
                  <c:v>PC10</c:v>
                </c:pt>
                <c:pt idx="73">
                  <c:v>SI33</c:v>
                </c:pt>
                <c:pt idx="74">
                  <c:v>Solar36063</c:v>
                </c:pt>
                <c:pt idx="75">
                  <c:v>SI28</c:v>
                </c:pt>
                <c:pt idx="76">
                  <c:v>Squamish_River_B-8hr</c:v>
                </c:pt>
                <c:pt idx="77">
                  <c:v>Knight - Fourth</c:v>
                </c:pt>
                <c:pt idx="78">
                  <c:v>SI30</c:v>
                </c:pt>
                <c:pt idx="79">
                  <c:v>SI29</c:v>
                </c:pt>
                <c:pt idx="80">
                  <c:v>PC17</c:v>
                </c:pt>
                <c:pt idx="81">
                  <c:v>Upper Vancouver - Lower Vancouver</c:v>
                </c:pt>
                <c:pt idx="82">
                  <c:v>Anudol_Creek_A-8hr</c:v>
                </c:pt>
                <c:pt idx="83">
                  <c:v>PC26</c:v>
                </c:pt>
                <c:pt idx="84">
                  <c:v>NC07</c:v>
                </c:pt>
                <c:pt idx="85">
                  <c:v>PC21</c:v>
                </c:pt>
                <c:pt idx="86">
                  <c:v>SI10</c:v>
                </c:pt>
                <c:pt idx="87">
                  <c:v>PC14</c:v>
                </c:pt>
                <c:pt idx="88">
                  <c:v>PC19</c:v>
                </c:pt>
                <c:pt idx="89">
                  <c:v>Solar70982</c:v>
                </c:pt>
                <c:pt idx="90">
                  <c:v>SI27</c:v>
                </c:pt>
                <c:pt idx="91">
                  <c:v>Kenyon - Stave</c:v>
                </c:pt>
                <c:pt idx="92">
                  <c:v>PC16</c:v>
                </c:pt>
                <c:pt idx="93">
                  <c:v>VI10</c:v>
                </c:pt>
                <c:pt idx="94">
                  <c:v>PC25</c:v>
                </c:pt>
                <c:pt idx="95">
                  <c:v>SI14</c:v>
                </c:pt>
                <c:pt idx="96">
                  <c:v>Solar72534</c:v>
                </c:pt>
                <c:pt idx="97">
                  <c:v>NC08</c:v>
                </c:pt>
              </c:strCache>
            </c:strRef>
          </c:cat>
          <c:val>
            <c:numRef>
              <c:f>Sheet1!$Z$2:$Z$99</c:f>
              <c:numCache>
                <c:formatCode>0.0000</c:formatCode>
                <c:ptCount val="98"/>
                <c:pt idx="0">
                  <c:v>0.48051567131103101</c:v>
                </c:pt>
                <c:pt idx="1">
                  <c:v>0.48365855469941593</c:v>
                </c:pt>
                <c:pt idx="2">
                  <c:v>0.45094961573141312</c:v>
                </c:pt>
                <c:pt idx="3">
                  <c:v>0.30450642505205472</c:v>
                </c:pt>
                <c:pt idx="4">
                  <c:v>0.34065354161634237</c:v>
                </c:pt>
                <c:pt idx="5">
                  <c:v>0.3648583096902</c:v>
                </c:pt>
                <c:pt idx="6">
                  <c:v>0.3648583096902</c:v>
                </c:pt>
                <c:pt idx="7">
                  <c:v>0.3648583096902</c:v>
                </c:pt>
                <c:pt idx="8">
                  <c:v>0.35549024540383706</c:v>
                </c:pt>
                <c:pt idx="9">
                  <c:v>0.287796542253136</c:v>
                </c:pt>
                <c:pt idx="10">
                  <c:v>0.20109982182784694</c:v>
                </c:pt>
                <c:pt idx="11">
                  <c:v>0.32880128448125601</c:v>
                </c:pt>
                <c:pt idx="12">
                  <c:v>0.285390442331517</c:v>
                </c:pt>
                <c:pt idx="13">
                  <c:v>0.19794935647020087</c:v>
                </c:pt>
                <c:pt idx="14">
                  <c:v>0.28415494180712136</c:v>
                </c:pt>
                <c:pt idx="15">
                  <c:v>0.22897760208037377</c:v>
                </c:pt>
                <c:pt idx="16">
                  <c:v>0.20703727812426687</c:v>
                </c:pt>
                <c:pt idx="17">
                  <c:v>0.16570093183490339</c:v>
                </c:pt>
                <c:pt idx="18">
                  <c:v>0.15546133493440678</c:v>
                </c:pt>
                <c:pt idx="19">
                  <c:v>0.16101747322633717</c:v>
                </c:pt>
                <c:pt idx="20">
                  <c:v>0.1495671681816847</c:v>
                </c:pt>
                <c:pt idx="21">
                  <c:v>0.30711506960101209</c:v>
                </c:pt>
                <c:pt idx="22">
                  <c:v>0.25800389177941085</c:v>
                </c:pt>
                <c:pt idx="23">
                  <c:v>0.201361655937873</c:v>
                </c:pt>
                <c:pt idx="24">
                  <c:v>0.2407409137071479</c:v>
                </c:pt>
                <c:pt idx="25">
                  <c:v>0.23900462125570868</c:v>
                </c:pt>
                <c:pt idx="26">
                  <c:v>0.12938856240666666</c:v>
                </c:pt>
                <c:pt idx="27">
                  <c:v>0.14756879730679076</c:v>
                </c:pt>
                <c:pt idx="28">
                  <c:v>0.21220685132421088</c:v>
                </c:pt>
                <c:pt idx="29">
                  <c:v>0.20008652176214947</c:v>
                </c:pt>
                <c:pt idx="30">
                  <c:v>0.19357928419122866</c:v>
                </c:pt>
                <c:pt idx="31">
                  <c:v>0.15851863309796227</c:v>
                </c:pt>
                <c:pt idx="32">
                  <c:v>0.13283169709037548</c:v>
                </c:pt>
                <c:pt idx="33">
                  <c:v>0.14421080637916084</c:v>
                </c:pt>
                <c:pt idx="34">
                  <c:v>0.17303743082951958</c:v>
                </c:pt>
                <c:pt idx="35">
                  <c:v>0.14982119280555983</c:v>
                </c:pt>
                <c:pt idx="36">
                  <c:v>0.19913498184151862</c:v>
                </c:pt>
                <c:pt idx="37">
                  <c:v>0.14542824385944958</c:v>
                </c:pt>
                <c:pt idx="38">
                  <c:v>0.11252032966508697</c:v>
                </c:pt>
                <c:pt idx="39">
                  <c:v>0.14114272239862702</c:v>
                </c:pt>
                <c:pt idx="40">
                  <c:v>0.13538452234803358</c:v>
                </c:pt>
                <c:pt idx="41">
                  <c:v>8.8623966061434814E-2</c:v>
                </c:pt>
                <c:pt idx="42">
                  <c:v>0.14086272799907948</c:v>
                </c:pt>
                <c:pt idx="43">
                  <c:v>0.17320264020390969</c:v>
                </c:pt>
                <c:pt idx="44">
                  <c:v>0.13741213322803303</c:v>
                </c:pt>
                <c:pt idx="45">
                  <c:v>0.13082363636473771</c:v>
                </c:pt>
                <c:pt idx="46">
                  <c:v>0.1106339353011266</c:v>
                </c:pt>
                <c:pt idx="47">
                  <c:v>0.10531456719365255</c:v>
                </c:pt>
                <c:pt idx="48">
                  <c:v>0.13508008225280335</c:v>
                </c:pt>
                <c:pt idx="49">
                  <c:v>0.13313452863164552</c:v>
                </c:pt>
                <c:pt idx="50">
                  <c:v>0.10721025753003467</c:v>
                </c:pt>
                <c:pt idx="51">
                  <c:v>9.6118803478708076E-2</c:v>
                </c:pt>
                <c:pt idx="52">
                  <c:v>9.7443596978936259E-2</c:v>
                </c:pt>
                <c:pt idx="53">
                  <c:v>0.1134925533801095</c:v>
                </c:pt>
                <c:pt idx="54">
                  <c:v>0.13447562256843429</c:v>
                </c:pt>
                <c:pt idx="55">
                  <c:v>0.1087243846764744</c:v>
                </c:pt>
                <c:pt idx="56">
                  <c:v>0.14105568347240285</c:v>
                </c:pt>
                <c:pt idx="57">
                  <c:v>0.11471302646117308</c:v>
                </c:pt>
                <c:pt idx="58">
                  <c:v>0.12949766570700072</c:v>
                </c:pt>
                <c:pt idx="59">
                  <c:v>0.10539100373637939</c:v>
                </c:pt>
                <c:pt idx="60">
                  <c:v>0.1172132525128964</c:v>
                </c:pt>
                <c:pt idx="61">
                  <c:v>0.11523231403997385</c:v>
                </c:pt>
                <c:pt idx="62">
                  <c:v>8.6695960505081202E-2</c:v>
                </c:pt>
                <c:pt idx="63">
                  <c:v>9.9852058558716525E-2</c:v>
                </c:pt>
                <c:pt idx="64">
                  <c:v>9.8011812569776244E-2</c:v>
                </c:pt>
                <c:pt idx="65">
                  <c:v>0.15551706886379341</c:v>
                </c:pt>
                <c:pt idx="66">
                  <c:v>0.11093790583562853</c:v>
                </c:pt>
                <c:pt idx="67">
                  <c:v>0.13093599312280294</c:v>
                </c:pt>
                <c:pt idx="68">
                  <c:v>0.10937710609202453</c:v>
                </c:pt>
                <c:pt idx="69">
                  <c:v>0.11211223809855098</c:v>
                </c:pt>
                <c:pt idx="70">
                  <c:v>0.11890227989788982</c:v>
                </c:pt>
                <c:pt idx="71">
                  <c:v>7.303812118855621E-2</c:v>
                </c:pt>
                <c:pt idx="72">
                  <c:v>0.10831378617650594</c:v>
                </c:pt>
                <c:pt idx="73">
                  <c:v>0.12175981277737043</c:v>
                </c:pt>
                <c:pt idx="74">
                  <c:v>9.4555847160752285E-2</c:v>
                </c:pt>
                <c:pt idx="75">
                  <c:v>6.7034201742893984E-2</c:v>
                </c:pt>
                <c:pt idx="76">
                  <c:v>6.6434911097701513E-2</c:v>
                </c:pt>
                <c:pt idx="77">
                  <c:v>6.4475506915643299E-2</c:v>
                </c:pt>
                <c:pt idx="78">
                  <c:v>7.7636959910751355E-2</c:v>
                </c:pt>
                <c:pt idx="79">
                  <c:v>7.6400458221452014E-2</c:v>
                </c:pt>
                <c:pt idx="80">
                  <c:v>7.9668015544012885E-2</c:v>
                </c:pt>
                <c:pt idx="81">
                  <c:v>7.48246268453263E-2</c:v>
                </c:pt>
                <c:pt idx="82">
                  <c:v>5.6615634788825787E-2</c:v>
                </c:pt>
                <c:pt idx="83">
                  <c:v>8.4747969467634382E-2</c:v>
                </c:pt>
                <c:pt idx="84">
                  <c:v>5.3340267145984735E-2</c:v>
                </c:pt>
                <c:pt idx="85">
                  <c:v>7.621059902992966E-2</c:v>
                </c:pt>
                <c:pt idx="86">
                  <c:v>8.051781040140199E-2</c:v>
                </c:pt>
                <c:pt idx="87">
                  <c:v>7.9600950850106669E-2</c:v>
                </c:pt>
                <c:pt idx="88">
                  <c:v>7.377639835856617E-2</c:v>
                </c:pt>
                <c:pt idx="89">
                  <c:v>6.7026499128329808E-2</c:v>
                </c:pt>
                <c:pt idx="90">
                  <c:v>6.528338470771794E-2</c:v>
                </c:pt>
                <c:pt idx="91">
                  <c:v>5.2430185362883582E-2</c:v>
                </c:pt>
                <c:pt idx="92">
                  <c:v>7.507512902656259E-2</c:v>
                </c:pt>
                <c:pt idx="93">
                  <c:v>4.7589418176068925E-2</c:v>
                </c:pt>
                <c:pt idx="94">
                  <c:v>6.9686587392871549E-2</c:v>
                </c:pt>
                <c:pt idx="95">
                  <c:v>9.6235696118664962E-2</c:v>
                </c:pt>
                <c:pt idx="96">
                  <c:v>7.7867469061885686E-2</c:v>
                </c:pt>
                <c:pt idx="97">
                  <c:v>5.1096340869400465E-2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1A-4F97-B54B-C7D8445B8095}"/>
            </c:ext>
          </c:extLst>
        </c:ser>
        <c:ser>
          <c:idx val="1"/>
          <c:order val="1"/>
          <c:tx>
            <c:strRef>
              <c:f>Sheet1!$AA$1</c:f>
              <c:strCache>
                <c:ptCount val="1"/>
                <c:pt idx="0">
                  <c:v>Freshwater Proportion of Scaled Score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Sheet1!$A$2:$A$99</c:f>
              <c:strCache>
                <c:ptCount val="98"/>
                <c:pt idx="0">
                  <c:v>BC17</c:v>
                </c:pt>
                <c:pt idx="1">
                  <c:v>BC10</c:v>
                </c:pt>
                <c:pt idx="2">
                  <c:v>BC15</c:v>
                </c:pt>
                <c:pt idx="3">
                  <c:v>NC01</c:v>
                </c:pt>
                <c:pt idx="4">
                  <c:v>BC11</c:v>
                </c:pt>
                <c:pt idx="5">
                  <c:v>WBBio_NE_ST_1</c:v>
                </c:pt>
                <c:pt idx="6">
                  <c:v>WBBio_NE_ST_2</c:v>
                </c:pt>
                <c:pt idx="7">
                  <c:v>WBBio_NE_ST_3</c:v>
                </c:pt>
                <c:pt idx="8">
                  <c:v>NC06</c:v>
                </c:pt>
                <c:pt idx="9">
                  <c:v>BC09</c:v>
                </c:pt>
                <c:pt idx="10">
                  <c:v>VI02</c:v>
                </c:pt>
                <c:pt idx="11">
                  <c:v>BC24</c:v>
                </c:pt>
                <c:pt idx="12">
                  <c:v>Clarke Lake</c:v>
                </c:pt>
                <c:pt idx="13">
                  <c:v>VI09</c:v>
                </c:pt>
                <c:pt idx="14">
                  <c:v>NC05</c:v>
                </c:pt>
                <c:pt idx="15">
                  <c:v>BC08</c:v>
                </c:pt>
                <c:pt idx="16">
                  <c:v>BC13</c:v>
                </c:pt>
                <c:pt idx="17">
                  <c:v>VI05</c:v>
                </c:pt>
                <c:pt idx="18">
                  <c:v>VI04</c:v>
                </c:pt>
                <c:pt idx="19">
                  <c:v>WBBio_NW_ST</c:v>
                </c:pt>
                <c:pt idx="20">
                  <c:v>VI06</c:v>
                </c:pt>
                <c:pt idx="21">
                  <c:v>PC22</c:v>
                </c:pt>
                <c:pt idx="22">
                  <c:v>PC01</c:v>
                </c:pt>
                <c:pt idx="23">
                  <c:v>Pebble Creek</c:v>
                </c:pt>
                <c:pt idx="24">
                  <c:v>BC25</c:v>
                </c:pt>
                <c:pt idx="25">
                  <c:v>PC02</c:v>
                </c:pt>
                <c:pt idx="26">
                  <c:v>VI07</c:v>
                </c:pt>
                <c:pt idx="27">
                  <c:v>BC21</c:v>
                </c:pt>
                <c:pt idx="28">
                  <c:v>PC04</c:v>
                </c:pt>
                <c:pt idx="29">
                  <c:v>PC11</c:v>
                </c:pt>
                <c:pt idx="30">
                  <c:v>Jedney Area</c:v>
                </c:pt>
                <c:pt idx="31">
                  <c:v>SI18</c:v>
                </c:pt>
                <c:pt idx="32">
                  <c:v>BC23</c:v>
                </c:pt>
                <c:pt idx="33">
                  <c:v>BC26</c:v>
                </c:pt>
                <c:pt idx="34">
                  <c:v>PC07</c:v>
                </c:pt>
                <c:pt idx="35">
                  <c:v>Lower Falls - storage for 16 hrs of generation</c:v>
                </c:pt>
                <c:pt idx="36">
                  <c:v>PC05</c:v>
                </c:pt>
                <c:pt idx="37">
                  <c:v>Sleeman - storage for 16 hrs of generation</c:v>
                </c:pt>
                <c:pt idx="38">
                  <c:v>Mt. Cayley</c:v>
                </c:pt>
                <c:pt idx="39">
                  <c:v>BC19</c:v>
                </c:pt>
                <c:pt idx="40">
                  <c:v>Meager Creek</c:v>
                </c:pt>
                <c:pt idx="41">
                  <c:v>ROR_5101</c:v>
                </c:pt>
                <c:pt idx="42">
                  <c:v>Quimper - Bulson</c:v>
                </c:pt>
                <c:pt idx="43">
                  <c:v>PC06</c:v>
                </c:pt>
                <c:pt idx="44">
                  <c:v>WBBio_CB_RR</c:v>
                </c:pt>
                <c:pt idx="45">
                  <c:v>South_Creek-8hr</c:v>
                </c:pt>
                <c:pt idx="46">
                  <c:v>NC12</c:v>
                </c:pt>
                <c:pt idx="47">
                  <c:v>NC02</c:v>
                </c:pt>
                <c:pt idx="48">
                  <c:v>BC20</c:v>
                </c:pt>
                <c:pt idx="49">
                  <c:v>PC13</c:v>
                </c:pt>
                <c:pt idx="50">
                  <c:v>Nass_River-8hr</c:v>
                </c:pt>
                <c:pt idx="51">
                  <c:v>Upper Deserted - Un-named</c:v>
                </c:pt>
                <c:pt idx="52">
                  <c:v>NC09</c:v>
                </c:pt>
                <c:pt idx="53">
                  <c:v>PC47</c:v>
                </c:pt>
                <c:pt idx="54">
                  <c:v>PC23</c:v>
                </c:pt>
                <c:pt idx="55">
                  <c:v>Hirsch - storage for 16 hrs of generation</c:v>
                </c:pt>
                <c:pt idx="56">
                  <c:v>PC37</c:v>
                </c:pt>
                <c:pt idx="57">
                  <c:v>Nahatlatch_River-8hr</c:v>
                </c:pt>
                <c:pt idx="58">
                  <c:v>PC24</c:v>
                </c:pt>
                <c:pt idx="59">
                  <c:v>SI01</c:v>
                </c:pt>
                <c:pt idx="60">
                  <c:v>Kinskuch_River-8hr</c:v>
                </c:pt>
                <c:pt idx="61">
                  <c:v>SI15</c:v>
                </c:pt>
                <c:pt idx="62">
                  <c:v>BC22</c:v>
                </c:pt>
                <c:pt idx="63">
                  <c:v>SI13</c:v>
                </c:pt>
                <c:pt idx="64">
                  <c:v>SI02</c:v>
                </c:pt>
                <c:pt idx="65">
                  <c:v>SI31</c:v>
                </c:pt>
                <c:pt idx="66">
                  <c:v>Upper Clore - Storage for 16 hrs of generation</c:v>
                </c:pt>
                <c:pt idx="67">
                  <c:v>PC08</c:v>
                </c:pt>
                <c:pt idx="68">
                  <c:v>SI03</c:v>
                </c:pt>
                <c:pt idx="69">
                  <c:v>PC12</c:v>
                </c:pt>
                <c:pt idx="70">
                  <c:v>PC09</c:v>
                </c:pt>
                <c:pt idx="71">
                  <c:v>Elaho_River-8hr</c:v>
                </c:pt>
                <c:pt idx="72">
                  <c:v>PC10</c:v>
                </c:pt>
                <c:pt idx="73">
                  <c:v>SI33</c:v>
                </c:pt>
                <c:pt idx="74">
                  <c:v>Solar36063</c:v>
                </c:pt>
                <c:pt idx="75">
                  <c:v>SI28</c:v>
                </c:pt>
                <c:pt idx="76">
                  <c:v>Squamish_River_B-8hr</c:v>
                </c:pt>
                <c:pt idx="77">
                  <c:v>Knight - Fourth</c:v>
                </c:pt>
                <c:pt idx="78">
                  <c:v>SI30</c:v>
                </c:pt>
                <c:pt idx="79">
                  <c:v>SI29</c:v>
                </c:pt>
                <c:pt idx="80">
                  <c:v>PC17</c:v>
                </c:pt>
                <c:pt idx="81">
                  <c:v>Upper Vancouver - Lower Vancouver</c:v>
                </c:pt>
                <c:pt idx="82">
                  <c:v>Anudol_Creek_A-8hr</c:v>
                </c:pt>
                <c:pt idx="83">
                  <c:v>PC26</c:v>
                </c:pt>
                <c:pt idx="84">
                  <c:v>NC07</c:v>
                </c:pt>
                <c:pt idx="85">
                  <c:v>PC21</c:v>
                </c:pt>
                <c:pt idx="86">
                  <c:v>SI10</c:v>
                </c:pt>
                <c:pt idx="87">
                  <c:v>PC14</c:v>
                </c:pt>
                <c:pt idx="88">
                  <c:v>PC19</c:v>
                </c:pt>
                <c:pt idx="89">
                  <c:v>Solar70982</c:v>
                </c:pt>
                <c:pt idx="90">
                  <c:v>SI27</c:v>
                </c:pt>
                <c:pt idx="91">
                  <c:v>Kenyon - Stave</c:v>
                </c:pt>
                <c:pt idx="92">
                  <c:v>PC16</c:v>
                </c:pt>
                <c:pt idx="93">
                  <c:v>VI10</c:v>
                </c:pt>
                <c:pt idx="94">
                  <c:v>PC25</c:v>
                </c:pt>
                <c:pt idx="95">
                  <c:v>SI14</c:v>
                </c:pt>
                <c:pt idx="96">
                  <c:v>Solar72534</c:v>
                </c:pt>
                <c:pt idx="97">
                  <c:v>NC08</c:v>
                </c:pt>
              </c:strCache>
            </c:strRef>
          </c:cat>
          <c:val>
            <c:numRef>
              <c:f>Sheet1!$AA$2:$AA$99</c:f>
              <c:numCache>
                <c:formatCode>0.0000</c:formatCode>
                <c:ptCount val="98"/>
                <c:pt idx="0">
                  <c:v>0.51948432868896899</c:v>
                </c:pt>
                <c:pt idx="1">
                  <c:v>0.50942426393822815</c:v>
                </c:pt>
                <c:pt idx="2">
                  <c:v>0.49389189073579071</c:v>
                </c:pt>
                <c:pt idx="3">
                  <c:v>0.46128845564468179</c:v>
                </c:pt>
                <c:pt idx="4">
                  <c:v>0.40075635315729896</c:v>
                </c:pt>
                <c:pt idx="5">
                  <c:v>0.34017120987448418</c:v>
                </c:pt>
                <c:pt idx="6">
                  <c:v>0.34017120987448418</c:v>
                </c:pt>
                <c:pt idx="7">
                  <c:v>0.34017120987448418</c:v>
                </c:pt>
                <c:pt idx="8">
                  <c:v>0.34029508046021045</c:v>
                </c:pt>
                <c:pt idx="9">
                  <c:v>0.36517354391092854</c:v>
                </c:pt>
                <c:pt idx="10">
                  <c:v>0.44528755749793725</c:v>
                </c:pt>
                <c:pt idx="11">
                  <c:v>0.30154086689838833</c:v>
                </c:pt>
                <c:pt idx="12">
                  <c:v>0.31190375064832804</c:v>
                </c:pt>
                <c:pt idx="13">
                  <c:v>0.39141305078668043</c:v>
                </c:pt>
                <c:pt idx="14">
                  <c:v>0.30425708906538429</c:v>
                </c:pt>
                <c:pt idx="15">
                  <c:v>0.35013702602375402</c:v>
                </c:pt>
                <c:pt idx="16">
                  <c:v>0.35099048277729572</c:v>
                </c:pt>
                <c:pt idx="17">
                  <c:v>0.38428968679948938</c:v>
                </c:pt>
                <c:pt idx="18">
                  <c:v>0.37845787423768734</c:v>
                </c:pt>
                <c:pt idx="19">
                  <c:v>0.37007636486507783</c:v>
                </c:pt>
                <c:pt idx="20">
                  <c:v>0.36790000419548546</c:v>
                </c:pt>
                <c:pt idx="21">
                  <c:v>0.18589439444261871</c:v>
                </c:pt>
                <c:pt idx="22">
                  <c:v>0.21937138291798194</c:v>
                </c:pt>
                <c:pt idx="23">
                  <c:v>0.25352083408700299</c:v>
                </c:pt>
                <c:pt idx="24">
                  <c:v>0.2126018259269756</c:v>
                </c:pt>
                <c:pt idx="25">
                  <c:v>0.20365167710058338</c:v>
                </c:pt>
                <c:pt idx="26">
                  <c:v>0.30106286556651224</c:v>
                </c:pt>
                <c:pt idx="27">
                  <c:v>0.22395621656120379</c:v>
                </c:pt>
                <c:pt idx="28">
                  <c:v>0.13263991368340958</c:v>
                </c:pt>
                <c:pt idx="29">
                  <c:v>0.14446204344867625</c:v>
                </c:pt>
                <c:pt idx="30">
                  <c:v>0.15024508151309554</c:v>
                </c:pt>
                <c:pt idx="31">
                  <c:v>0.16298334781772783</c:v>
                </c:pt>
                <c:pt idx="32">
                  <c:v>0.18327726808033126</c:v>
                </c:pt>
                <c:pt idx="33">
                  <c:v>0.15699049917022151</c:v>
                </c:pt>
                <c:pt idx="34">
                  <c:v>0.12656816500724319</c:v>
                </c:pt>
                <c:pt idx="35">
                  <c:v>0.14693020497616766</c:v>
                </c:pt>
                <c:pt idx="36">
                  <c:v>9.5358617478763077E-2</c:v>
                </c:pt>
                <c:pt idx="37">
                  <c:v>0.13777636315360303</c:v>
                </c:pt>
                <c:pt idx="38">
                  <c:v>0.16501848120886575</c:v>
                </c:pt>
                <c:pt idx="39">
                  <c:v>0.13353813310285079</c:v>
                </c:pt>
                <c:pt idx="40">
                  <c:v>0.13704229200943804</c:v>
                </c:pt>
                <c:pt idx="41">
                  <c:v>0.17971325108285197</c:v>
                </c:pt>
                <c:pt idx="42">
                  <c:v>0.12704848943550048</c:v>
                </c:pt>
                <c:pt idx="43">
                  <c:v>9.0150380336807973E-2</c:v>
                </c:pt>
                <c:pt idx="44">
                  <c:v>0.12393868867706288</c:v>
                </c:pt>
                <c:pt idx="45">
                  <c:v>0.13005858585968078</c:v>
                </c:pt>
                <c:pt idx="46">
                  <c:v>0.14935368753290773</c:v>
                </c:pt>
                <c:pt idx="47">
                  <c:v>0.15426923347556235</c:v>
                </c:pt>
                <c:pt idx="48">
                  <c:v>0.11357204188569317</c:v>
                </c:pt>
                <c:pt idx="49">
                  <c:v>0.10661810799131778</c:v>
                </c:pt>
                <c:pt idx="50">
                  <c:v>0.13007158077662945</c:v>
                </c:pt>
                <c:pt idx="51">
                  <c:v>0.14043883532145457</c:v>
                </c:pt>
                <c:pt idx="52">
                  <c:v>0.13772610068702495</c:v>
                </c:pt>
                <c:pt idx="53">
                  <c:v>0.11833648864230811</c:v>
                </c:pt>
                <c:pt idx="54">
                  <c:v>9.2539622734296959E-2</c:v>
                </c:pt>
                <c:pt idx="55">
                  <c:v>0.11569226239704564</c:v>
                </c:pt>
                <c:pt idx="56">
                  <c:v>8.2551564152674325E-2</c:v>
                </c:pt>
                <c:pt idx="57">
                  <c:v>0.10821262162837329</c:v>
                </c:pt>
                <c:pt idx="58">
                  <c:v>9.3044582643809562E-2</c:v>
                </c:pt>
                <c:pt idx="59">
                  <c:v>0.11659861649101377</c:v>
                </c:pt>
                <c:pt idx="60">
                  <c:v>0.10119679865375833</c:v>
                </c:pt>
                <c:pt idx="61">
                  <c:v>9.6553999700360507E-2</c:v>
                </c:pt>
                <c:pt idx="62">
                  <c:v>0.1153632760836726</c:v>
                </c:pt>
                <c:pt idx="63">
                  <c:v>0.10049700645541659</c:v>
                </c:pt>
                <c:pt idx="64">
                  <c:v>0.10198727323484673</c:v>
                </c:pt>
                <c:pt idx="65">
                  <c:v>4.4214544929095677E-2</c:v>
                </c:pt>
                <c:pt idx="66">
                  <c:v>8.7620558858691286E-2</c:v>
                </c:pt>
                <c:pt idx="67">
                  <c:v>6.4427473748716199E-2</c:v>
                </c:pt>
                <c:pt idx="68">
                  <c:v>8.5067411245703578E-2</c:v>
                </c:pt>
                <c:pt idx="69">
                  <c:v>7.8011432343575049E-2</c:v>
                </c:pt>
                <c:pt idx="70">
                  <c:v>6.8878392140849037E-2</c:v>
                </c:pt>
                <c:pt idx="71">
                  <c:v>0.11325155186620897</c:v>
                </c:pt>
                <c:pt idx="72">
                  <c:v>7.1756291116540583E-2</c:v>
                </c:pt>
                <c:pt idx="73">
                  <c:v>5.7825328172131124E-2</c:v>
                </c:pt>
                <c:pt idx="74">
                  <c:v>8.4875230567734092E-2</c:v>
                </c:pt>
                <c:pt idx="75">
                  <c:v>0.10592168039804971</c:v>
                </c:pt>
                <c:pt idx="76">
                  <c:v>0.10285737353976405</c:v>
                </c:pt>
                <c:pt idx="77">
                  <c:v>9.996038103116521E-2</c:v>
                </c:pt>
                <c:pt idx="78">
                  <c:v>8.6148901043011553E-2</c:v>
                </c:pt>
                <c:pt idx="79">
                  <c:v>8.6629630683324202E-2</c:v>
                </c:pt>
                <c:pt idx="80">
                  <c:v>8.2978673622027266E-2</c:v>
                </c:pt>
                <c:pt idx="81">
                  <c:v>8.5053064207619919E-2</c:v>
                </c:pt>
                <c:pt idx="82">
                  <c:v>0.10211185704791217</c:v>
                </c:pt>
                <c:pt idx="83">
                  <c:v>7.1167924285038986E-2</c:v>
                </c:pt>
                <c:pt idx="84">
                  <c:v>9.967882858068268E-2</c:v>
                </c:pt>
                <c:pt idx="85">
                  <c:v>7.5828697364412195E-2</c:v>
                </c:pt>
                <c:pt idx="86">
                  <c:v>6.9536693705456745E-2</c:v>
                </c:pt>
                <c:pt idx="87">
                  <c:v>7.0350946966672087E-2</c:v>
                </c:pt>
                <c:pt idx="88">
                  <c:v>7.0509703319112688E-2</c:v>
                </c:pt>
                <c:pt idx="89">
                  <c:v>7.5001804087903245E-2</c:v>
                </c:pt>
                <c:pt idx="90">
                  <c:v>7.4785319843864023E-2</c:v>
                </c:pt>
                <c:pt idx="91">
                  <c:v>8.755331924675705E-2</c:v>
                </c:pt>
                <c:pt idx="92">
                  <c:v>6.1926377615130722E-2</c:v>
                </c:pt>
                <c:pt idx="93">
                  <c:v>8.9028688726888308E-2</c:v>
                </c:pt>
                <c:pt idx="94">
                  <c:v>6.6505519800378929E-2</c:v>
                </c:pt>
                <c:pt idx="95">
                  <c:v>3.9245370699116856E-2</c:v>
                </c:pt>
                <c:pt idx="96">
                  <c:v>5.6322439495743032E-2</c:v>
                </c:pt>
                <c:pt idx="97">
                  <c:v>8.2370194621163573E-2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1A-4F97-B54B-C7D8445B80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1229408"/>
        <c:axId val="221225568"/>
      </c:barChart>
      <c:catAx>
        <c:axId val="2212294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225568"/>
        <c:crosses val="autoZero"/>
        <c:auto val="1"/>
        <c:lblAlgn val="ctr"/>
        <c:lblOffset val="100"/>
        <c:noMultiLvlLbl val="0"/>
      </c:catAx>
      <c:valAx>
        <c:axId val="22122556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229408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71718</xdr:colOff>
      <xdr:row>69</xdr:row>
      <xdr:rowOff>87086</xdr:rowOff>
    </xdr:from>
    <xdr:to>
      <xdr:col>36</xdr:col>
      <xdr:colOff>376518</xdr:colOff>
      <xdr:row>107</xdr:row>
      <xdr:rowOff>35858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AAA6F38-538E-6A9F-A2C6-3D9120F0E9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66</xdr:row>
      <xdr:rowOff>169920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8B3F66-CC7B-4FC1-9F9F-FAD675C51F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472440</xdr:colOff>
      <xdr:row>72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F7AE97-F553-412E-A672-C6357F7763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487D282-B447-4764-A9C5-BD326D24376D}" name="Table1" displayName="Table1" ref="A1:AB197" totalsRowShown="0" headerRowDxfId="34" dataDxfId="33" tableBorderDxfId="32">
  <autoFilter ref="A1:AB197" xr:uid="{7487D282-B447-4764-A9C5-BD326D24376D}"/>
  <sortState xmlns:xlrd2="http://schemas.microsoft.com/office/spreadsheetml/2017/richdata2" ref="A2:AB197">
    <sortCondition descending="1" ref="AB1:AB197"/>
  </sortState>
  <tableColumns count="28">
    <tableColumn id="1" xr3:uid="{DAAD63E8-A842-434A-9E5F-23C179FCC6A5}" name="BC Hydro Names" dataDxfId="31"/>
    <tableColumn id="2" xr3:uid="{78DE7446-6DB5-4474-A9F0-6027A2E91A72}" name="Project Type" dataDxfId="30"/>
    <tableColumn id="3" xr3:uid="{86B5DED2-C44D-4900-80B0-72FD8A073162}" name="Region" dataDxfId="29"/>
    <tableColumn id="4" xr3:uid="{A5B63A59-D607-4B2C-9E2E-4BA726C588E8}" name="Latitude" dataDxfId="28"/>
    <tableColumn id="5" xr3:uid="{12B40F59-FA4D-42DB-BBAE-3C068151F3A7}" name="Longitude" dataDxfId="27"/>
    <tableColumn id="6" xr3:uid="{FB631301-F7A8-4F01-8A25-0AC44C05120D}" name="Installed Capacity (MW)" dataDxfId="26"/>
    <tableColumn id="7" xr3:uid="{450C8D47-6576-4DF4-8F8E-12D6EAECF3C4}" name="Dependable Generating Capacity (MW)" dataDxfId="25"/>
    <tableColumn id="8" xr3:uid="{ADB136BC-A8BF-4007-A88B-D80A12F0CF4E}" name="Effective Load-Carrying Capacity (MW)" dataDxfId="24"/>
    <tableColumn id="10" xr3:uid="{1BF6A5A1-CA05-4A0D-AB75-AC2A58D024E9}" name="Annual Firm Energy (GWh/yr)" dataDxfId="23"/>
    <tableColumn id="11" xr3:uid="{F80D1D4D-23A0-41B6-9E43-703178D7EC62}" name="UEC ($/MWh)" dataDxfId="22"/>
    <tableColumn id="12" xr3:uid="{F22D587B-9306-483E-ABFE-275918EDC782}" name="UCC ($/kW-yr)" dataDxfId="21"/>
    <tableColumn id="13" xr3:uid="{07A1EE1D-5689-45FA-A022-73422F5C8B88}" name="R1 Length (km)" dataDxfId="20"/>
    <tableColumn id="14" xr3:uid="{77106FD0-3E49-415B-8200-E55C32812EA9}" name="T1 Length (km)" dataDxfId="19"/>
    <tableColumn id="30" xr3:uid="{13D389FF-9114-433E-9443-8C05957BB7A0}" name="Linear Features (km)" dataDxfId="18">
      <calculatedColumnFormula>Table1[[#This Row],[R1 Length (km)]]+Table1[[#This Row],[T1 Length (km)]]</calculatedColumnFormula>
    </tableColumn>
    <tableColumn id="15" xr3:uid="{9C17B7DD-1C68-493A-ACF3-1F346727F440}" name="Line Voltage" dataDxfId="17"/>
    <tableColumn id="17" xr3:uid="{81D99563-16B5-4625-9A76-95CC11F25013}" name="Plateau or Ridgeline - WIND" dataDxfId="16"/>
    <tableColumn id="16" xr3:uid="{F0179228-D88A-43CD-BCC3-D320BAD9A3EC}" name="Number of Turbines - WIND" dataDxfId="15" dataCellStyle="Comma"/>
    <tableColumn id="18" xr3:uid="{BD1F6288-65C7-49DD-AF15-5D96B4B6A259}" name="Footprint of Plant (ha) - SOLAR" dataDxfId="14" dataCellStyle="Comma"/>
    <tableColumn id="19" xr3:uid="{C270132B-9BD7-47D4-9629-60E0B9CD8CB5}" name="Footprint of Panels (ha) - SOLAR" dataDxfId="13" dataCellStyle="Comma"/>
    <tableColumn id="9" xr3:uid="{1AC91F17-0C60-405B-BFD1-C9F2FE6D06AD}" name="ATG (ha)" dataDxfId="12"/>
    <tableColumn id="20" xr3:uid="{AD2CE6A5-4859-4EBD-A0CA-7B55EBCEEFD8}" name="Raw Terrestrial Score" dataDxfId="11"/>
    <tableColumn id="26" xr3:uid="{3EB508D6-4830-4E53-927E-AC9ED404856D}" name="Terrestrial % of Summed Score" dataDxfId="10">
      <calculatedColumnFormula>Table1[[#This Row],[Raw Terrestrial Score]]/Table1[[#This Row],[Summed Raw Scores]]</calculatedColumnFormula>
    </tableColumn>
    <tableColumn id="21" xr3:uid="{70D7E5C1-7F6D-4FDF-A711-BA80729BB28F}" name="Raw Freshwater Score" dataDxfId="4"/>
    <tableColumn id="27" xr3:uid="{5D2D2130-2F0B-42B9-A126-21C68F62BA79}" name="Freshwater % of Summed Score" dataDxfId="9">
      <calculatedColumnFormula>Table1[[#This Row],[Raw Freshwater Score]]/Table1[[#This Row],[Summed Raw Scores]]</calculatedColumnFormula>
    </tableColumn>
    <tableColumn id="22" xr3:uid="{663C1351-B6C8-4221-9ECD-FE5987E748FB}" name="Summed Raw Scores" dataDxfId="8">
      <calculatedColumnFormula>Table1[[#This Row],[Raw Terrestrial Score]]+Table1[[#This Row],[Raw Freshwater Score]]</calculatedColumnFormula>
    </tableColumn>
    <tableColumn id="28" xr3:uid="{8DD49517-7DAA-4FEE-9826-0C6758C2CEA0}" name="Terrestrial Proportion of Scaled Score" dataDxfId="7">
      <calculatedColumnFormula>Table1[[#This Row],[Terrestrial % of Summed Score]]*Table1[[#This Row],[Scaled Summed Score]]</calculatedColumnFormula>
    </tableColumn>
    <tableColumn id="29" xr3:uid="{1C47B4E4-6C3B-4B14-8A66-E129FC0A9D27}" name="Freshwater Proportion of Scaled Score" dataDxfId="6">
      <calculatedColumnFormula>Table1[[#This Row],[Freshwater % of Summed Score]]*Table1[[#This Row],[Scaled Summed Score]]</calculatedColumnFormula>
    </tableColumn>
    <tableColumn id="25" xr3:uid="{A7AC6D2B-83E7-4B7E-B674-14C716453015}" name="Scaled Summed Score" dataDxfId="5">
      <calculatedColumnFormula>(Table1[[#This Row],[Summed Raw Scores]]-MIN(Table1[Summed Raw Scores]))/(MAX(Table1[Summed Raw Scores])-MIN(Table1[Summed Raw Scores]))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97"/>
  <sheetViews>
    <sheetView zoomScale="70" zoomScaleNormal="70" workbookViewId="0">
      <pane xSplit="1" ySplit="1" topLeftCell="Y68" activePane="bottomRight" state="frozen"/>
      <selection pane="topRight" activeCell="B1" sqref="B1"/>
      <selection pane="bottomLeft" activeCell="A2" sqref="A2"/>
      <selection pane="bottomRight" activeCell="AB69" sqref="AB69"/>
    </sheetView>
  </sheetViews>
  <sheetFormatPr defaultRowHeight="14.4" x14ac:dyDescent="0.3"/>
  <cols>
    <col min="1" max="1" width="41.6640625" style="7" bestFit="1" customWidth="1"/>
    <col min="2" max="2" width="20.88671875" bestFit="1" customWidth="1"/>
    <col min="3" max="3" width="16.44140625" customWidth="1"/>
    <col min="4" max="4" width="14.6640625" style="10" customWidth="1"/>
    <col min="5" max="5" width="16.109375" style="10" customWidth="1"/>
    <col min="6" max="6" width="14.6640625" customWidth="1"/>
    <col min="7" max="7" width="20" customWidth="1"/>
    <col min="8" max="8" width="20.109375" style="10" customWidth="1"/>
    <col min="9" max="9" width="17.88671875" style="10" customWidth="1"/>
    <col min="10" max="10" width="14.6640625" style="10" customWidth="1"/>
    <col min="11" max="11" width="15.21875" style="10" customWidth="1"/>
    <col min="12" max="12" width="15.6640625" style="10" customWidth="1"/>
    <col min="13" max="14" width="15.5546875" style="10" customWidth="1"/>
    <col min="15" max="15" width="13.21875" customWidth="1"/>
    <col min="16" max="16" width="22.33203125" customWidth="1"/>
    <col min="17" max="17" width="21.6640625" bestFit="1" customWidth="1"/>
    <col min="18" max="18" width="23" style="10" customWidth="1"/>
    <col min="19" max="19" width="24.109375" style="10" customWidth="1"/>
    <col min="20" max="20" width="13.88671875" style="10" bestFit="1" customWidth="1"/>
    <col min="21" max="21" width="20.5546875" style="21" bestFit="1" customWidth="1"/>
    <col min="22" max="22" width="20.5546875" style="21" customWidth="1"/>
    <col min="23" max="24" width="21.21875" style="21" customWidth="1"/>
    <col min="25" max="25" width="20.33203125" style="21" customWidth="1"/>
    <col min="26" max="27" width="20.33203125" style="23" customWidth="1"/>
    <col min="28" max="28" width="18" style="23" bestFit="1" customWidth="1"/>
    <col min="29" max="29" width="14.6640625" style="10" customWidth="1"/>
  </cols>
  <sheetData>
    <row r="1" spans="1:29" ht="43.2" x14ac:dyDescent="0.3">
      <c r="A1" s="6" t="s">
        <v>0</v>
      </c>
      <c r="B1" s="6" t="s">
        <v>1</v>
      </c>
      <c r="C1" s="6" t="s">
        <v>2</v>
      </c>
      <c r="D1" s="8" t="s">
        <v>3</v>
      </c>
      <c r="E1" s="8" t="s">
        <v>4</v>
      </c>
      <c r="F1" s="6" t="s">
        <v>5</v>
      </c>
      <c r="G1" s="6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245</v>
      </c>
      <c r="O1" s="6" t="s">
        <v>13</v>
      </c>
      <c r="P1" s="6" t="s">
        <v>14</v>
      </c>
      <c r="Q1" s="6" t="s">
        <v>239</v>
      </c>
      <c r="R1" s="8" t="s">
        <v>15</v>
      </c>
      <c r="S1" s="8" t="s">
        <v>16</v>
      </c>
      <c r="T1" s="8" t="s">
        <v>240</v>
      </c>
      <c r="U1" s="19" t="s">
        <v>17</v>
      </c>
      <c r="V1" s="19" t="s">
        <v>242</v>
      </c>
      <c r="W1" s="19" t="s">
        <v>18</v>
      </c>
      <c r="X1" s="19" t="s">
        <v>243</v>
      </c>
      <c r="Y1" s="19" t="s">
        <v>19</v>
      </c>
      <c r="Z1" s="22" t="s">
        <v>246</v>
      </c>
      <c r="AA1" s="22" t="s">
        <v>247</v>
      </c>
      <c r="AB1" s="22" t="s">
        <v>244</v>
      </c>
      <c r="AC1" s="8" t="s">
        <v>241</v>
      </c>
    </row>
    <row r="2" spans="1:29" x14ac:dyDescent="0.3">
      <c r="A2" s="1" t="s">
        <v>122</v>
      </c>
      <c r="B2" s="1" t="s">
        <v>115</v>
      </c>
      <c r="C2" s="1" t="s">
        <v>28</v>
      </c>
      <c r="D2" s="2">
        <v>59.7913</v>
      </c>
      <c r="E2" s="2">
        <v>-125.352</v>
      </c>
      <c r="F2" s="1">
        <v>290</v>
      </c>
      <c r="G2" s="1" t="s">
        <v>23</v>
      </c>
      <c r="H2" s="2">
        <v>69.599999999999994</v>
      </c>
      <c r="I2" s="2">
        <v>892.69655999999998</v>
      </c>
      <c r="J2" s="2">
        <v>112.49687077743719</v>
      </c>
      <c r="K2" s="2" t="s">
        <v>23</v>
      </c>
      <c r="L2" s="2">
        <v>30.673519531300002</v>
      </c>
      <c r="M2" s="2">
        <v>572.73781250000002</v>
      </c>
      <c r="N2" s="2">
        <f>Table1[[#This Row],[R1 Length (km)]]+Table1[[#This Row],[T1 Length (km)]]</f>
        <v>603.41133203130005</v>
      </c>
      <c r="O2" s="1">
        <v>230</v>
      </c>
      <c r="P2" s="1" t="s">
        <v>116</v>
      </c>
      <c r="Q2" s="1">
        <v>126</v>
      </c>
      <c r="R2" s="9" t="s">
        <v>23</v>
      </c>
      <c r="S2" s="9" t="s">
        <v>23</v>
      </c>
      <c r="T2" s="9">
        <f>((PI()*(45^2))*Table1[[#This Row],[Number of Turbines - WIND]])/10000</f>
        <v>80.157736556343565</v>
      </c>
      <c r="U2" s="20">
        <f>11102+184.4455</f>
        <v>11286.4455</v>
      </c>
      <c r="V2" s="20">
        <f>Table1[[#This Row],[Raw Terrestrial Score]]/Table1[[#This Row],[Summed Raw Scores]]</f>
        <v>0.48051567131103101</v>
      </c>
      <c r="W2" s="20">
        <f>171.7489+12030</f>
        <v>12201.748900000001</v>
      </c>
      <c r="X2" s="20">
        <f>Table1[[#This Row],[Raw Freshwater Score]]/Table1[[#This Row],[Summed Raw Scores]]</f>
        <v>0.51948432868896899</v>
      </c>
      <c r="Y2" s="20">
        <f>Table1[[#This Row],[Raw Terrestrial Score]]+Table1[[#This Row],[Raw Freshwater Score]]</f>
        <v>23488.1944</v>
      </c>
      <c r="Z2" s="18">
        <f>Table1[[#This Row],[Terrestrial % of Summed Score]]*Table1[[#This Row],[Scaled Summed Score]]</f>
        <v>0.48051567131103101</v>
      </c>
      <c r="AA2" s="18">
        <f>Table1[[#This Row],[Freshwater % of Summed Score]]*Table1[[#This Row],[Scaled Summed Score]]</f>
        <v>0.51948432868896899</v>
      </c>
      <c r="AB2" s="18">
        <f>(Table1[[#This Row],[Summed Raw Scores]]-MIN(Table1[Summed Raw Scores]))/(MAX(Table1[Summed Raw Scores])-MIN(Table1[Summed Raw Scores]))</f>
        <v>1</v>
      </c>
      <c r="AC2" s="9"/>
    </row>
    <row r="3" spans="1:29" x14ac:dyDescent="0.3">
      <c r="A3" s="1" t="s">
        <v>118</v>
      </c>
      <c r="B3" s="1" t="s">
        <v>115</v>
      </c>
      <c r="C3" s="1" t="s">
        <v>31</v>
      </c>
      <c r="D3" s="2">
        <v>59.016599999999997</v>
      </c>
      <c r="E3" s="2">
        <v>-131.26</v>
      </c>
      <c r="F3" s="1">
        <v>165</v>
      </c>
      <c r="G3" s="1" t="s">
        <v>23</v>
      </c>
      <c r="H3" s="2">
        <v>39.6</v>
      </c>
      <c r="I3" s="2">
        <v>507.91356000000002</v>
      </c>
      <c r="J3" s="2">
        <v>125.28558797417327</v>
      </c>
      <c r="K3" s="2" t="s">
        <v>23</v>
      </c>
      <c r="L3" s="2">
        <v>54.375484374999999</v>
      </c>
      <c r="M3" s="2">
        <v>203.42195312499999</v>
      </c>
      <c r="N3" s="2">
        <f>Table1[[#This Row],[R1 Length (km)]]+Table1[[#This Row],[T1 Length (km)]]</f>
        <v>257.7974375</v>
      </c>
      <c r="O3" s="1">
        <v>230</v>
      </c>
      <c r="P3" s="1" t="s">
        <v>116</v>
      </c>
      <c r="Q3" s="1">
        <f>20+20+13+18</f>
        <v>71</v>
      </c>
      <c r="R3" s="9" t="s">
        <v>23</v>
      </c>
      <c r="S3" s="9" t="s">
        <v>23</v>
      </c>
      <c r="T3" s="9">
        <f>((PI()*(45^2))*Table1[[#This Row],[Number of Turbines - WIND]])/10000</f>
        <v>45.168248376987243</v>
      </c>
      <c r="U3" s="20">
        <f>11217+33.10324+30.20619+40.00389+40</f>
        <v>11360.313320000001</v>
      </c>
      <c r="V3" s="20">
        <f>Table1[[#This Row],[Raw Terrestrial Score]]/Table1[[#This Row],[Summed Raw Scores]]</f>
        <v>0.48702741163412799</v>
      </c>
      <c r="W3" s="20">
        <f>68+36+56.50582+31+11774</f>
        <v>11965.50582</v>
      </c>
      <c r="X3" s="20">
        <f>Table1[[#This Row],[Raw Freshwater Score]]/Table1[[#This Row],[Summed Raw Scores]]</f>
        <v>0.51297258836587212</v>
      </c>
      <c r="Y3" s="20">
        <f>Table1[[#This Row],[Raw Terrestrial Score]]+Table1[[#This Row],[Raw Freshwater Score]]</f>
        <v>23325.81914</v>
      </c>
      <c r="Z3" s="18">
        <f>Table1[[#This Row],[Terrestrial % of Summed Score]]*Table1[[#This Row],[Scaled Summed Score]]</f>
        <v>0.48365855469941593</v>
      </c>
      <c r="AA3" s="18">
        <f>Table1[[#This Row],[Freshwater % of Summed Score]]*Table1[[#This Row],[Scaled Summed Score]]</f>
        <v>0.50942426393822815</v>
      </c>
      <c r="AB3" s="18">
        <f>(Table1[[#This Row],[Summed Raw Scores]]-MIN(Table1[Summed Raw Scores]))/(MAX(Table1[Summed Raw Scores])-MIN(Table1[Summed Raw Scores]))</f>
        <v>0.99308281863764403</v>
      </c>
      <c r="AC3" s="9"/>
    </row>
    <row r="4" spans="1:29" x14ac:dyDescent="0.3">
      <c r="A4" s="1" t="s">
        <v>121</v>
      </c>
      <c r="B4" s="1" t="s">
        <v>115</v>
      </c>
      <c r="C4" s="1" t="s">
        <v>28</v>
      </c>
      <c r="D4" s="2">
        <v>59.872</v>
      </c>
      <c r="E4" s="2">
        <v>-125.95399999999999</v>
      </c>
      <c r="F4" s="1">
        <v>230</v>
      </c>
      <c r="G4" s="1" t="s">
        <v>23</v>
      </c>
      <c r="H4" s="2">
        <v>55.199999999999996</v>
      </c>
      <c r="I4" s="2">
        <v>677.57723999999996</v>
      </c>
      <c r="J4" s="2">
        <v>133.41293737782709</v>
      </c>
      <c r="K4" s="2" t="s">
        <v>23</v>
      </c>
      <c r="L4" s="2">
        <v>18.295330078100001</v>
      </c>
      <c r="M4" s="2">
        <v>244.59537499999999</v>
      </c>
      <c r="N4" s="2">
        <f>Table1[[#This Row],[R1 Length (km)]]+Table1[[#This Row],[T1 Length (km)]]</f>
        <v>262.89070507809998</v>
      </c>
      <c r="O4" s="1">
        <v>130</v>
      </c>
      <c r="P4" s="1" t="s">
        <v>116</v>
      </c>
      <c r="Q4" s="1">
        <v>101</v>
      </c>
      <c r="R4" s="9" t="s">
        <v>23</v>
      </c>
      <c r="S4" s="9" t="s">
        <v>23</v>
      </c>
      <c r="T4" s="9">
        <f>((PI()*(45^2))*Table1[[#This Row],[Number of Turbines - WIND]])/10000</f>
        <v>64.253423747545241</v>
      </c>
      <c r="U4" s="20">
        <f>10426+166.3608</f>
        <v>10592.3608</v>
      </c>
      <c r="V4" s="20">
        <f>Table1[[#This Row],[Raw Terrestrial Score]]/Table1[[#This Row],[Summed Raw Scores]]</f>
        <v>0.47727540825077625</v>
      </c>
      <c r="W4" s="20">
        <f>212.0324+11389</f>
        <v>11601.0324</v>
      </c>
      <c r="X4" s="20">
        <f>Table1[[#This Row],[Raw Freshwater Score]]/Table1[[#This Row],[Summed Raw Scores]]</f>
        <v>0.52272459174922381</v>
      </c>
      <c r="Y4" s="20">
        <f>Table1[[#This Row],[Raw Terrestrial Score]]+Table1[[#This Row],[Raw Freshwater Score]]</f>
        <v>22193.393199999999</v>
      </c>
      <c r="Z4" s="18">
        <f>Table1[[#This Row],[Terrestrial % of Summed Score]]*Table1[[#This Row],[Scaled Summed Score]]</f>
        <v>0.45094961573141312</v>
      </c>
      <c r="AA4" s="18">
        <f>Table1[[#This Row],[Freshwater % of Summed Score]]*Table1[[#This Row],[Scaled Summed Score]]</f>
        <v>0.49389189073579071</v>
      </c>
      <c r="AB4" s="18">
        <f>(Table1[[#This Row],[Summed Raw Scores]]-MIN(Table1[Summed Raw Scores]))/(MAX(Table1[Summed Raw Scores])-MIN(Table1[Summed Raw Scores]))</f>
        <v>0.94484150646720377</v>
      </c>
      <c r="AC4" s="9"/>
    </row>
    <row r="5" spans="1:29" x14ac:dyDescent="0.3">
      <c r="A5" s="1" t="s">
        <v>132</v>
      </c>
      <c r="B5" s="1" t="s">
        <v>115</v>
      </c>
      <c r="C5" s="1" t="s">
        <v>31</v>
      </c>
      <c r="D5" s="2">
        <v>53.464523669999998</v>
      </c>
      <c r="E5" s="2">
        <v>-130.32914880000001</v>
      </c>
      <c r="F5" s="2">
        <v>345</v>
      </c>
      <c r="G5" s="1" t="s">
        <v>23</v>
      </c>
      <c r="H5" s="2">
        <v>82.8</v>
      </c>
      <c r="I5" s="9">
        <v>1150.2493200000001</v>
      </c>
      <c r="J5" s="9">
        <v>75.229339188373373</v>
      </c>
      <c r="K5" s="2" t="s">
        <v>23</v>
      </c>
      <c r="L5" s="2">
        <v>3.8769558105500002</v>
      </c>
      <c r="M5" s="2">
        <v>99.066101562499995</v>
      </c>
      <c r="N5" s="2">
        <f>Table1[[#This Row],[R1 Length (km)]]+Table1[[#This Row],[T1 Length (km)]]</f>
        <v>102.94305737305</v>
      </c>
      <c r="O5" s="1">
        <v>230</v>
      </c>
      <c r="P5" s="1" t="s">
        <v>116</v>
      </c>
      <c r="Q5" s="1">
        <v>69</v>
      </c>
      <c r="R5" s="9" t="s">
        <v>23</v>
      </c>
      <c r="S5" s="9" t="s">
        <v>23</v>
      </c>
      <c r="T5" s="9">
        <f>((PI()*(45^2))*Table1[[#This Row],[Number of Turbines - WIND]])/10000</f>
        <v>43.895903352283383</v>
      </c>
      <c r="U5" s="20">
        <f>6667+486.6099</f>
        <v>7153.6099000000004</v>
      </c>
      <c r="V5" s="20">
        <f>Table1[[#This Row],[Raw Terrestrial Score]]/Table1[[#This Row],[Summed Raw Scores]]</f>
        <v>0.39763444850272212</v>
      </c>
      <c r="W5" s="20">
        <f>504.808+10332</f>
        <v>10836.808000000001</v>
      </c>
      <c r="X5" s="20">
        <f>Table1[[#This Row],[Raw Freshwater Score]]/Table1[[#This Row],[Summed Raw Scores]]</f>
        <v>0.60236555149727788</v>
      </c>
      <c r="Y5" s="20">
        <f>Table1[[#This Row],[Raw Terrestrial Score]]+Table1[[#This Row],[Raw Freshwater Score]]</f>
        <v>17990.4179</v>
      </c>
      <c r="Z5" s="18">
        <f>Table1[[#This Row],[Terrestrial % of Summed Score]]*Table1[[#This Row],[Scaled Summed Score]]</f>
        <v>0.30450642505205472</v>
      </c>
      <c r="AA5" s="18">
        <f>Table1[[#This Row],[Freshwater % of Summed Score]]*Table1[[#This Row],[Scaled Summed Score]]</f>
        <v>0.46128845564468179</v>
      </c>
      <c r="AB5" s="18">
        <f>(Table1[[#This Row],[Summed Raw Scores]]-MIN(Table1[Summed Raw Scores]))/(MAX(Table1[Summed Raw Scores])-MIN(Table1[Summed Raw Scores]))</f>
        <v>0.76579488069673651</v>
      </c>
      <c r="AC5" s="9"/>
    </row>
    <row r="6" spans="1:29" x14ac:dyDescent="0.3">
      <c r="A6" s="1" t="s">
        <v>119</v>
      </c>
      <c r="B6" s="1" t="s">
        <v>115</v>
      </c>
      <c r="C6" s="1" t="s">
        <v>31</v>
      </c>
      <c r="D6" s="2">
        <v>58.9375</v>
      </c>
      <c r="E6" s="2">
        <v>-130.54900000000001</v>
      </c>
      <c r="F6" s="1">
        <v>150</v>
      </c>
      <c r="G6" s="1" t="s">
        <v>23</v>
      </c>
      <c r="H6" s="2">
        <v>36</v>
      </c>
      <c r="I6" s="2">
        <v>424.94760000000002</v>
      </c>
      <c r="J6" s="2">
        <v>129.55618024565354</v>
      </c>
      <c r="K6" s="2" t="s">
        <v>23</v>
      </c>
      <c r="L6" s="2">
        <v>125.70841406300001</v>
      </c>
      <c r="M6" s="2">
        <v>260.41310937499998</v>
      </c>
      <c r="N6" s="2">
        <f>Table1[[#This Row],[R1 Length (km)]]+Table1[[#This Row],[T1 Length (km)]]</f>
        <v>386.121523438</v>
      </c>
      <c r="O6" s="1">
        <v>230</v>
      </c>
      <c r="P6" s="1" t="s">
        <v>116</v>
      </c>
      <c r="Q6" s="1">
        <f>35+31</f>
        <v>66</v>
      </c>
      <c r="R6" s="9" t="s">
        <v>23</v>
      </c>
      <c r="S6" s="9" t="s">
        <v>23</v>
      </c>
      <c r="T6" s="9">
        <f>((PI()*(45^2))*Table1[[#This Row],[Number of Turbines - WIND]])/10000</f>
        <v>41.987385815227583</v>
      </c>
      <c r="U6" s="20">
        <f>7869+75+59</f>
        <v>8003</v>
      </c>
      <c r="V6" s="20">
        <f>Table1[[#This Row],[Raw Terrestrial Score]]/Table1[[#This Row],[Summed Raw Scores]]</f>
        <v>0.45946721782064531</v>
      </c>
      <c r="W6" s="20">
        <f>63+67+9285</f>
        <v>9415</v>
      </c>
      <c r="X6" s="20">
        <f>Table1[[#This Row],[Raw Freshwater Score]]/Table1[[#This Row],[Summed Raw Scores]]</f>
        <v>0.54053278217935474</v>
      </c>
      <c r="Y6" s="20">
        <f>Table1[[#This Row],[Raw Terrestrial Score]]+Table1[[#This Row],[Raw Freshwater Score]]</f>
        <v>17418</v>
      </c>
      <c r="Z6" s="18">
        <f>Table1[[#This Row],[Terrestrial % of Summed Score]]*Table1[[#This Row],[Scaled Summed Score]]</f>
        <v>0.34065354161634237</v>
      </c>
      <c r="AA6" s="18">
        <f>Table1[[#This Row],[Freshwater % of Summed Score]]*Table1[[#This Row],[Scaled Summed Score]]</f>
        <v>0.40075635315729896</v>
      </c>
      <c r="AB6" s="18">
        <f>(Table1[[#This Row],[Summed Raw Scores]]-MIN(Table1[Summed Raw Scores]))/(MAX(Table1[Summed Raw Scores])-MIN(Table1[Summed Raw Scores]))</f>
        <v>0.74140989477364128</v>
      </c>
      <c r="AC6" s="9"/>
    </row>
    <row r="7" spans="1:29" x14ac:dyDescent="0.3">
      <c r="A7" s="1" t="s">
        <v>230</v>
      </c>
      <c r="B7" s="1" t="s">
        <v>38</v>
      </c>
      <c r="C7" s="1" t="s">
        <v>28</v>
      </c>
      <c r="D7" s="2">
        <v>58.805555556500003</v>
      </c>
      <c r="E7" s="2">
        <v>-122.697222223</v>
      </c>
      <c r="F7" s="2">
        <v>38.520155471000002</v>
      </c>
      <c r="G7" s="2">
        <v>37</v>
      </c>
      <c r="H7" s="2" t="s">
        <v>23</v>
      </c>
      <c r="I7" s="2">
        <v>307</v>
      </c>
      <c r="J7" s="2">
        <v>187.48</v>
      </c>
      <c r="K7" s="2" t="s">
        <v>23</v>
      </c>
      <c r="L7" s="2">
        <f>600/1000</f>
        <v>0.6</v>
      </c>
      <c r="M7" s="2">
        <v>351.05200000000002</v>
      </c>
      <c r="N7" s="2">
        <f>Table1[[#This Row],[R1 Length (km)]]+Table1[[#This Row],[T1 Length (km)]]</f>
        <v>351.65200000000004</v>
      </c>
      <c r="O7" s="1">
        <v>230</v>
      </c>
      <c r="P7" s="1" t="s">
        <v>23</v>
      </c>
      <c r="Q7" s="1" t="s">
        <v>23</v>
      </c>
      <c r="R7" s="9" t="s">
        <v>23</v>
      </c>
      <c r="S7" s="9" t="s">
        <v>23</v>
      </c>
      <c r="T7" s="9">
        <v>10</v>
      </c>
      <c r="U7" s="20">
        <v>8572</v>
      </c>
      <c r="V7" s="20">
        <f>Table1[[#This Row],[Raw Terrestrial Score]]/Table1[[#This Row],[Summed Raw Scores]]</f>
        <v>0.51750784834581021</v>
      </c>
      <c r="W7" s="20">
        <v>7992</v>
      </c>
      <c r="X7" s="20">
        <f>Table1[[#This Row],[Raw Freshwater Score]]/Table1[[#This Row],[Summed Raw Scores]]</f>
        <v>0.48249215165418979</v>
      </c>
      <c r="Y7" s="20">
        <f>Table1[[#This Row],[Raw Terrestrial Score]]+Table1[[#This Row],[Raw Freshwater Score]]</f>
        <v>16564</v>
      </c>
      <c r="Z7" s="18">
        <f>Table1[[#This Row],[Terrestrial % of Summed Score]]*Table1[[#This Row],[Scaled Summed Score]]</f>
        <v>0.3648583096902</v>
      </c>
      <c r="AA7" s="18">
        <f>Table1[[#This Row],[Freshwater % of Summed Score]]*Table1[[#This Row],[Scaled Summed Score]]</f>
        <v>0.34017120987448418</v>
      </c>
      <c r="AB7" s="18">
        <f>(Table1[[#This Row],[Summed Raw Scores]]-MIN(Table1[Summed Raw Scores]))/(MAX(Table1[Summed Raw Scores])-MIN(Table1[Summed Raw Scores]))</f>
        <v>0.70502951956468418</v>
      </c>
      <c r="AC7" s="9"/>
    </row>
    <row r="8" spans="1:29" x14ac:dyDescent="0.3">
      <c r="A8" s="1" t="s">
        <v>231</v>
      </c>
      <c r="B8" s="1" t="s">
        <v>38</v>
      </c>
      <c r="C8" s="1" t="s">
        <v>28</v>
      </c>
      <c r="D8" s="2">
        <v>58.805555556500003</v>
      </c>
      <c r="E8" s="2">
        <v>-122.697222223</v>
      </c>
      <c r="F8" s="2">
        <v>38.520155471000002</v>
      </c>
      <c r="G8" s="2">
        <v>37</v>
      </c>
      <c r="H8" s="2" t="s">
        <v>23</v>
      </c>
      <c r="I8" s="2">
        <v>307</v>
      </c>
      <c r="J8" s="2">
        <v>187.48</v>
      </c>
      <c r="K8" s="2" t="s">
        <v>23</v>
      </c>
      <c r="L8" s="2">
        <v>0</v>
      </c>
      <c r="M8" s="2">
        <v>351.05200000000002</v>
      </c>
      <c r="N8" s="2">
        <f>Table1[[#This Row],[R1 Length (km)]]+Table1[[#This Row],[T1 Length (km)]]</f>
        <v>351.05200000000002</v>
      </c>
      <c r="O8" s="1">
        <v>230</v>
      </c>
      <c r="P8" s="1" t="s">
        <v>23</v>
      </c>
      <c r="Q8" s="1" t="s">
        <v>23</v>
      </c>
      <c r="R8" s="9" t="s">
        <v>23</v>
      </c>
      <c r="S8" s="9" t="s">
        <v>23</v>
      </c>
      <c r="T8" s="9">
        <v>10</v>
      </c>
      <c r="U8" s="20">
        <v>8572</v>
      </c>
      <c r="V8" s="20">
        <f>Table1[[#This Row],[Raw Terrestrial Score]]/Table1[[#This Row],[Summed Raw Scores]]</f>
        <v>0.51750784834581021</v>
      </c>
      <c r="W8" s="20">
        <v>7992</v>
      </c>
      <c r="X8" s="20">
        <f>Table1[[#This Row],[Raw Freshwater Score]]/Table1[[#This Row],[Summed Raw Scores]]</f>
        <v>0.48249215165418979</v>
      </c>
      <c r="Y8" s="20">
        <f>Table1[[#This Row],[Raw Terrestrial Score]]+Table1[[#This Row],[Raw Freshwater Score]]</f>
        <v>16564</v>
      </c>
      <c r="Z8" s="18">
        <f>Table1[[#This Row],[Terrestrial % of Summed Score]]*Table1[[#This Row],[Scaled Summed Score]]</f>
        <v>0.3648583096902</v>
      </c>
      <c r="AA8" s="18">
        <f>Table1[[#This Row],[Freshwater % of Summed Score]]*Table1[[#This Row],[Scaled Summed Score]]</f>
        <v>0.34017120987448418</v>
      </c>
      <c r="AB8" s="18">
        <f>(Table1[[#This Row],[Summed Raw Scores]]-MIN(Table1[Summed Raw Scores]))/(MAX(Table1[Summed Raw Scores])-MIN(Table1[Summed Raw Scores]))</f>
        <v>0.70502951956468418</v>
      </c>
      <c r="AC8" s="9"/>
    </row>
    <row r="9" spans="1:29" x14ac:dyDescent="0.3">
      <c r="A9" s="1" t="s">
        <v>232</v>
      </c>
      <c r="B9" s="1" t="s">
        <v>38</v>
      </c>
      <c r="C9" s="1" t="s">
        <v>28</v>
      </c>
      <c r="D9" s="2">
        <v>58.805555556500003</v>
      </c>
      <c r="E9" s="2">
        <v>-122.697222223</v>
      </c>
      <c r="F9" s="2">
        <v>38.520155471000002</v>
      </c>
      <c r="G9" s="2">
        <v>37</v>
      </c>
      <c r="H9" s="2" t="s">
        <v>23</v>
      </c>
      <c r="I9" s="2">
        <v>307</v>
      </c>
      <c r="J9" s="2">
        <v>187.48</v>
      </c>
      <c r="K9" s="2" t="s">
        <v>23</v>
      </c>
      <c r="L9" s="2">
        <v>0</v>
      </c>
      <c r="M9" s="2">
        <v>351.05200000000002</v>
      </c>
      <c r="N9" s="2">
        <f>Table1[[#This Row],[R1 Length (km)]]+Table1[[#This Row],[T1 Length (km)]]</f>
        <v>351.05200000000002</v>
      </c>
      <c r="O9" s="1">
        <v>230</v>
      </c>
      <c r="P9" s="1" t="s">
        <v>23</v>
      </c>
      <c r="Q9" s="1" t="s">
        <v>23</v>
      </c>
      <c r="R9" s="9" t="s">
        <v>23</v>
      </c>
      <c r="S9" s="9" t="s">
        <v>23</v>
      </c>
      <c r="T9" s="9">
        <v>10</v>
      </c>
      <c r="U9" s="20">
        <v>8572</v>
      </c>
      <c r="V9" s="20">
        <f>Table1[[#This Row],[Raw Terrestrial Score]]/Table1[[#This Row],[Summed Raw Scores]]</f>
        <v>0.51750784834581021</v>
      </c>
      <c r="W9" s="20">
        <v>7992</v>
      </c>
      <c r="X9" s="20">
        <f>Table1[[#This Row],[Raw Freshwater Score]]/Table1[[#This Row],[Summed Raw Scores]]</f>
        <v>0.48249215165418979</v>
      </c>
      <c r="Y9" s="20">
        <f>Table1[[#This Row],[Raw Terrestrial Score]]+Table1[[#This Row],[Raw Freshwater Score]]</f>
        <v>16564</v>
      </c>
      <c r="Z9" s="18">
        <f>Table1[[#This Row],[Terrestrial % of Summed Score]]*Table1[[#This Row],[Scaled Summed Score]]</f>
        <v>0.3648583096902</v>
      </c>
      <c r="AA9" s="18">
        <f>Table1[[#This Row],[Freshwater % of Summed Score]]*Table1[[#This Row],[Scaled Summed Score]]</f>
        <v>0.34017120987448418</v>
      </c>
      <c r="AB9" s="18">
        <f>(Table1[[#This Row],[Summed Raw Scores]]-MIN(Table1[Summed Raw Scores]))/(MAX(Table1[Summed Raw Scores])-MIN(Table1[Summed Raw Scores]))</f>
        <v>0.70502951956468418</v>
      </c>
      <c r="AC9" s="9"/>
    </row>
    <row r="10" spans="1:29" x14ac:dyDescent="0.3">
      <c r="A10" s="1" t="s">
        <v>135</v>
      </c>
      <c r="B10" s="1" t="s">
        <v>115</v>
      </c>
      <c r="C10" s="1" t="s">
        <v>31</v>
      </c>
      <c r="D10" s="2">
        <v>52.347802309999999</v>
      </c>
      <c r="E10" s="2">
        <v>-128.68156629999999</v>
      </c>
      <c r="F10" s="2">
        <v>198</v>
      </c>
      <c r="G10" s="1" t="s">
        <v>23</v>
      </c>
      <c r="H10" s="2">
        <v>48</v>
      </c>
      <c r="I10" s="2">
        <v>595.50479999999993</v>
      </c>
      <c r="J10" s="2">
        <v>134.62651943639156</v>
      </c>
      <c r="K10" s="2" t="s">
        <v>23</v>
      </c>
      <c r="L10" s="2">
        <v>2.7656855468799999</v>
      </c>
      <c r="M10" s="2">
        <v>220.113828125</v>
      </c>
      <c r="N10" s="2">
        <f>Table1[[#This Row],[R1 Length (km)]]+Table1[[#This Row],[T1 Length (km)]]</f>
        <v>222.87951367188001</v>
      </c>
      <c r="O10" s="1">
        <v>230</v>
      </c>
      <c r="P10" s="1" t="s">
        <v>116</v>
      </c>
      <c r="Q10" s="1">
        <v>40</v>
      </c>
      <c r="R10" s="9" t="s">
        <v>23</v>
      </c>
      <c r="S10" s="9" t="s">
        <v>23</v>
      </c>
      <c r="T10" s="9">
        <f>((PI()*(45^2))*Table1[[#This Row],[Number of Turbines - WIND]])/10000</f>
        <v>25.446900494077326</v>
      </c>
      <c r="U10" s="20">
        <f>8083+269</f>
        <v>8352</v>
      </c>
      <c r="V10" s="20">
        <f>Table1[[#This Row],[Raw Terrestrial Score]]/Table1[[#This Row],[Summed Raw Scores]]</f>
        <v>0.5109194347586713</v>
      </c>
      <c r="W10" s="20">
        <f>263+7732</f>
        <v>7995</v>
      </c>
      <c r="X10" s="20">
        <f>Table1[[#This Row],[Raw Freshwater Score]]/Table1[[#This Row],[Summed Raw Scores]]</f>
        <v>0.4890805652413287</v>
      </c>
      <c r="Y10" s="20">
        <f>Table1[[#This Row],[Raw Terrestrial Score]]+Table1[[#This Row],[Raw Freshwater Score]]</f>
        <v>16347</v>
      </c>
      <c r="Z10" s="18">
        <f>Table1[[#This Row],[Terrestrial % of Summed Score]]*Table1[[#This Row],[Scaled Summed Score]]</f>
        <v>0.35549024540383706</v>
      </c>
      <c r="AA10" s="18">
        <f>Table1[[#This Row],[Freshwater % of Summed Score]]*Table1[[#This Row],[Scaled Summed Score]]</f>
        <v>0.34029508046021045</v>
      </c>
      <c r="AB10" s="18">
        <f>(Table1[[#This Row],[Summed Raw Scores]]-MIN(Table1[Summed Raw Scores]))/(MAX(Table1[Summed Raw Scores])-MIN(Table1[Summed Raw Scores]))</f>
        <v>0.69578532586404751</v>
      </c>
      <c r="AC10" s="9"/>
    </row>
    <row r="11" spans="1:29" x14ac:dyDescent="0.3">
      <c r="A11" s="1" t="s">
        <v>117</v>
      </c>
      <c r="B11" s="1" t="s">
        <v>115</v>
      </c>
      <c r="C11" s="1" t="s">
        <v>31</v>
      </c>
      <c r="D11" s="2">
        <v>58.516399999999997</v>
      </c>
      <c r="E11" s="2">
        <v>-131.28</v>
      </c>
      <c r="F11" s="1">
        <v>145</v>
      </c>
      <c r="G11" s="1" t="s">
        <v>23</v>
      </c>
      <c r="H11" s="2">
        <v>34.799999999999997</v>
      </c>
      <c r="I11" s="2">
        <v>477.34116000000006</v>
      </c>
      <c r="J11" s="2">
        <v>110.96678109296646</v>
      </c>
      <c r="K11" s="2" t="s">
        <v>23</v>
      </c>
      <c r="L11" s="2">
        <v>72.276757812499994</v>
      </c>
      <c r="M11" s="2">
        <v>192.94692187499999</v>
      </c>
      <c r="N11" s="2">
        <f>Table1[[#This Row],[R1 Length (km)]]+Table1[[#This Row],[T1 Length (km)]]</f>
        <v>265.22367968749995</v>
      </c>
      <c r="O11" s="1">
        <v>230</v>
      </c>
      <c r="P11" s="1" t="s">
        <v>116</v>
      </c>
      <c r="Q11" s="1">
        <f>13+50</f>
        <v>63</v>
      </c>
      <c r="R11" s="9" t="s">
        <v>23</v>
      </c>
      <c r="S11" s="9" t="s">
        <v>23</v>
      </c>
      <c r="T11" s="9">
        <f>((PI()*(45^2))*Table1[[#This Row],[Number of Turbines - WIND]])/10000</f>
        <v>40.078868278171782</v>
      </c>
      <c r="U11" s="20">
        <f>6607+25.10418+129.8583</f>
        <v>6761.9624800000001</v>
      </c>
      <c r="V11" s="20">
        <f>Table1[[#This Row],[Raw Terrestrial Score]]/Table1[[#This Row],[Summed Raw Scores]]</f>
        <v>0.4407499644337835</v>
      </c>
      <c r="W11" s="20">
        <f>22.41686+131.5674+8426</f>
        <v>8579.9842599999993</v>
      </c>
      <c r="X11" s="20">
        <f>Table1[[#This Row],[Raw Freshwater Score]]/Table1[[#This Row],[Summed Raw Scores]]</f>
        <v>0.55925003556621655</v>
      </c>
      <c r="Y11" s="20">
        <f>Table1[[#This Row],[Raw Terrestrial Score]]+Table1[[#This Row],[Raw Freshwater Score]]</f>
        <v>15341.946739999999</v>
      </c>
      <c r="Z11" s="18">
        <f>Table1[[#This Row],[Terrestrial % of Summed Score]]*Table1[[#This Row],[Scaled Summed Score]]</f>
        <v>0.287796542253136</v>
      </c>
      <c r="AA11" s="18">
        <f>Table1[[#This Row],[Freshwater % of Summed Score]]*Table1[[#This Row],[Scaled Summed Score]]</f>
        <v>0.36517354391092854</v>
      </c>
      <c r="AB11" s="18">
        <f>(Table1[[#This Row],[Summed Raw Scores]]-MIN(Table1[Summed Raw Scores]))/(MAX(Table1[Summed Raw Scores])-MIN(Table1[Summed Raw Scores]))</f>
        <v>0.65297008616406449</v>
      </c>
      <c r="AC11" s="9"/>
    </row>
    <row r="12" spans="1:29" x14ac:dyDescent="0.3">
      <c r="A12" s="1" t="s">
        <v>213</v>
      </c>
      <c r="B12" s="1" t="s">
        <v>115</v>
      </c>
      <c r="C12" s="1" t="s">
        <v>22</v>
      </c>
      <c r="D12" s="2">
        <v>50.806605189999999</v>
      </c>
      <c r="E12" s="2">
        <v>-128.13496689999999</v>
      </c>
      <c r="F12" s="2">
        <v>147</v>
      </c>
      <c r="G12" s="1" t="s">
        <v>23</v>
      </c>
      <c r="H12" s="2">
        <v>42</v>
      </c>
      <c r="I12" s="2">
        <v>514.16819999999996</v>
      </c>
      <c r="J12" s="2">
        <v>77.965470085587228</v>
      </c>
      <c r="K12" s="2" t="s">
        <v>23</v>
      </c>
      <c r="L12" s="2">
        <v>3.5</v>
      </c>
      <c r="M12" s="2">
        <v>69</v>
      </c>
      <c r="N12" s="2">
        <f>Table1[[#This Row],[R1 Length (km)]]+Table1[[#This Row],[T1 Length (km)]]</f>
        <v>72.5</v>
      </c>
      <c r="O12" s="1">
        <v>130</v>
      </c>
      <c r="P12" s="1" t="s">
        <v>116</v>
      </c>
      <c r="Q12" s="1">
        <v>35</v>
      </c>
      <c r="R12" s="9" t="s">
        <v>23</v>
      </c>
      <c r="S12" s="9" t="s">
        <v>23</v>
      </c>
      <c r="T12" s="9">
        <f>((PI()*(45^2))*Table1[[#This Row],[Number of Turbines - WIND]])/10000</f>
        <v>22.266037932317658</v>
      </c>
      <c r="U12" s="20">
        <f>4520+205.0119</f>
        <v>4725.0119000000004</v>
      </c>
      <c r="V12" s="20">
        <f>Table1[[#This Row],[Raw Terrestrial Score]]/Table1[[#This Row],[Summed Raw Scores]]</f>
        <v>0.31111347198270572</v>
      </c>
      <c r="W12" s="20">
        <f>210.4111+10252</f>
        <v>10462.411099999999</v>
      </c>
      <c r="X12" s="20">
        <f>Table1[[#This Row],[Raw Freshwater Score]]/Table1[[#This Row],[Summed Raw Scores]]</f>
        <v>0.68888652801729433</v>
      </c>
      <c r="Y12" s="20">
        <f>Table1[[#This Row],[Raw Terrestrial Score]]+Table1[[#This Row],[Raw Freshwater Score]]</f>
        <v>15187.422999999999</v>
      </c>
      <c r="Z12" s="18">
        <f>Table1[[#This Row],[Terrestrial % of Summed Score]]*Table1[[#This Row],[Scaled Summed Score]]</f>
        <v>0.20109982182784694</v>
      </c>
      <c r="AA12" s="18">
        <f>Table1[[#This Row],[Freshwater % of Summed Score]]*Table1[[#This Row],[Scaled Summed Score]]</f>
        <v>0.44528755749793725</v>
      </c>
      <c r="AB12" s="18">
        <f>(Table1[[#This Row],[Summed Raw Scores]]-MIN(Table1[Summed Raw Scores]))/(MAX(Table1[Summed Raw Scores])-MIN(Table1[Summed Raw Scores]))</f>
        <v>0.64638737932578416</v>
      </c>
      <c r="AC12" s="9"/>
    </row>
    <row r="13" spans="1:29" x14ac:dyDescent="0.3">
      <c r="A13" s="1" t="s">
        <v>129</v>
      </c>
      <c r="B13" s="1" t="s">
        <v>115</v>
      </c>
      <c r="C13" s="1" t="s">
        <v>60</v>
      </c>
      <c r="D13" s="2">
        <v>51.829300000000003</v>
      </c>
      <c r="E13" s="2">
        <v>-124.224</v>
      </c>
      <c r="F13" s="1">
        <v>130</v>
      </c>
      <c r="G13" s="1" t="s">
        <v>23</v>
      </c>
      <c r="H13" s="2">
        <v>31.2</v>
      </c>
      <c r="I13" s="2">
        <v>342.32327999999995</v>
      </c>
      <c r="J13" s="2">
        <v>117.50848183458334</v>
      </c>
      <c r="K13" s="2" t="s">
        <v>23</v>
      </c>
      <c r="L13" s="2">
        <v>5.2455844726600001</v>
      </c>
      <c r="M13" s="2">
        <v>48.727921875</v>
      </c>
      <c r="N13" s="2">
        <f>Table1[[#This Row],[R1 Length (km)]]+Table1[[#This Row],[T1 Length (km)]]</f>
        <v>53.973506347659999</v>
      </c>
      <c r="O13" s="1">
        <v>130</v>
      </c>
      <c r="P13" s="1" t="s">
        <v>116</v>
      </c>
      <c r="Q13" s="1">
        <v>57</v>
      </c>
      <c r="R13" s="9" t="s">
        <v>23</v>
      </c>
      <c r="S13" s="9" t="s">
        <v>23</v>
      </c>
      <c r="T13" s="9">
        <f>((PI()*(45^2))*Table1[[#This Row],[Number of Turbines - WIND]])/10000</f>
        <v>36.261833204060189</v>
      </c>
      <c r="U13" s="20">
        <f>7505+220.648</f>
        <v>7725.6480000000001</v>
      </c>
      <c r="V13" s="20">
        <f>Table1[[#This Row],[Raw Terrestrial Score]]/Table1[[#This Row],[Summed Raw Scores]]</f>
        <v>0.52162350837811033</v>
      </c>
      <c r="W13" s="20">
        <f>271.1262+6814</f>
        <v>7085.1261999999997</v>
      </c>
      <c r="X13" s="20">
        <f>Table1[[#This Row],[Raw Freshwater Score]]/Table1[[#This Row],[Summed Raw Scores]]</f>
        <v>0.47837649162188967</v>
      </c>
      <c r="Y13" s="20">
        <f>Table1[[#This Row],[Raw Terrestrial Score]]+Table1[[#This Row],[Raw Freshwater Score]]</f>
        <v>14810.7742</v>
      </c>
      <c r="Z13" s="18">
        <f>Table1[[#This Row],[Terrestrial % of Summed Score]]*Table1[[#This Row],[Scaled Summed Score]]</f>
        <v>0.32880128448125601</v>
      </c>
      <c r="AA13" s="18">
        <f>Table1[[#This Row],[Freshwater % of Summed Score]]*Table1[[#This Row],[Scaled Summed Score]]</f>
        <v>0.30154086689838833</v>
      </c>
      <c r="AB13" s="18">
        <f>(Table1[[#This Row],[Summed Raw Scores]]-MIN(Table1[Summed Raw Scores]))/(MAX(Table1[Summed Raw Scores])-MIN(Table1[Summed Raw Scores]))</f>
        <v>0.63034215137964433</v>
      </c>
      <c r="AC13" s="9"/>
    </row>
    <row r="14" spans="1:29" x14ac:dyDescent="0.3">
      <c r="A14" s="1" t="s">
        <v>27</v>
      </c>
      <c r="B14" s="1" t="s">
        <v>25</v>
      </c>
      <c r="C14" s="1" t="s">
        <v>28</v>
      </c>
      <c r="D14" s="2">
        <v>58.721628000000003</v>
      </c>
      <c r="E14" s="2">
        <v>-122.531644</v>
      </c>
      <c r="F14" s="2">
        <v>18.399999999999999</v>
      </c>
      <c r="G14" s="2">
        <v>14</v>
      </c>
      <c r="H14" s="2" t="s">
        <v>23</v>
      </c>
      <c r="I14" s="2">
        <v>104</v>
      </c>
      <c r="J14" s="2">
        <v>187.25</v>
      </c>
      <c r="K14" s="2" t="s">
        <v>23</v>
      </c>
      <c r="L14" s="2">
        <v>0</v>
      </c>
      <c r="M14" s="2">
        <v>338.25099999999998</v>
      </c>
      <c r="N14" s="2">
        <f>Table1[[#This Row],[R1 Length (km)]]+Table1[[#This Row],[T1 Length (km)]]</f>
        <v>338.25099999999998</v>
      </c>
      <c r="O14" s="1">
        <v>230</v>
      </c>
      <c r="P14" s="3" t="s">
        <v>23</v>
      </c>
      <c r="Q14" s="3" t="s">
        <v>23</v>
      </c>
      <c r="R14" s="9" t="s">
        <v>23</v>
      </c>
      <c r="S14" s="9" t="s">
        <v>23</v>
      </c>
      <c r="T14" s="9">
        <v>4.2</v>
      </c>
      <c r="U14" s="20">
        <v>6706</v>
      </c>
      <c r="V14" s="20">
        <f>Table1[[#This Row],[Raw Terrestrial Score]]/Table1[[#This Row],[Summed Raw Scores]]</f>
        <v>0.47780548628428926</v>
      </c>
      <c r="W14" s="20">
        <v>7329</v>
      </c>
      <c r="X14" s="20">
        <f>Table1[[#This Row],[Raw Freshwater Score]]/Table1[[#This Row],[Summed Raw Scores]]</f>
        <v>0.52219451371571068</v>
      </c>
      <c r="Y14" s="20">
        <f>Table1[[#This Row],[Raw Terrestrial Score]]+Table1[[#This Row],[Raw Freshwater Score]]</f>
        <v>14035</v>
      </c>
      <c r="Z14" s="18">
        <f>Table1[[#This Row],[Terrestrial % of Summed Score]]*Table1[[#This Row],[Scaled Summed Score]]</f>
        <v>0.285390442331517</v>
      </c>
      <c r="AA14" s="18">
        <f>Table1[[#This Row],[Freshwater % of Summed Score]]*Table1[[#This Row],[Scaled Summed Score]]</f>
        <v>0.31190375064832804</v>
      </c>
      <c r="AB14" s="18">
        <f>(Table1[[#This Row],[Summed Raw Scores]]-MIN(Table1[Summed Raw Scores]))/(MAX(Table1[Summed Raw Scores])-MIN(Table1[Summed Raw Scores]))</f>
        <v>0.5972941929798451</v>
      </c>
      <c r="AC14" s="9"/>
    </row>
    <row r="15" spans="1:29" x14ac:dyDescent="0.3">
      <c r="A15" s="1" t="s">
        <v>219</v>
      </c>
      <c r="B15" s="1" t="s">
        <v>115</v>
      </c>
      <c r="C15" s="1" t="s">
        <v>22</v>
      </c>
      <c r="D15" s="2">
        <v>50.587989550000003</v>
      </c>
      <c r="E15" s="2">
        <v>-128.2024973</v>
      </c>
      <c r="F15" s="2">
        <v>54</v>
      </c>
      <c r="G15" s="1" t="s">
        <v>23</v>
      </c>
      <c r="H15" s="2">
        <v>13.2</v>
      </c>
      <c r="I15" s="2">
        <v>168.34091999999998</v>
      </c>
      <c r="J15" s="2">
        <v>94.726775014035169</v>
      </c>
      <c r="K15" s="2" t="s">
        <v>23</v>
      </c>
      <c r="L15" s="2">
        <v>0.68284271240200001</v>
      </c>
      <c r="M15" s="2">
        <v>55.31908984375</v>
      </c>
      <c r="N15" s="2">
        <f>Table1[[#This Row],[R1 Length (km)]]+Table1[[#This Row],[T1 Length (km)]]</f>
        <v>56.001932556151999</v>
      </c>
      <c r="O15" s="1">
        <v>69</v>
      </c>
      <c r="P15" s="1" t="s">
        <v>116</v>
      </c>
      <c r="Q15" s="1">
        <v>7</v>
      </c>
      <c r="R15" s="9" t="s">
        <v>23</v>
      </c>
      <c r="S15" s="9" t="s">
        <v>23</v>
      </c>
      <c r="T15" s="9">
        <f>((PI()*(45^2))*Table1[[#This Row],[Number of Turbines - WIND]])/10000</f>
        <v>4.453207586463531</v>
      </c>
      <c r="U15" s="20">
        <f>4619+32.40386</f>
        <v>4651.4038600000003</v>
      </c>
      <c r="V15" s="20">
        <f>Table1[[#This Row],[Raw Terrestrial Score]]/Table1[[#This Row],[Summed Raw Scores]]</f>
        <v>0.3358703474005631</v>
      </c>
      <c r="W15" s="20">
        <f>26.40386+9171</f>
        <v>9197.4038600000003</v>
      </c>
      <c r="X15" s="20">
        <f>Table1[[#This Row],[Raw Freshwater Score]]/Table1[[#This Row],[Summed Raw Scores]]</f>
        <v>0.6641296525994369</v>
      </c>
      <c r="Y15" s="20">
        <f>Table1[[#This Row],[Raw Terrestrial Score]]+Table1[[#This Row],[Raw Freshwater Score]]</f>
        <v>13848.807720000001</v>
      </c>
      <c r="Z15" s="18">
        <f>Table1[[#This Row],[Terrestrial % of Summed Score]]*Table1[[#This Row],[Scaled Summed Score]]</f>
        <v>0.19794935647020087</v>
      </c>
      <c r="AA15" s="18">
        <f>Table1[[#This Row],[Freshwater % of Summed Score]]*Table1[[#This Row],[Scaled Summed Score]]</f>
        <v>0.39141305078668043</v>
      </c>
      <c r="AB15" s="18">
        <f>(Table1[[#This Row],[Summed Raw Scores]]-MIN(Table1[Summed Raw Scores]))/(MAX(Table1[Summed Raw Scores])-MIN(Table1[Summed Raw Scores]))</f>
        <v>0.58936240725688127</v>
      </c>
      <c r="AC15" s="9"/>
    </row>
    <row r="16" spans="1:29" x14ac:dyDescent="0.3">
      <c r="A16" s="1" t="s">
        <v>134</v>
      </c>
      <c r="B16" s="1" t="s">
        <v>115</v>
      </c>
      <c r="C16" s="1" t="s">
        <v>31</v>
      </c>
      <c r="D16" s="2">
        <v>52.636803919999998</v>
      </c>
      <c r="E16" s="2">
        <v>-129.0720259</v>
      </c>
      <c r="F16" s="2">
        <v>261</v>
      </c>
      <c r="G16" s="1" t="s">
        <v>23</v>
      </c>
      <c r="H16" s="2">
        <v>62.4</v>
      </c>
      <c r="I16" s="2">
        <v>720.63264000000004</v>
      </c>
      <c r="J16" s="2">
        <v>135.21545013418904</v>
      </c>
      <c r="K16" s="2" t="s">
        <v>23</v>
      </c>
      <c r="L16" s="2">
        <v>4.9254838867199995</v>
      </c>
      <c r="M16" s="2">
        <v>214.113828125</v>
      </c>
      <c r="N16" s="2">
        <f>Table1[[#This Row],[R1 Length (km)]]+Table1[[#This Row],[T1 Length (km)]]</f>
        <v>219.03931201172</v>
      </c>
      <c r="O16" s="1">
        <v>230</v>
      </c>
      <c r="P16" s="1" t="s">
        <v>116</v>
      </c>
      <c r="Q16" s="1">
        <v>52</v>
      </c>
      <c r="R16" s="9" t="s">
        <v>23</v>
      </c>
      <c r="S16" s="9" t="s">
        <v>23</v>
      </c>
      <c r="T16" s="9">
        <f>((PI()*(45^2))*Table1[[#This Row],[Number of Turbines - WIND]])/10000</f>
        <v>33.080970642300521</v>
      </c>
      <c r="U16" s="20">
        <f>6399+278.0692</f>
        <v>6677.0691999999999</v>
      </c>
      <c r="V16" s="20">
        <f>Table1[[#This Row],[Raw Terrestrial Score]]/Table1[[#This Row],[Summed Raw Scores]]</f>
        <v>0.4829183070675363</v>
      </c>
      <c r="W16" s="20">
        <f>331.4292+6818</f>
        <v>7149.4291999999996</v>
      </c>
      <c r="X16" s="20">
        <f>Table1[[#This Row],[Raw Freshwater Score]]/Table1[[#This Row],[Summed Raw Scores]]</f>
        <v>0.51708169293246364</v>
      </c>
      <c r="Y16" s="20">
        <f>Table1[[#This Row],[Raw Terrestrial Score]]+Table1[[#This Row],[Raw Freshwater Score]]</f>
        <v>13826.4984</v>
      </c>
      <c r="Z16" s="18">
        <f>Table1[[#This Row],[Terrestrial % of Summed Score]]*Table1[[#This Row],[Scaled Summed Score]]</f>
        <v>0.28415494180712136</v>
      </c>
      <c r="AA16" s="18">
        <f>Table1[[#This Row],[Freshwater % of Summed Score]]*Table1[[#This Row],[Scaled Summed Score]]</f>
        <v>0.30425708906538429</v>
      </c>
      <c r="AB16" s="18">
        <f>(Table1[[#This Row],[Summed Raw Scores]]-MIN(Table1[Summed Raw Scores]))/(MAX(Table1[Summed Raw Scores])-MIN(Table1[Summed Raw Scores]))</f>
        <v>0.58841203087250571</v>
      </c>
      <c r="AC16" s="9"/>
    </row>
    <row r="17" spans="1:29" x14ac:dyDescent="0.3">
      <c r="A17" s="1" t="s">
        <v>114</v>
      </c>
      <c r="B17" s="1" t="s">
        <v>115</v>
      </c>
      <c r="C17" s="1" t="s">
        <v>31</v>
      </c>
      <c r="D17" s="2">
        <v>58.373600000000003</v>
      </c>
      <c r="E17" s="2">
        <v>-131.53800000000001</v>
      </c>
      <c r="F17" s="1">
        <v>160</v>
      </c>
      <c r="G17" s="1" t="s">
        <v>23</v>
      </c>
      <c r="H17" s="2">
        <v>38.4</v>
      </c>
      <c r="I17" s="2">
        <v>526.72127999999998</v>
      </c>
      <c r="J17" s="2">
        <v>102.84130249951509</v>
      </c>
      <c r="K17" s="2" t="s">
        <v>23</v>
      </c>
      <c r="L17" s="2">
        <v>72.276757812499994</v>
      </c>
      <c r="M17" s="2">
        <v>192.94692187499999</v>
      </c>
      <c r="N17" s="2">
        <f>Table1[[#This Row],[R1 Length (km)]]+Table1[[#This Row],[T1 Length (km)]]</f>
        <v>265.22367968749995</v>
      </c>
      <c r="O17" s="1">
        <v>230</v>
      </c>
      <c r="P17" s="1" t="s">
        <v>116</v>
      </c>
      <c r="Q17" s="1">
        <f>26+44</f>
        <v>70</v>
      </c>
      <c r="R17" s="9" t="s">
        <v>23</v>
      </c>
      <c r="S17" s="9" t="s">
        <v>23</v>
      </c>
      <c r="T17" s="9">
        <f>((PI()*(45^2))*Table1[[#This Row],[Number of Turbines - WIND]])/10000</f>
        <v>44.532075864635317</v>
      </c>
      <c r="U17" s="20">
        <f>5206+79.20419+95.39605</f>
        <v>5380.6002400000007</v>
      </c>
      <c r="V17" s="20">
        <f>Table1[[#This Row],[Raw Terrestrial Score]]/Table1[[#This Row],[Summed Raw Scores]]</f>
        <v>0.39539253710442002</v>
      </c>
      <c r="W17" s="20">
        <f>72.72532+97.9238+8057</f>
        <v>8227.64912</v>
      </c>
      <c r="X17" s="20">
        <f>Table1[[#This Row],[Raw Freshwater Score]]/Table1[[#This Row],[Summed Raw Scores]]</f>
        <v>0.60460746289557987</v>
      </c>
      <c r="Y17" s="20">
        <f>Table1[[#This Row],[Raw Terrestrial Score]]+Table1[[#This Row],[Raw Freshwater Score]]</f>
        <v>13608.249360000002</v>
      </c>
      <c r="Z17" s="18">
        <f>Table1[[#This Row],[Terrestrial % of Summed Score]]*Table1[[#This Row],[Scaled Summed Score]]</f>
        <v>0.22897760208037377</v>
      </c>
      <c r="AA17" s="18">
        <f>Table1[[#This Row],[Freshwater % of Summed Score]]*Table1[[#This Row],[Scaled Summed Score]]</f>
        <v>0.35013702602375402</v>
      </c>
      <c r="AB17" s="18">
        <f>(Table1[[#This Row],[Summed Raw Scores]]-MIN(Table1[Summed Raw Scores]))/(MAX(Table1[Summed Raw Scores])-MIN(Table1[Summed Raw Scores]))</f>
        <v>0.57911462810412784</v>
      </c>
      <c r="AC17" s="9"/>
    </row>
    <row r="18" spans="1:29" x14ac:dyDescent="0.3">
      <c r="A18" s="1" t="s">
        <v>120</v>
      </c>
      <c r="B18" s="1" t="s">
        <v>115</v>
      </c>
      <c r="C18" s="1" t="s">
        <v>31</v>
      </c>
      <c r="D18" s="2">
        <v>58.5032</v>
      </c>
      <c r="E18" s="2">
        <v>-130.44200000000001</v>
      </c>
      <c r="F18" s="1">
        <v>160</v>
      </c>
      <c r="G18" s="1" t="s">
        <v>23</v>
      </c>
      <c r="H18" s="2">
        <v>38.4</v>
      </c>
      <c r="I18" s="2">
        <v>526.72127999999998</v>
      </c>
      <c r="J18" s="2">
        <v>97.630343521356849</v>
      </c>
      <c r="K18" s="2" t="s">
        <v>23</v>
      </c>
      <c r="L18" s="2">
        <v>43.094367187499998</v>
      </c>
      <c r="M18" s="2">
        <v>265.36450000000002</v>
      </c>
      <c r="N18" s="2">
        <f>Table1[[#This Row],[R1 Length (km)]]+Table1[[#This Row],[T1 Length (km)]]</f>
        <v>308.4588671875</v>
      </c>
      <c r="O18" s="1">
        <v>230</v>
      </c>
      <c r="P18" s="1" t="s">
        <v>116</v>
      </c>
      <c r="Q18" s="1">
        <f>29+41</f>
        <v>70</v>
      </c>
      <c r="R18" s="9" t="s">
        <v>23</v>
      </c>
      <c r="S18" s="9" t="s">
        <v>23</v>
      </c>
      <c r="T18" s="9">
        <f>((PI()*(45^2))*Table1[[#This Row],[Number of Turbines - WIND]])/10000</f>
        <v>44.532075864635317</v>
      </c>
      <c r="U18" s="20">
        <f>4775+37.22754+53</f>
        <v>4865.2275399999999</v>
      </c>
      <c r="V18" s="20">
        <f>Table1[[#This Row],[Raw Terrestrial Score]]/Table1[[#This Row],[Summed Raw Scores]]</f>
        <v>0.37101609029230487</v>
      </c>
      <c r="W18" s="20">
        <f>37.0246+45+8166</f>
        <v>8248.0246000000006</v>
      </c>
      <c r="X18" s="20">
        <f>Table1[[#This Row],[Raw Freshwater Score]]/Table1[[#This Row],[Summed Raw Scores]]</f>
        <v>0.62898390970769513</v>
      </c>
      <c r="Y18" s="20">
        <f>Table1[[#This Row],[Raw Terrestrial Score]]+Table1[[#This Row],[Raw Freshwater Score]]</f>
        <v>13113.252140000001</v>
      </c>
      <c r="Z18" s="18">
        <f>Table1[[#This Row],[Terrestrial % of Summed Score]]*Table1[[#This Row],[Scaled Summed Score]]</f>
        <v>0.20703727812426687</v>
      </c>
      <c r="AA18" s="18">
        <f>Table1[[#This Row],[Freshwater % of Summed Score]]*Table1[[#This Row],[Scaled Summed Score]]</f>
        <v>0.35099048277729572</v>
      </c>
      <c r="AB18" s="18">
        <f>(Table1[[#This Row],[Summed Raw Scores]]-MIN(Table1[Summed Raw Scores]))/(MAX(Table1[Summed Raw Scores])-MIN(Table1[Summed Raw Scores]))</f>
        <v>0.55802776090156259</v>
      </c>
      <c r="AC18" s="9"/>
    </row>
    <row r="19" spans="1:29" x14ac:dyDescent="0.3">
      <c r="A19" s="1" t="s">
        <v>215</v>
      </c>
      <c r="B19" s="1" t="s">
        <v>115</v>
      </c>
      <c r="C19" s="1" t="s">
        <v>22</v>
      </c>
      <c r="D19" s="2">
        <v>50.739074709999997</v>
      </c>
      <c r="E19" s="2">
        <v>-127.770989</v>
      </c>
      <c r="F19" s="2">
        <v>255</v>
      </c>
      <c r="G19" s="1" t="s">
        <v>23</v>
      </c>
      <c r="H19" s="2">
        <v>61.199999999999996</v>
      </c>
      <c r="I19" s="2">
        <v>786.74436000000003</v>
      </c>
      <c r="J19" s="2">
        <v>93.499766923626581</v>
      </c>
      <c r="K19" s="2" t="s">
        <v>23</v>
      </c>
      <c r="L19" s="2">
        <v>0.7</v>
      </c>
      <c r="M19" s="2">
        <v>173.4</v>
      </c>
      <c r="N19" s="2">
        <f>Table1[[#This Row],[R1 Length (km)]]+Table1[[#This Row],[T1 Length (km)]]</f>
        <v>174.1</v>
      </c>
      <c r="O19" s="1">
        <v>230</v>
      </c>
      <c r="P19" s="1" t="s">
        <v>116</v>
      </c>
      <c r="Q19" s="1">
        <v>51</v>
      </c>
      <c r="R19" s="9" t="s">
        <v>23</v>
      </c>
      <c r="S19" s="9" t="s">
        <v>23</v>
      </c>
      <c r="T19" s="9">
        <f>((PI()*(45^2))*Table1[[#This Row],[Number of Turbines - WIND]])/10000</f>
        <v>32.444798129948587</v>
      </c>
      <c r="U19" s="20">
        <f>3642+251.9138</f>
        <v>3893.9137999999998</v>
      </c>
      <c r="V19" s="20">
        <f>Table1[[#This Row],[Raw Terrestrial Score]]/Table1[[#This Row],[Summed Raw Scores]]</f>
        <v>0.30127956045201815</v>
      </c>
      <c r="W19" s="20">
        <f>273.6729+8757</f>
        <v>9030.6728999999996</v>
      </c>
      <c r="X19" s="20">
        <f>Table1[[#This Row],[Raw Freshwater Score]]/Table1[[#This Row],[Summed Raw Scores]]</f>
        <v>0.6987204395479818</v>
      </c>
      <c r="Y19" s="20">
        <f>Table1[[#This Row],[Raw Terrestrial Score]]+Table1[[#This Row],[Raw Freshwater Score]]</f>
        <v>12924.5867</v>
      </c>
      <c r="Z19" s="18">
        <f>Table1[[#This Row],[Terrestrial % of Summed Score]]*Table1[[#This Row],[Scaled Summed Score]]</f>
        <v>0.16570093183490339</v>
      </c>
      <c r="AA19" s="18">
        <f>Table1[[#This Row],[Freshwater % of Summed Score]]*Table1[[#This Row],[Scaled Summed Score]]</f>
        <v>0.38428968679948938</v>
      </c>
      <c r="AB19" s="18">
        <f>(Table1[[#This Row],[Summed Raw Scores]]-MIN(Table1[Summed Raw Scores]))/(MAX(Table1[Summed Raw Scores])-MIN(Table1[Summed Raw Scores]))</f>
        <v>0.5499906186343928</v>
      </c>
      <c r="AC19" s="9"/>
    </row>
    <row r="20" spans="1:29" x14ac:dyDescent="0.3">
      <c r="A20" s="1" t="s">
        <v>214</v>
      </c>
      <c r="B20" s="1" t="s">
        <v>115</v>
      </c>
      <c r="C20" s="1" t="s">
        <v>22</v>
      </c>
      <c r="D20" s="2">
        <v>50.776845999999999</v>
      </c>
      <c r="E20" s="2">
        <v>-127.8682787</v>
      </c>
      <c r="F20" s="2">
        <v>60</v>
      </c>
      <c r="G20" s="1" t="s">
        <v>23</v>
      </c>
      <c r="H20" s="2">
        <v>14.399999999999999</v>
      </c>
      <c r="I20" s="2">
        <v>188.21735999999999</v>
      </c>
      <c r="J20" s="2">
        <v>101.1195555834226</v>
      </c>
      <c r="K20" s="2" t="s">
        <v>23</v>
      </c>
      <c r="L20" s="2">
        <v>2.1798991699200001</v>
      </c>
      <c r="M20" s="2">
        <v>48.825691406250002</v>
      </c>
      <c r="N20" s="2">
        <f>Table1[[#This Row],[R1 Length (km)]]+Table1[[#This Row],[T1 Length (km)]]</f>
        <v>51.00559057617</v>
      </c>
      <c r="O20" s="1">
        <v>130</v>
      </c>
      <c r="P20" s="1" t="s">
        <v>116</v>
      </c>
      <c r="Q20" s="1">
        <v>12</v>
      </c>
      <c r="R20" s="9" t="s">
        <v>23</v>
      </c>
      <c r="S20" s="9" t="s">
        <v>23</v>
      </c>
      <c r="T20" s="9">
        <f>((PI()*(45^2))*Table1[[#This Row],[Number of Turbines - WIND]])/10000</f>
        <v>7.6340701482231959</v>
      </c>
      <c r="U20" s="20">
        <f>3590+63.40598</f>
        <v>3653.40598</v>
      </c>
      <c r="V20" s="20">
        <f>Table1[[#This Row],[Raw Terrestrial Score]]/Table1[[#This Row],[Summed Raw Scores]]</f>
        <v>0.29117014758743792</v>
      </c>
      <c r="W20" s="20">
        <f>68.91733+8825</f>
        <v>8893.9173300000002</v>
      </c>
      <c r="X20" s="20">
        <f>Table1[[#This Row],[Raw Freshwater Score]]/Table1[[#This Row],[Summed Raw Scores]]</f>
        <v>0.70882985241256213</v>
      </c>
      <c r="Y20" s="20">
        <f>Table1[[#This Row],[Raw Terrestrial Score]]+Table1[[#This Row],[Raw Freshwater Score]]</f>
        <v>12547.32331</v>
      </c>
      <c r="Z20" s="18">
        <f>Table1[[#This Row],[Terrestrial % of Summed Score]]*Table1[[#This Row],[Scaled Summed Score]]</f>
        <v>0.15546133493440678</v>
      </c>
      <c r="AA20" s="18">
        <f>Table1[[#This Row],[Freshwater % of Summed Score]]*Table1[[#This Row],[Scaled Summed Score]]</f>
        <v>0.37845787423768734</v>
      </c>
      <c r="AB20" s="18">
        <f>(Table1[[#This Row],[Summed Raw Scores]]-MIN(Table1[Summed Raw Scores]))/(MAX(Table1[Summed Raw Scores])-MIN(Table1[Summed Raw Scores]))</f>
        <v>0.53391920917209412</v>
      </c>
      <c r="AC20" s="9"/>
    </row>
    <row r="21" spans="1:29" x14ac:dyDescent="0.3">
      <c r="A21" s="1" t="s">
        <v>233</v>
      </c>
      <c r="B21" s="1" t="s">
        <v>38</v>
      </c>
      <c r="C21" s="1" t="s">
        <v>31</v>
      </c>
      <c r="D21" s="2">
        <v>58.433333333900002</v>
      </c>
      <c r="E21" s="2">
        <v>-130.024166667</v>
      </c>
      <c r="F21" s="2">
        <v>54</v>
      </c>
      <c r="G21" s="2">
        <v>10</v>
      </c>
      <c r="H21" s="2" t="s">
        <v>23</v>
      </c>
      <c r="I21" s="2">
        <v>86</v>
      </c>
      <c r="J21" s="2">
        <v>205.12</v>
      </c>
      <c r="K21" s="2" t="s">
        <v>23</v>
      </c>
      <c r="L21" s="2">
        <f>473.463877529/1000</f>
        <v>0.47346387752899999</v>
      </c>
      <c r="M21" s="2">
        <v>255.387</v>
      </c>
      <c r="N21" s="2">
        <f>Table1[[#This Row],[R1 Length (km)]]+Table1[[#This Row],[T1 Length (km)]]</f>
        <v>255.86046387752901</v>
      </c>
      <c r="O21" s="1">
        <v>130</v>
      </c>
      <c r="P21" s="1" t="s">
        <v>23</v>
      </c>
      <c r="Q21" s="1" t="s">
        <v>23</v>
      </c>
      <c r="R21" s="9" t="s">
        <v>23</v>
      </c>
      <c r="S21" s="9" t="s">
        <v>23</v>
      </c>
      <c r="T21" s="9">
        <v>10</v>
      </c>
      <c r="U21" s="20">
        <v>3784</v>
      </c>
      <c r="V21" s="20">
        <f>Table1[[#This Row],[Raw Terrestrial Score]]/Table1[[#This Row],[Summed Raw Scores]]</f>
        <v>0.30318083486900088</v>
      </c>
      <c r="W21" s="20">
        <v>8697</v>
      </c>
      <c r="X21" s="20">
        <f>Table1[[#This Row],[Raw Freshwater Score]]/Table1[[#This Row],[Summed Raw Scores]]</f>
        <v>0.69681916513099917</v>
      </c>
      <c r="Y21" s="20">
        <f>Table1[[#This Row],[Raw Terrestrial Score]]+Table1[[#This Row],[Raw Freshwater Score]]</f>
        <v>12481</v>
      </c>
      <c r="Z21" s="18">
        <f>Table1[[#This Row],[Terrestrial % of Summed Score]]*Table1[[#This Row],[Scaled Summed Score]]</f>
        <v>0.16101747322633717</v>
      </c>
      <c r="AA21" s="18">
        <f>Table1[[#This Row],[Freshwater % of Summed Score]]*Table1[[#This Row],[Scaled Summed Score]]</f>
        <v>0.37007636486507783</v>
      </c>
      <c r="AB21" s="18">
        <f>(Table1[[#This Row],[Summed Raw Scores]]-MIN(Table1[Summed Raw Scores]))/(MAX(Table1[Summed Raw Scores])-MIN(Table1[Summed Raw Scores]))</f>
        <v>0.53109383809141497</v>
      </c>
      <c r="AC21" s="9"/>
    </row>
    <row r="22" spans="1:29" x14ac:dyDescent="0.3">
      <c r="A22" s="1" t="s">
        <v>216</v>
      </c>
      <c r="B22" s="1" t="s">
        <v>115</v>
      </c>
      <c r="C22" s="1" t="s">
        <v>22</v>
      </c>
      <c r="D22" s="2">
        <v>50.78142433</v>
      </c>
      <c r="E22" s="2">
        <v>-127.6862897</v>
      </c>
      <c r="F22" s="2">
        <v>117</v>
      </c>
      <c r="G22" s="1" t="s">
        <v>23</v>
      </c>
      <c r="H22" s="2">
        <v>27.599999999999998</v>
      </c>
      <c r="I22" s="2">
        <v>358.53366</v>
      </c>
      <c r="J22" s="2">
        <v>83.915463409001291</v>
      </c>
      <c r="K22" s="2" t="s">
        <v>23</v>
      </c>
      <c r="L22" s="2">
        <v>1.7</v>
      </c>
      <c r="M22" s="2">
        <v>36</v>
      </c>
      <c r="N22" s="2">
        <f>Table1[[#This Row],[R1 Length (km)]]+Table1[[#This Row],[T1 Length (km)]]</f>
        <v>37.700000000000003</v>
      </c>
      <c r="O22" s="1">
        <v>130</v>
      </c>
      <c r="P22" s="1" t="s">
        <v>116</v>
      </c>
      <c r="Q22" s="1">
        <v>23</v>
      </c>
      <c r="R22" s="9" t="s">
        <v>23</v>
      </c>
      <c r="S22" s="9" t="s">
        <v>23</v>
      </c>
      <c r="T22" s="9">
        <f>((PI()*(45^2))*Table1[[#This Row],[Number of Turbines - WIND]])/10000</f>
        <v>14.631967784094462</v>
      </c>
      <c r="U22" s="20">
        <f>3383+132.0153</f>
        <v>3515.0153</v>
      </c>
      <c r="V22" s="20">
        <f>Table1[[#This Row],[Raw Terrestrial Score]]/Table1[[#This Row],[Summed Raw Scores]]</f>
        <v>0.28903701754566291</v>
      </c>
      <c r="W22" s="20">
        <f>135.1097+8511</f>
        <v>8646.1097000000009</v>
      </c>
      <c r="X22" s="20">
        <f>Table1[[#This Row],[Raw Freshwater Score]]/Table1[[#This Row],[Summed Raw Scores]]</f>
        <v>0.7109629824543372</v>
      </c>
      <c r="Y22" s="20">
        <f>Table1[[#This Row],[Raw Terrestrial Score]]+Table1[[#This Row],[Raw Freshwater Score]]</f>
        <v>12161.125</v>
      </c>
      <c r="Z22" s="18">
        <f>Table1[[#This Row],[Terrestrial % of Summed Score]]*Table1[[#This Row],[Scaled Summed Score]]</f>
        <v>0.1495671681816847</v>
      </c>
      <c r="AA22" s="18">
        <f>Table1[[#This Row],[Freshwater % of Summed Score]]*Table1[[#This Row],[Scaled Summed Score]]</f>
        <v>0.36790000419548546</v>
      </c>
      <c r="AB22" s="18">
        <f>(Table1[[#This Row],[Summed Raw Scores]]-MIN(Table1[Summed Raw Scores]))/(MAX(Table1[Summed Raw Scores])-MIN(Table1[Summed Raw Scores]))</f>
        <v>0.5174671723771701</v>
      </c>
      <c r="AC22" s="9"/>
    </row>
    <row r="23" spans="1:29" x14ac:dyDescent="0.3">
      <c r="A23" s="1" t="s">
        <v>164</v>
      </c>
      <c r="B23" s="1" t="s">
        <v>115</v>
      </c>
      <c r="C23" s="1" t="s">
        <v>60</v>
      </c>
      <c r="D23" s="2">
        <v>56.238809310000001</v>
      </c>
      <c r="E23" s="2">
        <v>-124.4981851</v>
      </c>
      <c r="F23" s="2">
        <v>207</v>
      </c>
      <c r="G23" s="1" t="s">
        <v>23</v>
      </c>
      <c r="H23" s="2">
        <v>49.199999999999996</v>
      </c>
      <c r="I23" s="2">
        <v>459.3656400000001</v>
      </c>
      <c r="J23" s="2">
        <v>121.35392801256627</v>
      </c>
      <c r="K23" s="2" t="s">
        <v>23</v>
      </c>
      <c r="L23" s="2">
        <v>3.4455849609400002</v>
      </c>
      <c r="M23" s="2">
        <v>181.21009375</v>
      </c>
      <c r="N23" s="2">
        <f>Table1[[#This Row],[R1 Length (km)]]+Table1[[#This Row],[T1 Length (km)]]</f>
        <v>184.65567871094001</v>
      </c>
      <c r="O23" s="1">
        <v>230</v>
      </c>
      <c r="P23" s="1" t="s">
        <v>137</v>
      </c>
      <c r="Q23" s="3" t="s">
        <v>23</v>
      </c>
      <c r="R23" s="9" t="s">
        <v>23</v>
      </c>
      <c r="S23" s="9" t="s">
        <v>23</v>
      </c>
      <c r="T23" s="9">
        <f>2987057/10000</f>
        <v>298.70569999999998</v>
      </c>
      <c r="U23" s="20">
        <v>7218</v>
      </c>
      <c r="V23" s="20">
        <f>Table1[[#This Row],[Raw Terrestrial Score]]/Table1[[#This Row],[Summed Raw Scores]]</f>
        <v>0.62293950116509877</v>
      </c>
      <c r="W23" s="20">
        <v>4369</v>
      </c>
      <c r="X23" s="20">
        <f>Table1[[#This Row],[Raw Freshwater Score]]/Table1[[#This Row],[Summed Raw Scores]]</f>
        <v>0.37706049883490117</v>
      </c>
      <c r="Y23" s="20">
        <f>Table1[[#This Row],[Raw Terrestrial Score]]+Table1[[#This Row],[Raw Freshwater Score]]</f>
        <v>11587</v>
      </c>
      <c r="Z23" s="18">
        <f>Table1[[#This Row],[Terrestrial % of Summed Score]]*Table1[[#This Row],[Scaled Summed Score]]</f>
        <v>0.30711506960101209</v>
      </c>
      <c r="AA23" s="18">
        <f>Table1[[#This Row],[Freshwater % of Summed Score]]*Table1[[#This Row],[Scaled Summed Score]]</f>
        <v>0.18589439444261871</v>
      </c>
      <c r="AB23" s="18">
        <f>(Table1[[#This Row],[Summed Raw Scores]]-MIN(Table1[Summed Raw Scores]))/(MAX(Table1[Summed Raw Scores])-MIN(Table1[Summed Raw Scores]))</f>
        <v>0.49300946404363083</v>
      </c>
      <c r="AC23" s="9"/>
    </row>
    <row r="24" spans="1:29" x14ac:dyDescent="0.3">
      <c r="A24" s="1" t="s">
        <v>144</v>
      </c>
      <c r="B24" s="1" t="s">
        <v>115</v>
      </c>
      <c r="C24" s="1" t="s">
        <v>28</v>
      </c>
      <c r="D24" s="2">
        <v>57.537468050000001</v>
      </c>
      <c r="E24" s="2">
        <v>-123.217569</v>
      </c>
      <c r="F24" s="2">
        <v>150</v>
      </c>
      <c r="G24" s="1" t="s">
        <v>23</v>
      </c>
      <c r="H24" s="2">
        <v>36</v>
      </c>
      <c r="I24" s="2">
        <v>464.76180000000005</v>
      </c>
      <c r="J24" s="2">
        <v>107.20800391045138</v>
      </c>
      <c r="K24" s="2" t="s">
        <v>23</v>
      </c>
      <c r="L24" s="2">
        <v>28.1865078125</v>
      </c>
      <c r="M24" s="2">
        <v>218.74175</v>
      </c>
      <c r="N24" s="2">
        <f>Table1[[#This Row],[R1 Length (km)]]+Table1[[#This Row],[T1 Length (km)]]</f>
        <v>246.92825781249999</v>
      </c>
      <c r="O24" s="1">
        <v>230</v>
      </c>
      <c r="P24" s="1" t="s">
        <v>137</v>
      </c>
      <c r="Q24" s="3" t="s">
        <v>23</v>
      </c>
      <c r="R24" s="9" t="s">
        <v>23</v>
      </c>
      <c r="S24" s="9" t="s">
        <v>23</v>
      </c>
      <c r="T24" s="9">
        <f>2266088/10000</f>
        <v>226.6088</v>
      </c>
      <c r="U24" s="20">
        <v>6064</v>
      </c>
      <c r="V24" s="20">
        <f>Table1[[#This Row],[Raw Terrestrial Score]]/Table1[[#This Row],[Summed Raw Scores]]</f>
        <v>0.54046345811051688</v>
      </c>
      <c r="W24" s="20">
        <v>5156</v>
      </c>
      <c r="X24" s="20">
        <f>Table1[[#This Row],[Raw Freshwater Score]]/Table1[[#This Row],[Summed Raw Scores]]</f>
        <v>0.45953654188948306</v>
      </c>
      <c r="Y24" s="20">
        <f>Table1[[#This Row],[Raw Terrestrial Score]]+Table1[[#This Row],[Raw Freshwater Score]]</f>
        <v>11220</v>
      </c>
      <c r="Z24" s="18">
        <f>Table1[[#This Row],[Terrestrial % of Summed Score]]*Table1[[#This Row],[Scaled Summed Score]]</f>
        <v>0.25800389177941085</v>
      </c>
      <c r="AA24" s="18">
        <f>Table1[[#This Row],[Freshwater % of Summed Score]]*Table1[[#This Row],[Scaled Summed Score]]</f>
        <v>0.21937138291798194</v>
      </c>
      <c r="AB24" s="18">
        <f>(Table1[[#This Row],[Summed Raw Scores]]-MIN(Table1[Summed Raw Scores]))/(MAX(Table1[Summed Raw Scores])-MIN(Table1[Summed Raw Scores]))</f>
        <v>0.47737527469739283</v>
      </c>
      <c r="AC24" s="9"/>
    </row>
    <row r="25" spans="1:29" x14ac:dyDescent="0.3">
      <c r="A25" s="1" t="s">
        <v>35</v>
      </c>
      <c r="B25" s="1" t="s">
        <v>25</v>
      </c>
      <c r="C25" s="1" t="s">
        <v>33</v>
      </c>
      <c r="D25" s="12">
        <v>50.6678</v>
      </c>
      <c r="E25" s="12">
        <v>-123.47042500000001</v>
      </c>
      <c r="F25" s="2">
        <v>99</v>
      </c>
      <c r="G25" s="2">
        <v>89</v>
      </c>
      <c r="H25" s="2" t="s">
        <v>23</v>
      </c>
      <c r="I25" s="14">
        <v>656.90040010200858</v>
      </c>
      <c r="J25" s="13">
        <v>97.683961438932542</v>
      </c>
      <c r="K25" s="2" t="s">
        <v>23</v>
      </c>
      <c r="L25" s="12">
        <v>0.75</v>
      </c>
      <c r="M25" s="9">
        <v>66.571992187500001</v>
      </c>
      <c r="N25" s="9">
        <f>Table1[[#This Row],[R1 Length (km)]]+Table1[[#This Row],[T1 Length (km)]]</f>
        <v>67.321992187500001</v>
      </c>
      <c r="O25" s="3">
        <v>230</v>
      </c>
      <c r="P25" s="3" t="s">
        <v>23</v>
      </c>
      <c r="Q25" s="3" t="s">
        <v>23</v>
      </c>
      <c r="R25" s="9" t="s">
        <v>23</v>
      </c>
      <c r="S25" s="9" t="s">
        <v>23</v>
      </c>
      <c r="T25" s="9">
        <v>26.5</v>
      </c>
      <c r="U25" s="20">
        <v>4733</v>
      </c>
      <c r="V25" s="20">
        <f>Table1[[#This Row],[Raw Terrestrial Score]]/Table1[[#This Row],[Summed Raw Scores]]</f>
        <v>0.44266741488963712</v>
      </c>
      <c r="W25" s="20">
        <v>5959</v>
      </c>
      <c r="X25" s="20">
        <f>Table1[[#This Row],[Raw Freshwater Score]]/Table1[[#This Row],[Summed Raw Scores]]</f>
        <v>0.55733258511036288</v>
      </c>
      <c r="Y25" s="20">
        <f>Table1[[#This Row],[Raw Terrestrial Score]]+Table1[[#This Row],[Raw Freshwater Score]]</f>
        <v>10692</v>
      </c>
      <c r="Z25" s="18">
        <f>Table1[[#This Row],[Terrestrial % of Summed Score]]*Table1[[#This Row],[Scaled Summed Score]]</f>
        <v>0.201361655937873</v>
      </c>
      <c r="AA25" s="18">
        <f>Table1[[#This Row],[Freshwater % of Summed Score]]*Table1[[#This Row],[Scaled Summed Score]]</f>
        <v>0.25352083408700299</v>
      </c>
      <c r="AB25" s="18">
        <f>(Table1[[#This Row],[Summed Raw Scores]]-MIN(Table1[Summed Raw Scores]))/(MAX(Table1[Summed Raw Scores])-MIN(Table1[Summed Raw Scores]))</f>
        <v>0.45488249002487602</v>
      </c>
      <c r="AC25" s="9"/>
    </row>
    <row r="26" spans="1:29" x14ac:dyDescent="0.3">
      <c r="A26" s="1" t="s">
        <v>130</v>
      </c>
      <c r="B26" s="1" t="s">
        <v>115</v>
      </c>
      <c r="C26" s="1" t="s">
        <v>60</v>
      </c>
      <c r="D26" s="2">
        <v>51.5627</v>
      </c>
      <c r="E26" s="2">
        <v>-123.431</v>
      </c>
      <c r="F26" s="1">
        <v>160</v>
      </c>
      <c r="G26" s="1" t="s">
        <v>23</v>
      </c>
      <c r="H26" s="2">
        <v>38.4</v>
      </c>
      <c r="I26" s="2">
        <v>471.35807999999997</v>
      </c>
      <c r="J26" s="2">
        <v>92.683466422761668</v>
      </c>
      <c r="K26" s="2" t="s">
        <v>23</v>
      </c>
      <c r="L26" s="2">
        <v>3.57989916992</v>
      </c>
      <c r="M26" s="2">
        <v>159.10723437499999</v>
      </c>
      <c r="N26" s="2">
        <f>Table1[[#This Row],[R1 Length (km)]]+Table1[[#This Row],[T1 Length (km)]]</f>
        <v>162.68713354491999</v>
      </c>
      <c r="O26" s="1">
        <v>230</v>
      </c>
      <c r="P26" s="1" t="s">
        <v>116</v>
      </c>
      <c r="Q26" s="1">
        <v>69</v>
      </c>
      <c r="R26" s="9" t="s">
        <v>23</v>
      </c>
      <c r="S26" s="9" t="s">
        <v>23</v>
      </c>
      <c r="T26" s="9">
        <f>((PI()*(45^2))*Table1[[#This Row],[Number of Turbines - WIND]])/10000</f>
        <v>43.895903352283383</v>
      </c>
      <c r="U26" s="20">
        <f>5281+377.6335</f>
        <v>5658.6334999999999</v>
      </c>
      <c r="V26" s="20">
        <f>Table1[[#This Row],[Raw Terrestrial Score]]/Table1[[#This Row],[Summed Raw Scores]]</f>
        <v>0.53103511462749176</v>
      </c>
      <c r="W26" s="20">
        <f>415.2221+4582</f>
        <v>4997.2221</v>
      </c>
      <c r="X26" s="20">
        <f>Table1[[#This Row],[Raw Freshwater Score]]/Table1[[#This Row],[Summed Raw Scores]]</f>
        <v>0.4689648853725083</v>
      </c>
      <c r="Y26" s="20">
        <f>Table1[[#This Row],[Raw Terrestrial Score]]+Table1[[#This Row],[Raw Freshwater Score]]</f>
        <v>10655.855599999999</v>
      </c>
      <c r="Z26" s="18">
        <f>Table1[[#This Row],[Terrestrial % of Summed Score]]*Table1[[#This Row],[Scaled Summed Score]]</f>
        <v>0.2407409137071479</v>
      </c>
      <c r="AA26" s="18">
        <f>Table1[[#This Row],[Freshwater % of Summed Score]]*Table1[[#This Row],[Scaled Summed Score]]</f>
        <v>0.2126018259269756</v>
      </c>
      <c r="AB26" s="18">
        <f>(Table1[[#This Row],[Summed Raw Scores]]-MIN(Table1[Summed Raw Scores]))/(MAX(Table1[Summed Raw Scores])-MIN(Table1[Summed Raw Scores]))</f>
        <v>0.45334273963412347</v>
      </c>
      <c r="AC26" s="9"/>
    </row>
    <row r="27" spans="1:29" x14ac:dyDescent="0.3">
      <c r="A27" s="1" t="s">
        <v>145</v>
      </c>
      <c r="B27" s="1" t="s">
        <v>115</v>
      </c>
      <c r="C27" s="1" t="s">
        <v>28</v>
      </c>
      <c r="D27" s="2">
        <v>57.414985940000001</v>
      </c>
      <c r="E27" s="2">
        <v>-123.31186289999999</v>
      </c>
      <c r="F27" s="2">
        <v>138</v>
      </c>
      <c r="G27" s="1" t="s">
        <v>23</v>
      </c>
      <c r="H27" s="2">
        <v>33.6</v>
      </c>
      <c r="I27" s="2">
        <v>392.57064000000003</v>
      </c>
      <c r="J27" s="2">
        <v>118.86725171561042</v>
      </c>
      <c r="K27" s="2" t="s">
        <v>23</v>
      </c>
      <c r="L27" s="2">
        <v>33.036265624999999</v>
      </c>
      <c r="M27" s="2">
        <v>207.05425</v>
      </c>
      <c r="N27" s="2">
        <f>Table1[[#This Row],[R1 Length (km)]]+Table1[[#This Row],[T1 Length (km)]]</f>
        <v>240.09051562499999</v>
      </c>
      <c r="O27" s="1">
        <v>230</v>
      </c>
      <c r="P27" s="1" t="s">
        <v>137</v>
      </c>
      <c r="Q27" s="3" t="s">
        <v>23</v>
      </c>
      <c r="R27" s="9" t="s">
        <v>23</v>
      </c>
      <c r="S27" s="9" t="s">
        <v>23</v>
      </c>
      <c r="T27" s="9">
        <f>2218345/10000</f>
        <v>221.83449999999999</v>
      </c>
      <c r="U27" s="20">
        <v>5618</v>
      </c>
      <c r="V27" s="20">
        <f>Table1[[#This Row],[Raw Terrestrial Score]]/Table1[[#This Row],[Summed Raw Scores]]</f>
        <v>0.5399327246516098</v>
      </c>
      <c r="W27" s="20">
        <v>4787</v>
      </c>
      <c r="X27" s="20">
        <f>Table1[[#This Row],[Raw Freshwater Score]]/Table1[[#This Row],[Summed Raw Scores]]</f>
        <v>0.4600672753483902</v>
      </c>
      <c r="Y27" s="20">
        <f>Table1[[#This Row],[Raw Terrestrial Score]]+Table1[[#This Row],[Raw Freshwater Score]]</f>
        <v>10405</v>
      </c>
      <c r="Z27" s="18">
        <f>Table1[[#This Row],[Terrestrial % of Summed Score]]*Table1[[#This Row],[Scaled Summed Score]]</f>
        <v>0.23900462125570868</v>
      </c>
      <c r="AA27" s="18">
        <f>Table1[[#This Row],[Freshwater % of Summed Score]]*Table1[[#This Row],[Scaled Summed Score]]</f>
        <v>0.20365167710058338</v>
      </c>
      <c r="AB27" s="18">
        <f>(Table1[[#This Row],[Summed Raw Scores]]-MIN(Table1[Summed Raw Scores]))/(MAX(Table1[Summed Raw Scores])-MIN(Table1[Summed Raw Scores]))</f>
        <v>0.44265629835629206</v>
      </c>
      <c r="AC27" s="9"/>
    </row>
    <row r="28" spans="1:29" x14ac:dyDescent="0.3">
      <c r="A28" s="1" t="s">
        <v>217</v>
      </c>
      <c r="B28" s="1" t="s">
        <v>115</v>
      </c>
      <c r="C28" s="1" t="s">
        <v>22</v>
      </c>
      <c r="D28" s="2">
        <v>50.644801700000002</v>
      </c>
      <c r="E28" s="2">
        <v>-126.9632505</v>
      </c>
      <c r="F28" s="2">
        <v>165</v>
      </c>
      <c r="G28" s="1" t="s">
        <v>23</v>
      </c>
      <c r="H28" s="2">
        <v>39.6</v>
      </c>
      <c r="I28" s="2">
        <v>522.07848000000001</v>
      </c>
      <c r="J28" s="2">
        <v>88.642968937247929</v>
      </c>
      <c r="K28" s="2" t="s">
        <v>23</v>
      </c>
      <c r="L28" s="2">
        <v>0.2</v>
      </c>
      <c r="M28" s="2">
        <v>122.2</v>
      </c>
      <c r="N28" s="2">
        <f>Table1[[#This Row],[R1 Length (km)]]+Table1[[#This Row],[T1 Length (km)]]</f>
        <v>122.4</v>
      </c>
      <c r="O28" s="1">
        <v>230</v>
      </c>
      <c r="P28" s="1" t="s">
        <v>116</v>
      </c>
      <c r="Q28" s="1">
        <v>33</v>
      </c>
      <c r="R28" s="9" t="s">
        <v>23</v>
      </c>
      <c r="S28" s="9" t="s">
        <v>23</v>
      </c>
      <c r="T28" s="9">
        <f>((PI()*(45^2))*Table1[[#This Row],[Number of Turbines - WIND]])/10000</f>
        <v>20.993692907613791</v>
      </c>
      <c r="U28" s="20">
        <f>2848+193.5005</f>
        <v>3041.5005000000001</v>
      </c>
      <c r="V28" s="20">
        <f>Table1[[#This Row],[Raw Terrestrial Score]]/Table1[[#This Row],[Summed Raw Scores]]</f>
        <v>0.30058806638394692</v>
      </c>
      <c r="W28" s="20">
        <f>194+6883</f>
        <v>7077</v>
      </c>
      <c r="X28" s="20">
        <f>Table1[[#This Row],[Raw Freshwater Score]]/Table1[[#This Row],[Summed Raw Scores]]</f>
        <v>0.69941193361605303</v>
      </c>
      <c r="Y28" s="20">
        <f>Table1[[#This Row],[Raw Terrestrial Score]]+Table1[[#This Row],[Raw Freshwater Score]]</f>
        <v>10118.5005</v>
      </c>
      <c r="Z28" s="18">
        <f>Table1[[#This Row],[Terrestrial % of Summed Score]]*Table1[[#This Row],[Scaled Summed Score]]</f>
        <v>0.12938856240666666</v>
      </c>
      <c r="AA28" s="18">
        <f>Table1[[#This Row],[Freshwater % of Summed Score]]*Table1[[#This Row],[Scaled Summed Score]]</f>
        <v>0.30106286556651224</v>
      </c>
      <c r="AB28" s="18">
        <f>(Table1[[#This Row],[Summed Raw Scores]]-MIN(Table1[Summed Raw Scores]))/(MAX(Table1[Summed Raw Scores])-MIN(Table1[Summed Raw Scores]))</f>
        <v>0.43045142797317892</v>
      </c>
      <c r="AC28" s="9"/>
    </row>
    <row r="29" spans="1:29" x14ac:dyDescent="0.3">
      <c r="A29" s="1" t="s">
        <v>126</v>
      </c>
      <c r="B29" s="1" t="s">
        <v>115</v>
      </c>
      <c r="C29" s="1" t="s">
        <v>31</v>
      </c>
      <c r="D29" s="2">
        <v>54.953699999999998</v>
      </c>
      <c r="E29" s="2">
        <v>-125.59099999999999</v>
      </c>
      <c r="F29" s="1">
        <v>220</v>
      </c>
      <c r="G29" s="1" t="s">
        <v>23</v>
      </c>
      <c r="H29" s="2">
        <v>52.8</v>
      </c>
      <c r="I29" s="2">
        <v>648.11735999999996</v>
      </c>
      <c r="J29" s="2">
        <v>83.829652025682037</v>
      </c>
      <c r="K29" s="2" t="s">
        <v>23</v>
      </c>
      <c r="L29" s="2">
        <v>0.241421356201</v>
      </c>
      <c r="M29" s="2">
        <v>32.540412109374998</v>
      </c>
      <c r="N29" s="2">
        <f>Table1[[#This Row],[R1 Length (km)]]+Table1[[#This Row],[T1 Length (km)]]</f>
        <v>32.781833465576</v>
      </c>
      <c r="O29" s="1">
        <v>130</v>
      </c>
      <c r="P29" s="1" t="s">
        <v>116</v>
      </c>
      <c r="Q29" s="1">
        <v>95</v>
      </c>
      <c r="R29" s="9" t="s">
        <v>23</v>
      </c>
      <c r="S29" s="9" t="s">
        <v>23</v>
      </c>
      <c r="T29" s="9">
        <f>((PI()*(45^2))*Table1[[#This Row],[Number of Turbines - WIND]])/10000</f>
        <v>60.43638867343364</v>
      </c>
      <c r="U29" s="20">
        <f>2800+669.6194</f>
        <v>3469.6194</v>
      </c>
      <c r="V29" s="20">
        <f>Table1[[#This Row],[Raw Terrestrial Score]]/Table1[[#This Row],[Summed Raw Scores]]</f>
        <v>0.3971974747283718</v>
      </c>
      <c r="W29" s="20">
        <f>736.631+4529</f>
        <v>5265.6310000000003</v>
      </c>
      <c r="X29" s="20">
        <f>Table1[[#This Row],[Raw Freshwater Score]]/Table1[[#This Row],[Summed Raw Scores]]</f>
        <v>0.60280252527162814</v>
      </c>
      <c r="Y29" s="20">
        <f>Table1[[#This Row],[Raw Terrestrial Score]]+Table1[[#This Row],[Raw Freshwater Score]]</f>
        <v>8735.2504000000008</v>
      </c>
      <c r="Z29" s="18">
        <f>Table1[[#This Row],[Terrestrial % of Summed Score]]*Table1[[#This Row],[Scaled Summed Score]]</f>
        <v>0.14756879730679076</v>
      </c>
      <c r="AA29" s="18">
        <f>Table1[[#This Row],[Freshwater % of Summed Score]]*Table1[[#This Row],[Scaled Summed Score]]</f>
        <v>0.22395621656120379</v>
      </c>
      <c r="AB29" s="18">
        <f>(Table1[[#This Row],[Summed Raw Scores]]-MIN(Table1[Summed Raw Scores]))/(MAX(Table1[Summed Raw Scores])-MIN(Table1[Summed Raw Scores]))</f>
        <v>0.37152501386799458</v>
      </c>
      <c r="AC29" s="9"/>
    </row>
    <row r="30" spans="1:29" x14ac:dyDescent="0.3">
      <c r="A30" s="1" t="s">
        <v>146</v>
      </c>
      <c r="B30" s="1" t="s">
        <v>115</v>
      </c>
      <c r="C30" s="1" t="s">
        <v>28</v>
      </c>
      <c r="D30" s="2">
        <v>57.126208089999999</v>
      </c>
      <c r="E30" s="2">
        <v>-123.0578247</v>
      </c>
      <c r="F30" s="2">
        <v>102</v>
      </c>
      <c r="G30" s="1" t="s">
        <v>23</v>
      </c>
      <c r="H30" s="2">
        <v>25.2</v>
      </c>
      <c r="I30" s="2">
        <v>398.45735999999999</v>
      </c>
      <c r="J30" s="2">
        <v>100.10009970678456</v>
      </c>
      <c r="K30" s="2" t="s">
        <v>23</v>
      </c>
      <c r="L30" s="2">
        <v>16.8266933594</v>
      </c>
      <c r="M30" s="2">
        <v>168.71971875</v>
      </c>
      <c r="N30" s="2">
        <f>Table1[[#This Row],[R1 Length (km)]]+Table1[[#This Row],[T1 Length (km)]]</f>
        <v>185.54641210939999</v>
      </c>
      <c r="O30" s="1">
        <v>230</v>
      </c>
      <c r="P30" s="1" t="s">
        <v>137</v>
      </c>
      <c r="Q30" s="3" t="s">
        <v>23</v>
      </c>
      <c r="R30" s="9" t="s">
        <v>23</v>
      </c>
      <c r="S30" s="9" t="s">
        <v>23</v>
      </c>
      <c r="T30" s="9">
        <f>1911905/10000</f>
        <v>191.19049999999999</v>
      </c>
      <c r="U30" s="20">
        <v>4990</v>
      </c>
      <c r="V30" s="20">
        <f>Table1[[#This Row],[Raw Terrestrial Score]]/Table1[[#This Row],[Summed Raw Scores]]</f>
        <v>0.6153656431125909</v>
      </c>
      <c r="W30" s="20">
        <v>3119</v>
      </c>
      <c r="X30" s="20">
        <f>Table1[[#This Row],[Raw Freshwater Score]]/Table1[[#This Row],[Summed Raw Scores]]</f>
        <v>0.38463435688740905</v>
      </c>
      <c r="Y30" s="20">
        <f>Table1[[#This Row],[Raw Terrestrial Score]]+Table1[[#This Row],[Raw Freshwater Score]]</f>
        <v>8109</v>
      </c>
      <c r="Z30" s="18">
        <f>Table1[[#This Row],[Terrestrial % of Summed Score]]*Table1[[#This Row],[Scaled Summed Score]]</f>
        <v>0.21220685132421088</v>
      </c>
      <c r="AA30" s="18">
        <f>Table1[[#This Row],[Freshwater % of Summed Score]]*Table1[[#This Row],[Scaled Summed Score]]</f>
        <v>0.13263991368340958</v>
      </c>
      <c r="AB30" s="18">
        <f>(Table1[[#This Row],[Summed Raw Scores]]-MIN(Table1[Summed Raw Scores]))/(MAX(Table1[Summed Raw Scores])-MIN(Table1[Summed Raw Scores]))</f>
        <v>0.34484676500762046</v>
      </c>
      <c r="AC30" s="9"/>
    </row>
    <row r="31" spans="1:29" x14ac:dyDescent="0.3">
      <c r="A31" s="1" t="s">
        <v>153</v>
      </c>
      <c r="B31" s="1" t="s">
        <v>115</v>
      </c>
      <c r="C31" s="1" t="s">
        <v>28</v>
      </c>
      <c r="D31" s="12">
        <v>54.408751680000002</v>
      </c>
      <c r="E31" s="12">
        <v>-120.1624003</v>
      </c>
      <c r="F31" s="2">
        <v>126</v>
      </c>
      <c r="G31" s="1" t="s">
        <v>23</v>
      </c>
      <c r="H31" s="9">
        <v>30</v>
      </c>
      <c r="I31" s="9">
        <v>570.82349999999997</v>
      </c>
      <c r="J31" s="9">
        <v>63.989458989339575</v>
      </c>
      <c r="K31" s="2" t="s">
        <v>23</v>
      </c>
      <c r="L31" s="12">
        <v>32.181849609399997</v>
      </c>
      <c r="M31" s="9">
        <v>105.7322109375</v>
      </c>
      <c r="N31" s="9">
        <f>Table1[[#This Row],[R1 Length (km)]]+Table1[[#This Row],[T1 Length (km)]]</f>
        <v>137.9140605469</v>
      </c>
      <c r="O31" s="5">
        <v>230</v>
      </c>
      <c r="P31" s="5" t="s">
        <v>137</v>
      </c>
      <c r="Q31" s="3" t="s">
        <v>23</v>
      </c>
      <c r="R31" s="9" t="s">
        <v>23</v>
      </c>
      <c r="S31" s="9" t="s">
        <v>23</v>
      </c>
      <c r="T31" s="9">
        <v>15.9</v>
      </c>
      <c r="U31" s="20">
        <v>4705</v>
      </c>
      <c r="V31" s="20">
        <f>Table1[[#This Row],[Raw Terrestrial Score]]/Table1[[#This Row],[Summed Raw Scores]]</f>
        <v>0.5807208096766231</v>
      </c>
      <c r="W31" s="20">
        <v>3397</v>
      </c>
      <c r="X31" s="20">
        <f>Table1[[#This Row],[Raw Freshwater Score]]/Table1[[#This Row],[Summed Raw Scores]]</f>
        <v>0.41927919032337696</v>
      </c>
      <c r="Y31" s="20">
        <f>Table1[[#This Row],[Raw Terrestrial Score]]+Table1[[#This Row],[Raw Freshwater Score]]</f>
        <v>8102</v>
      </c>
      <c r="Z31" s="18">
        <f>Table1[[#This Row],[Terrestrial % of Summed Score]]*Table1[[#This Row],[Scaled Summed Score]]</f>
        <v>0.20008652176214947</v>
      </c>
      <c r="AA31" s="18">
        <f>Table1[[#This Row],[Freshwater % of Summed Score]]*Table1[[#This Row],[Scaled Summed Score]]</f>
        <v>0.14446204344867625</v>
      </c>
      <c r="AB31" s="18">
        <f>(Table1[[#This Row],[Summed Raw Scores]]-MIN(Table1[Summed Raw Scores]))/(MAX(Table1[Summed Raw Scores])-MIN(Table1[Summed Raw Scores]))</f>
        <v>0.34454856521082572</v>
      </c>
      <c r="AC31" s="9"/>
    </row>
    <row r="32" spans="1:29" x14ac:dyDescent="0.3">
      <c r="A32" s="1" t="s">
        <v>29</v>
      </c>
      <c r="B32" s="1" t="s">
        <v>25</v>
      </c>
      <c r="C32" s="1" t="s">
        <v>28</v>
      </c>
      <c r="D32" s="2">
        <v>57.498854999999999</v>
      </c>
      <c r="E32" s="2">
        <v>-122.24574699999999</v>
      </c>
      <c r="F32" s="2">
        <v>12.2</v>
      </c>
      <c r="G32" s="2">
        <v>9</v>
      </c>
      <c r="H32" s="2" t="s">
        <v>23</v>
      </c>
      <c r="I32" s="2">
        <v>69</v>
      </c>
      <c r="J32" s="2">
        <v>216.85</v>
      </c>
      <c r="K32" s="2" t="s">
        <v>23</v>
      </c>
      <c r="L32" s="2">
        <v>0</v>
      </c>
      <c r="M32" s="2">
        <v>193.38300000000001</v>
      </c>
      <c r="N32" s="2">
        <f>Table1[[#This Row],[R1 Length (km)]]+Table1[[#This Row],[T1 Length (km)]]</f>
        <v>193.38300000000001</v>
      </c>
      <c r="O32" s="1">
        <v>230</v>
      </c>
      <c r="P32" s="3" t="s">
        <v>23</v>
      </c>
      <c r="Q32" s="3" t="s">
        <v>23</v>
      </c>
      <c r="R32" s="9" t="s">
        <v>23</v>
      </c>
      <c r="S32" s="9" t="s">
        <v>23</v>
      </c>
      <c r="T32" s="9">
        <v>2.8</v>
      </c>
      <c r="U32" s="20">
        <v>4552</v>
      </c>
      <c r="V32" s="20">
        <f>Table1[[#This Row],[Raw Terrestrial Score]]/Table1[[#This Row],[Summed Raw Scores]]</f>
        <v>0.56301793444650583</v>
      </c>
      <c r="W32" s="20">
        <v>3533</v>
      </c>
      <c r="X32" s="20">
        <f>Table1[[#This Row],[Raw Freshwater Score]]/Table1[[#This Row],[Summed Raw Scores]]</f>
        <v>0.43698206555349411</v>
      </c>
      <c r="Y32" s="20">
        <f>Table1[[#This Row],[Raw Terrestrial Score]]+Table1[[#This Row],[Raw Freshwater Score]]</f>
        <v>8085</v>
      </c>
      <c r="Z32" s="18">
        <f>Table1[[#This Row],[Terrestrial % of Summed Score]]*Table1[[#This Row],[Scaled Summed Score]]</f>
        <v>0.19357928419122866</v>
      </c>
      <c r="AA32" s="18">
        <f>Table1[[#This Row],[Freshwater % of Summed Score]]*Table1[[#This Row],[Scaled Summed Score]]</f>
        <v>0.15024508151309554</v>
      </c>
      <c r="AB32" s="18">
        <f>(Table1[[#This Row],[Summed Raw Scores]]-MIN(Table1[Summed Raw Scores]))/(MAX(Table1[Summed Raw Scores])-MIN(Table1[Summed Raw Scores]))</f>
        <v>0.34382436570432423</v>
      </c>
      <c r="AC32" s="9"/>
    </row>
    <row r="33" spans="1:29" x14ac:dyDescent="0.3">
      <c r="A33" s="1" t="s">
        <v>200</v>
      </c>
      <c r="B33" s="1" t="s">
        <v>115</v>
      </c>
      <c r="C33" s="1" t="s">
        <v>26</v>
      </c>
      <c r="D33" s="2">
        <v>51.20302839</v>
      </c>
      <c r="E33" s="2">
        <v>-122.80802730000001</v>
      </c>
      <c r="F33" s="2">
        <v>117</v>
      </c>
      <c r="G33" s="1" t="s">
        <v>23</v>
      </c>
      <c r="H33" s="2">
        <v>27.599999999999998</v>
      </c>
      <c r="I33" s="2">
        <v>349.46706</v>
      </c>
      <c r="J33" s="2">
        <v>91.343677990623945</v>
      </c>
      <c r="K33" s="2" t="s">
        <v>23</v>
      </c>
      <c r="L33" s="2">
        <v>2.7</v>
      </c>
      <c r="M33" s="2">
        <v>69.8</v>
      </c>
      <c r="N33" s="2">
        <f>Table1[[#This Row],[R1 Length (km)]]+Table1[[#This Row],[T1 Length (km)]]</f>
        <v>72.5</v>
      </c>
      <c r="O33" s="1">
        <v>230</v>
      </c>
      <c r="P33" s="1" t="s">
        <v>137</v>
      </c>
      <c r="Q33" s="3" t="s">
        <v>23</v>
      </c>
      <c r="R33" s="9" t="s">
        <v>23</v>
      </c>
      <c r="S33" s="9" t="s">
        <v>23</v>
      </c>
      <c r="T33" s="9">
        <v>14.63</v>
      </c>
      <c r="U33" s="20">
        <v>3728</v>
      </c>
      <c r="V33" s="20">
        <f>Table1[[#This Row],[Raw Terrestrial Score]]/Table1[[#This Row],[Summed Raw Scores]]</f>
        <v>0.49305647401137415</v>
      </c>
      <c r="W33" s="20">
        <v>3833</v>
      </c>
      <c r="X33" s="20">
        <f>Table1[[#This Row],[Raw Freshwater Score]]/Table1[[#This Row],[Summed Raw Scores]]</f>
        <v>0.5069435259886258</v>
      </c>
      <c r="Y33" s="20">
        <f>Table1[[#This Row],[Raw Terrestrial Score]]+Table1[[#This Row],[Raw Freshwater Score]]</f>
        <v>7561</v>
      </c>
      <c r="Z33" s="18">
        <f>Table1[[#This Row],[Terrestrial % of Summed Score]]*Table1[[#This Row],[Scaled Summed Score]]</f>
        <v>0.15851863309796227</v>
      </c>
      <c r="AA33" s="18">
        <f>Table1[[#This Row],[Freshwater % of Summed Score]]*Table1[[#This Row],[Scaled Summed Score]]</f>
        <v>0.16298334781772783</v>
      </c>
      <c r="AB33" s="18">
        <f>(Table1[[#This Row],[Summed Raw Scores]]-MIN(Table1[Summed Raw Scores]))/(MAX(Table1[Summed Raw Scores])-MIN(Table1[Summed Raw Scores]))</f>
        <v>0.3215019809156901</v>
      </c>
      <c r="AC33" s="9"/>
    </row>
    <row r="34" spans="1:29" x14ac:dyDescent="0.3">
      <c r="A34" s="1" t="s">
        <v>128</v>
      </c>
      <c r="B34" s="1" t="s">
        <v>115</v>
      </c>
      <c r="C34" s="1" t="s">
        <v>31</v>
      </c>
      <c r="D34" s="2">
        <v>55.331899999999997</v>
      </c>
      <c r="E34" s="2">
        <v>-126.911</v>
      </c>
      <c r="F34" s="1">
        <v>105</v>
      </c>
      <c r="G34" s="1" t="s">
        <v>23</v>
      </c>
      <c r="H34" s="2">
        <v>25.2</v>
      </c>
      <c r="I34" s="2">
        <v>309.32873999999998</v>
      </c>
      <c r="J34" s="2">
        <v>84.230430873324536</v>
      </c>
      <c r="K34" s="2" t="s">
        <v>23</v>
      </c>
      <c r="L34" s="2">
        <v>14.226689453100001</v>
      </c>
      <c r="M34" s="2">
        <v>45.149242187500001</v>
      </c>
      <c r="N34" s="2">
        <f>Table1[[#This Row],[R1 Length (km)]]+Table1[[#This Row],[T1 Length (km)]]</f>
        <v>59.375931640600001</v>
      </c>
      <c r="O34" s="1">
        <v>230</v>
      </c>
      <c r="P34" s="1" t="s">
        <v>116</v>
      </c>
      <c r="Q34" s="1">
        <v>45</v>
      </c>
      <c r="R34" s="9" t="s">
        <v>23</v>
      </c>
      <c r="S34" s="9" t="s">
        <v>23</v>
      </c>
      <c r="T34" s="9">
        <f>((PI()*(45^2))*Table1[[#This Row],[Number of Turbines - WIND]])/10000</f>
        <v>28.627763055836986</v>
      </c>
      <c r="U34" s="20">
        <f>2916+208</f>
        <v>3124</v>
      </c>
      <c r="V34" s="20">
        <f>Table1[[#This Row],[Raw Terrestrial Score]]/Table1[[#This Row],[Summed Raw Scores]]</f>
        <v>0.42020857275795087</v>
      </c>
      <c r="W34" s="20">
        <f>223.4033+4087</f>
        <v>4310.4032999999999</v>
      </c>
      <c r="X34" s="20">
        <f>Table1[[#This Row],[Raw Freshwater Score]]/Table1[[#This Row],[Summed Raw Scores]]</f>
        <v>0.57979142724204913</v>
      </c>
      <c r="Y34" s="20">
        <f>Table1[[#This Row],[Raw Terrestrial Score]]+Table1[[#This Row],[Raw Freshwater Score]]</f>
        <v>7434.4032999999999</v>
      </c>
      <c r="Z34" s="18">
        <f>Table1[[#This Row],[Terrestrial % of Summed Score]]*Table1[[#This Row],[Scaled Summed Score]]</f>
        <v>0.13283169709037548</v>
      </c>
      <c r="AA34" s="18">
        <f>Table1[[#This Row],[Freshwater % of Summed Score]]*Table1[[#This Row],[Scaled Summed Score]]</f>
        <v>0.18327726808033126</v>
      </c>
      <c r="AB34" s="18">
        <f>(Table1[[#This Row],[Summed Raw Scores]]-MIN(Table1[Summed Raw Scores]))/(MAX(Table1[Summed Raw Scores])-MIN(Table1[Summed Raw Scores]))</f>
        <v>0.31610896517070675</v>
      </c>
      <c r="AC34" s="9"/>
    </row>
    <row r="35" spans="1:29" x14ac:dyDescent="0.3">
      <c r="A35" s="1" t="s">
        <v>131</v>
      </c>
      <c r="B35" s="1" t="s">
        <v>115</v>
      </c>
      <c r="C35" s="1" t="s">
        <v>26</v>
      </c>
      <c r="D35" s="2">
        <v>51.816400000000002</v>
      </c>
      <c r="E35" s="2">
        <v>-120.271</v>
      </c>
      <c r="F35" s="1">
        <v>165</v>
      </c>
      <c r="G35" s="1" t="s">
        <v>23</v>
      </c>
      <c r="H35" s="2">
        <v>39.6</v>
      </c>
      <c r="I35" s="2">
        <v>414.82979999999998</v>
      </c>
      <c r="J35" s="2">
        <v>98.213081982336419</v>
      </c>
      <c r="K35" s="2" t="s">
        <v>23</v>
      </c>
      <c r="L35" s="2">
        <v>2.1313708496099997</v>
      </c>
      <c r="M35" s="2">
        <v>121.614546875</v>
      </c>
      <c r="N35" s="2">
        <f>Table1[[#This Row],[R1 Length (km)]]+Table1[[#This Row],[T1 Length (km)]]</f>
        <v>123.74591772461</v>
      </c>
      <c r="O35" s="1">
        <v>230</v>
      </c>
      <c r="P35" s="1" t="s">
        <v>116</v>
      </c>
      <c r="Q35" s="1">
        <f>17+24+30</f>
        <v>71</v>
      </c>
      <c r="R35" s="9" t="s">
        <v>23</v>
      </c>
      <c r="S35" s="9" t="s">
        <v>23</v>
      </c>
      <c r="T35" s="9">
        <f>((PI()*(45^2))*Table1[[#This Row],[Number of Turbines - WIND]])/10000</f>
        <v>45.168248376987243</v>
      </c>
      <c r="U35" s="20">
        <f>2931+118.5007+143.0263+199.4085</f>
        <v>3391.9355</v>
      </c>
      <c r="V35" s="20">
        <f>Table1[[#This Row],[Raw Terrestrial Score]]/Table1[[#This Row],[Summed Raw Scores]]</f>
        <v>0.47878546248703852</v>
      </c>
      <c r="W35" s="20">
        <f>135.803+164.505+185.2145+3207</f>
        <v>3692.5225</v>
      </c>
      <c r="X35" s="20">
        <f>Table1[[#This Row],[Raw Freshwater Score]]/Table1[[#This Row],[Summed Raw Scores]]</f>
        <v>0.52121453751296143</v>
      </c>
      <c r="Y35" s="20">
        <f>Table1[[#This Row],[Raw Terrestrial Score]]+Table1[[#This Row],[Raw Freshwater Score]]</f>
        <v>7084.4580000000005</v>
      </c>
      <c r="Z35" s="18">
        <f>Table1[[#This Row],[Terrestrial % of Summed Score]]*Table1[[#This Row],[Scaled Summed Score]]</f>
        <v>0.14421080637916084</v>
      </c>
      <c r="AA35" s="18">
        <f>Table1[[#This Row],[Freshwater % of Summed Score]]*Table1[[#This Row],[Scaled Summed Score]]</f>
        <v>0.15699049917022151</v>
      </c>
      <c r="AB35" s="18">
        <f>(Table1[[#This Row],[Summed Raw Scores]]-MIN(Table1[Summed Raw Scores]))/(MAX(Table1[Summed Raw Scores])-MIN(Table1[Summed Raw Scores]))</f>
        <v>0.30120130554938235</v>
      </c>
      <c r="AC35" s="9"/>
    </row>
    <row r="36" spans="1:29" x14ac:dyDescent="0.3">
      <c r="A36" s="1" t="s">
        <v>149</v>
      </c>
      <c r="B36" s="1" t="s">
        <v>115</v>
      </c>
      <c r="C36" s="1" t="s">
        <v>28</v>
      </c>
      <c r="D36" s="2">
        <v>57.097944140000003</v>
      </c>
      <c r="E36" s="2">
        <v>-122.8989455</v>
      </c>
      <c r="F36" s="2">
        <v>117</v>
      </c>
      <c r="G36" s="1" t="s">
        <v>23</v>
      </c>
      <c r="H36" s="2">
        <v>28.799999999999997</v>
      </c>
      <c r="I36" s="2">
        <v>382.74191999999999</v>
      </c>
      <c r="J36" s="2">
        <v>101.4093717537758</v>
      </c>
      <c r="K36" s="2" t="s">
        <v>23</v>
      </c>
      <c r="L36" s="2">
        <v>10.536749023400001</v>
      </c>
      <c r="M36" s="2">
        <v>162.043265625</v>
      </c>
      <c r="N36" s="2">
        <f>Table1[[#This Row],[R1 Length (km)]]+Table1[[#This Row],[T1 Length (km)]]</f>
        <v>172.58001464840001</v>
      </c>
      <c r="O36" s="1">
        <v>230</v>
      </c>
      <c r="P36" s="1" t="s">
        <v>137</v>
      </c>
      <c r="Q36" s="3" t="s">
        <v>23</v>
      </c>
      <c r="R36" s="9" t="s">
        <v>23</v>
      </c>
      <c r="S36" s="9" t="s">
        <v>23</v>
      </c>
      <c r="T36" s="9">
        <f>1774803/10000</f>
        <v>177.4803</v>
      </c>
      <c r="U36" s="20">
        <v>4070</v>
      </c>
      <c r="V36" s="20">
        <f>Table1[[#This Row],[Raw Terrestrial Score]]/Table1[[#This Row],[Summed Raw Scores]]</f>
        <v>0.5775507308074358</v>
      </c>
      <c r="W36" s="20">
        <v>2977</v>
      </c>
      <c r="X36" s="20">
        <f>Table1[[#This Row],[Raw Freshwater Score]]/Table1[[#This Row],[Summed Raw Scores]]</f>
        <v>0.4224492691925642</v>
      </c>
      <c r="Y36" s="20">
        <f>Table1[[#This Row],[Raw Terrestrial Score]]+Table1[[#This Row],[Raw Freshwater Score]]</f>
        <v>7047</v>
      </c>
      <c r="Z36" s="18">
        <f>Table1[[#This Row],[Terrestrial % of Summed Score]]*Table1[[#This Row],[Scaled Summed Score]]</f>
        <v>0.17303743082951958</v>
      </c>
      <c r="AA36" s="18">
        <f>Table1[[#This Row],[Freshwater % of Summed Score]]*Table1[[#This Row],[Scaled Summed Score]]</f>
        <v>0.12656816500724319</v>
      </c>
      <c r="AB36" s="18">
        <f>(Table1[[#This Row],[Summed Raw Scores]]-MIN(Table1[Summed Raw Scores]))/(MAX(Table1[Summed Raw Scores])-MIN(Table1[Summed Raw Scores]))</f>
        <v>0.29960559583676277</v>
      </c>
      <c r="AC36" s="9"/>
    </row>
    <row r="37" spans="1:29" x14ac:dyDescent="0.3">
      <c r="A37" s="1" t="s">
        <v>46</v>
      </c>
      <c r="B37" s="1" t="s">
        <v>43</v>
      </c>
      <c r="C37" s="1" t="s">
        <v>31</v>
      </c>
      <c r="D37" s="2">
        <v>53.701966269899998</v>
      </c>
      <c r="E37" s="2">
        <v>-128.527487237</v>
      </c>
      <c r="F37" s="2">
        <v>1000</v>
      </c>
      <c r="G37" s="2" t="s">
        <v>23</v>
      </c>
      <c r="H37" s="9">
        <v>1000</v>
      </c>
      <c r="I37" s="2" t="s">
        <v>23</v>
      </c>
      <c r="J37" s="2" t="s">
        <v>23</v>
      </c>
      <c r="K37" s="2">
        <v>126.90449799999999</v>
      </c>
      <c r="L37" s="2">
        <v>4.169848480982953</v>
      </c>
      <c r="M37" s="2">
        <v>88.597770542344747</v>
      </c>
      <c r="N37" s="2">
        <f>Table1[[#This Row],[R1 Length (km)]]+Table1[[#This Row],[T1 Length (km)]]</f>
        <v>92.767619023327697</v>
      </c>
      <c r="O37" s="1">
        <v>500</v>
      </c>
      <c r="P37" s="3" t="s">
        <v>23</v>
      </c>
      <c r="Q37" s="3" t="s">
        <v>23</v>
      </c>
      <c r="R37" s="9" t="s">
        <v>23</v>
      </c>
      <c r="S37" s="9" t="s">
        <v>23</v>
      </c>
      <c r="T37" s="9">
        <v>87.2</v>
      </c>
      <c r="U37" s="20">
        <v>3524</v>
      </c>
      <c r="V37" s="20">
        <f>Table1[[#This Row],[Raw Terrestrial Score]]/Table1[[#This Row],[Summed Raw Scores]]</f>
        <v>0.50487106017191974</v>
      </c>
      <c r="W37" s="20">
        <v>3456</v>
      </c>
      <c r="X37" s="20">
        <f>Table1[[#This Row],[Raw Freshwater Score]]/Table1[[#This Row],[Summed Raw Scores]]</f>
        <v>0.49512893982808021</v>
      </c>
      <c r="Y37" s="20">
        <f>Table1[[#This Row],[Raw Terrestrial Score]]+Table1[[#This Row],[Raw Freshwater Score]]</f>
        <v>6980</v>
      </c>
      <c r="Z37" s="18">
        <f>Table1[[#This Row],[Terrestrial % of Summed Score]]*Table1[[#This Row],[Scaled Summed Score]]</f>
        <v>0.14982119280555983</v>
      </c>
      <c r="AA37" s="18">
        <f>Table1[[#This Row],[Freshwater % of Summed Score]]*Table1[[#This Row],[Scaled Summed Score]]</f>
        <v>0.14693020497616766</v>
      </c>
      <c r="AB37" s="18">
        <f>(Table1[[#This Row],[Summed Raw Scores]]-MIN(Table1[Summed Raw Scores]))/(MAX(Table1[Summed Raw Scores])-MIN(Table1[Summed Raw Scores]))</f>
        <v>0.29675139778172749</v>
      </c>
      <c r="AC37" s="9"/>
    </row>
    <row r="38" spans="1:29" x14ac:dyDescent="0.3">
      <c r="A38" s="1" t="s">
        <v>147</v>
      </c>
      <c r="B38" s="1" t="s">
        <v>115</v>
      </c>
      <c r="C38" s="1" t="s">
        <v>28</v>
      </c>
      <c r="D38" s="2">
        <v>57.039813369999997</v>
      </c>
      <c r="E38" s="2">
        <v>-123.0997048</v>
      </c>
      <c r="F38" s="2">
        <v>96</v>
      </c>
      <c r="G38" s="1" t="s">
        <v>23</v>
      </c>
      <c r="H38" s="2">
        <v>22.8</v>
      </c>
      <c r="I38" s="2">
        <v>381.56370000000004</v>
      </c>
      <c r="J38" s="2">
        <v>98.028597491633946</v>
      </c>
      <c r="K38" s="2" t="s">
        <v>23</v>
      </c>
      <c r="L38" s="2">
        <v>17.419585937499999</v>
      </c>
      <c r="M38" s="2">
        <v>159.68956249999999</v>
      </c>
      <c r="N38" s="2">
        <f>Table1[[#This Row],[R1 Length (km)]]+Table1[[#This Row],[T1 Length (km)]]</f>
        <v>177.10914843749998</v>
      </c>
      <c r="O38" s="1">
        <v>230</v>
      </c>
      <c r="P38" s="1" t="s">
        <v>137</v>
      </c>
      <c r="Q38" s="3" t="s">
        <v>23</v>
      </c>
      <c r="R38" s="9" t="s">
        <v>23</v>
      </c>
      <c r="S38" s="9" t="s">
        <v>23</v>
      </c>
      <c r="T38" s="9">
        <f>1734104/10000</f>
        <v>173.41040000000001</v>
      </c>
      <c r="U38" s="20">
        <v>4684</v>
      </c>
      <c r="V38" s="20">
        <f>Table1[[#This Row],[Raw Terrestrial Score]]/Table1[[#This Row],[Summed Raw Scores]]</f>
        <v>0.67619460083730332</v>
      </c>
      <c r="W38" s="20">
        <v>2243</v>
      </c>
      <c r="X38" s="20">
        <f>Table1[[#This Row],[Raw Freshwater Score]]/Table1[[#This Row],[Summed Raw Scores]]</f>
        <v>0.32380539916269668</v>
      </c>
      <c r="Y38" s="20">
        <f>Table1[[#This Row],[Raw Terrestrial Score]]+Table1[[#This Row],[Raw Freshwater Score]]</f>
        <v>6927</v>
      </c>
      <c r="Z38" s="18">
        <f>Table1[[#This Row],[Terrestrial % of Summed Score]]*Table1[[#This Row],[Scaled Summed Score]]</f>
        <v>0.19913498184151862</v>
      </c>
      <c r="AA38" s="18">
        <f>Table1[[#This Row],[Freshwater % of Summed Score]]*Table1[[#This Row],[Scaled Summed Score]]</f>
        <v>9.5358617478763077E-2</v>
      </c>
      <c r="AB38" s="18">
        <f>(Table1[[#This Row],[Summed Raw Scores]]-MIN(Table1[Summed Raw Scores]))/(MAX(Table1[Summed Raw Scores])-MIN(Table1[Summed Raw Scores]))</f>
        <v>0.29449359932028168</v>
      </c>
      <c r="AC38" s="9"/>
    </row>
    <row r="39" spans="1:29" x14ac:dyDescent="0.3">
      <c r="A39" s="1" t="s">
        <v>48</v>
      </c>
      <c r="B39" s="1" t="s">
        <v>43</v>
      </c>
      <c r="C39" s="1" t="s">
        <v>31</v>
      </c>
      <c r="D39" s="2">
        <v>53.696828625899997</v>
      </c>
      <c r="E39" s="2">
        <v>-128.672318542</v>
      </c>
      <c r="F39" s="2">
        <v>1000</v>
      </c>
      <c r="G39" s="2" t="s">
        <v>23</v>
      </c>
      <c r="H39" s="2">
        <v>1000</v>
      </c>
      <c r="I39" s="2" t="s">
        <v>23</v>
      </c>
      <c r="J39" s="2" t="s">
        <v>23</v>
      </c>
      <c r="K39" s="2">
        <v>121.05029810000001</v>
      </c>
      <c r="L39" s="2">
        <v>3.0213203435615053</v>
      </c>
      <c r="M39" s="2">
        <v>86.858073580375986</v>
      </c>
      <c r="N39" s="2">
        <f>Table1[[#This Row],[R1 Length (km)]]+Table1[[#This Row],[T1 Length (km)]]</f>
        <v>89.879393923937485</v>
      </c>
      <c r="O39" s="1">
        <v>500</v>
      </c>
      <c r="P39" s="3" t="s">
        <v>23</v>
      </c>
      <c r="Q39" s="3" t="s">
        <v>23</v>
      </c>
      <c r="R39" s="9" t="s">
        <v>23</v>
      </c>
      <c r="S39" s="9" t="s">
        <v>23</v>
      </c>
      <c r="T39" s="9">
        <v>109.5</v>
      </c>
      <c r="U39" s="20">
        <v>3421</v>
      </c>
      <c r="V39" s="20">
        <f>Table1[[#This Row],[Raw Terrestrial Score]]/Table1[[#This Row],[Summed Raw Scores]]</f>
        <v>0.51350945661963376</v>
      </c>
      <c r="W39" s="20">
        <v>3241</v>
      </c>
      <c r="X39" s="20">
        <f>Table1[[#This Row],[Raw Freshwater Score]]/Table1[[#This Row],[Summed Raw Scores]]</f>
        <v>0.48649054338036624</v>
      </c>
      <c r="Y39" s="20">
        <f>Table1[[#This Row],[Raw Terrestrial Score]]+Table1[[#This Row],[Raw Freshwater Score]]</f>
        <v>6662</v>
      </c>
      <c r="Z39" s="18">
        <f>Table1[[#This Row],[Terrestrial % of Summed Score]]*Table1[[#This Row],[Scaled Summed Score]]</f>
        <v>0.14542824385944958</v>
      </c>
      <c r="AA39" s="18">
        <f>Table1[[#This Row],[Freshwater % of Summed Score]]*Table1[[#This Row],[Scaled Summed Score]]</f>
        <v>0.13777636315360303</v>
      </c>
      <c r="AB39" s="18">
        <f>(Table1[[#This Row],[Summed Raw Scores]]-MIN(Table1[Summed Raw Scores]))/(MAX(Table1[Summed Raw Scores])-MIN(Table1[Summed Raw Scores]))</f>
        <v>0.28320460701305261</v>
      </c>
      <c r="AC39" s="9"/>
    </row>
    <row r="40" spans="1:29" x14ac:dyDescent="0.3">
      <c r="A40" s="1" t="s">
        <v>34</v>
      </c>
      <c r="B40" s="1" t="s">
        <v>25</v>
      </c>
      <c r="C40" s="1" t="s">
        <v>33</v>
      </c>
      <c r="D40" s="2">
        <v>50.101612000000003</v>
      </c>
      <c r="E40" s="2">
        <v>-123.362587</v>
      </c>
      <c r="F40" s="2">
        <v>40.700000000000003</v>
      </c>
      <c r="G40" s="2">
        <v>31</v>
      </c>
      <c r="H40" s="2" t="s">
        <v>23</v>
      </c>
      <c r="I40" s="2">
        <v>232</v>
      </c>
      <c r="J40" s="2">
        <v>114.74</v>
      </c>
      <c r="K40" s="2" t="s">
        <v>23</v>
      </c>
      <c r="L40" s="2">
        <f>12486.3054484/1000</f>
        <v>12.4863054484</v>
      </c>
      <c r="M40" s="2">
        <f>64896.1864223/1000</f>
        <v>64.896186422300005</v>
      </c>
      <c r="N40" s="2">
        <f>Table1[[#This Row],[R1 Length (km)]]+Table1[[#This Row],[T1 Length (km)]]</f>
        <v>77.382491870700008</v>
      </c>
      <c r="O40" s="1">
        <v>69</v>
      </c>
      <c r="P40" s="3" t="s">
        <v>23</v>
      </c>
      <c r="Q40" s="3" t="s">
        <v>23</v>
      </c>
      <c r="R40" s="9" t="s">
        <v>23</v>
      </c>
      <c r="S40" s="9" t="s">
        <v>23</v>
      </c>
      <c r="T40" s="9">
        <v>9.4</v>
      </c>
      <c r="U40" s="20">
        <v>2647</v>
      </c>
      <c r="V40" s="20">
        <f>Table1[[#This Row],[Raw Terrestrial Score]]/Table1[[#This Row],[Summed Raw Scores]]</f>
        <v>0.40542196354725074</v>
      </c>
      <c r="W40" s="20">
        <v>3882</v>
      </c>
      <c r="X40" s="20">
        <f>Table1[[#This Row],[Raw Freshwater Score]]/Table1[[#This Row],[Summed Raw Scores]]</f>
        <v>0.59457803645274931</v>
      </c>
      <c r="Y40" s="20">
        <f>Table1[[#This Row],[Raw Terrestrial Score]]+Table1[[#This Row],[Raw Freshwater Score]]</f>
        <v>6529</v>
      </c>
      <c r="Z40" s="18">
        <f>Table1[[#This Row],[Terrestrial % of Summed Score]]*Table1[[#This Row],[Scaled Summed Score]]</f>
        <v>0.11252032966508697</v>
      </c>
      <c r="AA40" s="18">
        <f>Table1[[#This Row],[Freshwater % of Summed Score]]*Table1[[#This Row],[Scaled Summed Score]]</f>
        <v>0.16501848120886575</v>
      </c>
      <c r="AB40" s="18">
        <f>(Table1[[#This Row],[Summed Raw Scores]]-MIN(Table1[Summed Raw Scores]))/(MAX(Table1[Summed Raw Scores])-MIN(Table1[Summed Raw Scores]))</f>
        <v>0.27753881087395271</v>
      </c>
      <c r="AC40" s="9"/>
    </row>
    <row r="41" spans="1:29" x14ac:dyDescent="0.3">
      <c r="A41" s="1" t="s">
        <v>124</v>
      </c>
      <c r="B41" s="1" t="s">
        <v>115</v>
      </c>
      <c r="C41" s="1" t="s">
        <v>31</v>
      </c>
      <c r="D41" s="2">
        <v>54.700099999999999</v>
      </c>
      <c r="E41" s="2">
        <v>-127.529</v>
      </c>
      <c r="F41" s="1">
        <v>105</v>
      </c>
      <c r="G41" s="1" t="s">
        <v>23</v>
      </c>
      <c r="H41" s="2">
        <v>25.2</v>
      </c>
      <c r="I41" s="2">
        <v>309.32873999999998</v>
      </c>
      <c r="J41" s="2">
        <v>79.891535204200608</v>
      </c>
      <c r="K41" s="2" t="s">
        <v>23</v>
      </c>
      <c r="L41" s="2">
        <v>1.0899495849600001</v>
      </c>
      <c r="M41" s="2">
        <v>24.509544921875001</v>
      </c>
      <c r="N41" s="2">
        <f>Table1[[#This Row],[R1 Length (km)]]+Table1[[#This Row],[T1 Length (km)]]</f>
        <v>25.599494506835001</v>
      </c>
      <c r="O41" s="1">
        <v>230</v>
      </c>
      <c r="P41" s="1" t="s">
        <v>116</v>
      </c>
      <c r="Q41" s="1">
        <v>45</v>
      </c>
      <c r="R41" s="9" t="s">
        <v>23</v>
      </c>
      <c r="S41" s="9" t="s">
        <v>23</v>
      </c>
      <c r="T41" s="9">
        <f>((PI()*(45^2))*Table1[[#This Row],[Number of Turbines - WIND]])/10000</f>
        <v>28.627763055836986</v>
      </c>
      <c r="U41" s="20">
        <f>3102+218.4055</f>
        <v>3320.4054999999998</v>
      </c>
      <c r="V41" s="20">
        <f>Table1[[#This Row],[Raw Terrestrial Score]]/Table1[[#This Row],[Summed Raw Scores]]</f>
        <v>0.51384259067107663</v>
      </c>
      <c r="W41" s="20">
        <f>198.5063+2943</f>
        <v>3141.5063</v>
      </c>
      <c r="X41" s="20">
        <f>Table1[[#This Row],[Raw Freshwater Score]]/Table1[[#This Row],[Summed Raw Scores]]</f>
        <v>0.48615740932892337</v>
      </c>
      <c r="Y41" s="20">
        <f>Table1[[#This Row],[Raw Terrestrial Score]]+Table1[[#This Row],[Raw Freshwater Score]]</f>
        <v>6461.9117999999999</v>
      </c>
      <c r="Z41" s="18">
        <f>Table1[[#This Row],[Terrestrial % of Summed Score]]*Table1[[#This Row],[Scaled Summed Score]]</f>
        <v>0.14114272239862702</v>
      </c>
      <c r="AA41" s="18">
        <f>Table1[[#This Row],[Freshwater % of Summed Score]]*Table1[[#This Row],[Scaled Summed Score]]</f>
        <v>0.13353813310285079</v>
      </c>
      <c r="AB41" s="18">
        <f>(Table1[[#This Row],[Summed Raw Scores]]-MIN(Table1[Summed Raw Scores]))/(MAX(Table1[Summed Raw Scores])-MIN(Table1[Summed Raw Scores]))</f>
        <v>0.27468085550147781</v>
      </c>
      <c r="AC41" s="9"/>
    </row>
    <row r="42" spans="1:29" x14ac:dyDescent="0.3">
      <c r="A42" s="1" t="s">
        <v>32</v>
      </c>
      <c r="B42" s="1" t="s">
        <v>25</v>
      </c>
      <c r="C42" s="1" t="s">
        <v>33</v>
      </c>
      <c r="D42" s="12">
        <v>50.569090000000003</v>
      </c>
      <c r="E42" s="12">
        <v>-123.512111</v>
      </c>
      <c r="F42" s="2">
        <v>99</v>
      </c>
      <c r="G42" s="2">
        <v>89</v>
      </c>
      <c r="H42" s="2" t="s">
        <v>23</v>
      </c>
      <c r="I42" s="14">
        <v>656.90040009999996</v>
      </c>
      <c r="J42" s="13">
        <v>98.184276859616105</v>
      </c>
      <c r="K42" s="2" t="s">
        <v>23</v>
      </c>
      <c r="L42" s="2">
        <v>2.5</v>
      </c>
      <c r="M42" s="2">
        <v>67.8</v>
      </c>
      <c r="N42" s="2">
        <f>Table1[[#This Row],[R1 Length (km)]]+Table1[[#This Row],[T1 Length (km)]]</f>
        <v>70.3</v>
      </c>
      <c r="O42" s="1">
        <v>230</v>
      </c>
      <c r="P42" s="3" t="s">
        <v>23</v>
      </c>
      <c r="Q42" s="3" t="s">
        <v>23</v>
      </c>
      <c r="R42" s="9" t="s">
        <v>23</v>
      </c>
      <c r="S42" s="9" t="s">
        <v>23</v>
      </c>
      <c r="T42" s="9">
        <v>26.5</v>
      </c>
      <c r="U42" s="20">
        <v>3185</v>
      </c>
      <c r="V42" s="20">
        <f>Table1[[#This Row],[Raw Terrestrial Score]]/Table1[[#This Row],[Summed Raw Scores]]</f>
        <v>0.49695740365111563</v>
      </c>
      <c r="W42" s="20">
        <v>3224</v>
      </c>
      <c r="X42" s="20">
        <f>Table1[[#This Row],[Raw Freshwater Score]]/Table1[[#This Row],[Summed Raw Scores]]</f>
        <v>0.50304259634888437</v>
      </c>
      <c r="Y42" s="20">
        <f>Table1[[#This Row],[Raw Terrestrial Score]]+Table1[[#This Row],[Raw Freshwater Score]]</f>
        <v>6409</v>
      </c>
      <c r="Z42" s="18">
        <f>Table1[[#This Row],[Terrestrial % of Summed Score]]*Table1[[#This Row],[Scaled Summed Score]]</f>
        <v>0.13538452234803358</v>
      </c>
      <c r="AA42" s="18">
        <f>Table1[[#This Row],[Freshwater % of Summed Score]]*Table1[[#This Row],[Scaled Summed Score]]</f>
        <v>0.13704229200943804</v>
      </c>
      <c r="AB42" s="18">
        <f>(Table1[[#This Row],[Summed Raw Scores]]-MIN(Table1[Summed Raw Scores]))/(MAX(Table1[Summed Raw Scores])-MIN(Table1[Summed Raw Scores]))</f>
        <v>0.27242681435747162</v>
      </c>
      <c r="AC42" s="9"/>
    </row>
    <row r="43" spans="1:29" x14ac:dyDescent="0.3">
      <c r="A43" s="1" t="s">
        <v>55</v>
      </c>
      <c r="B43" s="1" t="s">
        <v>54</v>
      </c>
      <c r="C43" s="1" t="s">
        <v>33</v>
      </c>
      <c r="D43" s="11">
        <v>49.712198797900001</v>
      </c>
      <c r="E43" s="11">
        <v>-122.750093851</v>
      </c>
      <c r="F43" s="2">
        <v>27.09</v>
      </c>
      <c r="G43" s="2" t="s">
        <v>23</v>
      </c>
      <c r="H43" s="2">
        <v>4</v>
      </c>
      <c r="I43" s="2">
        <v>78</v>
      </c>
      <c r="J43" s="2">
        <v>85.28</v>
      </c>
      <c r="K43" s="2" t="s">
        <v>23</v>
      </c>
      <c r="L43" s="11">
        <v>0.1</v>
      </c>
      <c r="M43" s="9">
        <v>65.222750000000005</v>
      </c>
      <c r="N43" s="9">
        <f>Table1[[#This Row],[R1 Length (km)]]+Table1[[#This Row],[T1 Length (km)]]</f>
        <v>65.322749999999999</v>
      </c>
      <c r="O43" s="3">
        <v>69</v>
      </c>
      <c r="P43" s="3" t="s">
        <v>23</v>
      </c>
      <c r="Q43" s="3" t="s">
        <v>23</v>
      </c>
      <c r="R43" s="9" t="s">
        <v>23</v>
      </c>
      <c r="S43" s="9" t="s">
        <v>23</v>
      </c>
      <c r="T43" s="9">
        <v>5.01</v>
      </c>
      <c r="U43" s="20">
        <v>2085</v>
      </c>
      <c r="V43" s="20">
        <f>Table1[[#This Row],[Raw Terrestrial Score]]/Table1[[#This Row],[Summed Raw Scores]]</f>
        <v>0.33027086963408842</v>
      </c>
      <c r="W43" s="20">
        <v>4228</v>
      </c>
      <c r="X43" s="20">
        <f>Table1[[#This Row],[Raw Freshwater Score]]/Table1[[#This Row],[Summed Raw Scores]]</f>
        <v>0.66972913036591164</v>
      </c>
      <c r="Y43" s="20">
        <f>Table1[[#This Row],[Raw Terrestrial Score]]+Table1[[#This Row],[Raw Freshwater Score]]</f>
        <v>6313</v>
      </c>
      <c r="Z43" s="18">
        <f>Table1[[#This Row],[Terrestrial % of Summed Score]]*Table1[[#This Row],[Scaled Summed Score]]</f>
        <v>8.8623966061434814E-2</v>
      </c>
      <c r="AA43" s="18">
        <f>Table1[[#This Row],[Freshwater % of Summed Score]]*Table1[[#This Row],[Scaled Summed Score]]</f>
        <v>0.17971325108285197</v>
      </c>
      <c r="AB43" s="18">
        <f>(Table1[[#This Row],[Summed Raw Scores]]-MIN(Table1[Summed Raw Scores]))/(MAX(Table1[Summed Raw Scores])-MIN(Table1[Summed Raw Scores]))</f>
        <v>0.26833721714428677</v>
      </c>
      <c r="AC43" s="9"/>
    </row>
    <row r="44" spans="1:29" x14ac:dyDescent="0.3">
      <c r="A44" s="1" t="s">
        <v>47</v>
      </c>
      <c r="B44" s="1" t="s">
        <v>43</v>
      </c>
      <c r="C44" s="1" t="s">
        <v>22</v>
      </c>
      <c r="D44" s="11">
        <v>49.311390001299998</v>
      </c>
      <c r="E44" s="11">
        <v>-125.72295</v>
      </c>
      <c r="F44" s="2">
        <v>500</v>
      </c>
      <c r="G44" s="2" t="s">
        <v>23</v>
      </c>
      <c r="H44" s="9">
        <v>408</v>
      </c>
      <c r="I44" s="2" t="s">
        <v>23</v>
      </c>
      <c r="J44" s="2" t="s">
        <v>23</v>
      </c>
      <c r="K44" s="13">
        <v>193.71809398773007</v>
      </c>
      <c r="L44" s="11">
        <v>1.9727923584</v>
      </c>
      <c r="M44" s="9">
        <v>82.961731573007143</v>
      </c>
      <c r="N44" s="9">
        <f>Table1[[#This Row],[R1 Length (km)]]+Table1[[#This Row],[T1 Length (km)]]</f>
        <v>84.934523931407142</v>
      </c>
      <c r="O44" s="3">
        <v>500</v>
      </c>
      <c r="P44" s="3" t="s">
        <v>23</v>
      </c>
      <c r="Q44" s="3" t="s">
        <v>23</v>
      </c>
      <c r="R44" s="9" t="s">
        <v>23</v>
      </c>
      <c r="S44" s="9" t="s">
        <v>23</v>
      </c>
      <c r="T44" s="9">
        <v>74.47</v>
      </c>
      <c r="U44" s="20">
        <v>3314</v>
      </c>
      <c r="V44" s="20">
        <f>Table1[[#This Row],[Raw Terrestrial Score]]/Table1[[#This Row],[Summed Raw Scores]]</f>
        <v>0.52578137394891322</v>
      </c>
      <c r="W44" s="20">
        <v>2989</v>
      </c>
      <c r="X44" s="20">
        <f>Table1[[#This Row],[Raw Freshwater Score]]/Table1[[#This Row],[Summed Raw Scores]]</f>
        <v>0.47421862605108678</v>
      </c>
      <c r="Y44" s="20">
        <f>Table1[[#This Row],[Raw Terrestrial Score]]+Table1[[#This Row],[Raw Freshwater Score]]</f>
        <v>6303</v>
      </c>
      <c r="Z44" s="18">
        <f>Table1[[#This Row],[Terrestrial % of Summed Score]]*Table1[[#This Row],[Scaled Summed Score]]</f>
        <v>0.14086272799907948</v>
      </c>
      <c r="AA44" s="18">
        <f>Table1[[#This Row],[Freshwater % of Summed Score]]*Table1[[#This Row],[Scaled Summed Score]]</f>
        <v>0.12704848943550048</v>
      </c>
      <c r="AB44" s="18">
        <f>(Table1[[#This Row],[Summed Raw Scores]]-MIN(Table1[Summed Raw Scores]))/(MAX(Table1[Summed Raw Scores])-MIN(Table1[Summed Raw Scores]))</f>
        <v>0.26791121743457996</v>
      </c>
      <c r="AC44" s="9"/>
    </row>
    <row r="45" spans="1:29" x14ac:dyDescent="0.3">
      <c r="A45" s="1" t="s">
        <v>148</v>
      </c>
      <c r="B45" s="1" t="s">
        <v>115</v>
      </c>
      <c r="C45" s="1" t="s">
        <v>28</v>
      </c>
      <c r="D45" s="2">
        <v>56.835681530000002</v>
      </c>
      <c r="E45" s="2">
        <v>-123.01556770000001</v>
      </c>
      <c r="F45" s="2">
        <v>243</v>
      </c>
      <c r="G45" s="1" t="s">
        <v>23</v>
      </c>
      <c r="H45" s="2">
        <v>58.8</v>
      </c>
      <c r="I45" s="2">
        <v>935.09933999999998</v>
      </c>
      <c r="J45" s="2">
        <v>72.047365486389182</v>
      </c>
      <c r="K45" s="2" t="s">
        <v>23</v>
      </c>
      <c r="L45" s="2">
        <v>6.5627421874999996</v>
      </c>
      <c r="M45" s="2">
        <v>134.880015625</v>
      </c>
      <c r="N45" s="2">
        <f>Table1[[#This Row],[R1 Length (km)]]+Table1[[#This Row],[T1 Length (km)]]</f>
        <v>141.44275781249999</v>
      </c>
      <c r="O45" s="1">
        <v>230</v>
      </c>
      <c r="P45" s="1" t="s">
        <v>137</v>
      </c>
      <c r="Q45" s="3" t="s">
        <v>23</v>
      </c>
      <c r="R45" s="9" t="s">
        <v>23</v>
      </c>
      <c r="S45" s="9" t="s">
        <v>23</v>
      </c>
      <c r="T45" s="9">
        <v>31.17</v>
      </c>
      <c r="U45" s="20">
        <v>4075</v>
      </c>
      <c r="V45" s="20">
        <f>Table1[[#This Row],[Raw Terrestrial Score]]/Table1[[#This Row],[Summed Raw Scores]]</f>
        <v>0.65768237572627497</v>
      </c>
      <c r="W45" s="20">
        <v>2121</v>
      </c>
      <c r="X45" s="20">
        <f>Table1[[#This Row],[Raw Freshwater Score]]/Table1[[#This Row],[Summed Raw Scores]]</f>
        <v>0.34231762427372497</v>
      </c>
      <c r="Y45" s="20">
        <f>Table1[[#This Row],[Raw Terrestrial Score]]+Table1[[#This Row],[Raw Freshwater Score]]</f>
        <v>6196</v>
      </c>
      <c r="Z45" s="18">
        <f>Table1[[#This Row],[Terrestrial % of Summed Score]]*Table1[[#This Row],[Scaled Summed Score]]</f>
        <v>0.17320264020390969</v>
      </c>
      <c r="AA45" s="18">
        <f>Table1[[#This Row],[Freshwater % of Summed Score]]*Table1[[#This Row],[Scaled Summed Score]]</f>
        <v>9.0150380336807973E-2</v>
      </c>
      <c r="AB45" s="18">
        <f>(Table1[[#This Row],[Summed Raw Scores]]-MIN(Table1[Summed Raw Scores]))/(MAX(Table1[Summed Raw Scores])-MIN(Table1[Summed Raw Scores]))</f>
        <v>0.26335302054071769</v>
      </c>
      <c r="AC45" s="9"/>
    </row>
    <row r="46" spans="1:29" x14ac:dyDescent="0.3">
      <c r="A46" s="1" t="s">
        <v>226</v>
      </c>
      <c r="B46" s="1" t="s">
        <v>38</v>
      </c>
      <c r="C46" s="1" t="s">
        <v>60</v>
      </c>
      <c r="D46" s="2">
        <v>51.936409428200001</v>
      </c>
      <c r="E46" s="2">
        <v>-122.97709502799999</v>
      </c>
      <c r="F46" s="2">
        <v>11.4920585116</v>
      </c>
      <c r="G46" s="2">
        <v>11</v>
      </c>
      <c r="H46" s="2" t="s">
        <v>23</v>
      </c>
      <c r="I46" s="2">
        <v>92</v>
      </c>
      <c r="J46" s="2">
        <v>132.65</v>
      </c>
      <c r="K46" s="2" t="s">
        <v>23</v>
      </c>
      <c r="L46" s="2">
        <v>0</v>
      </c>
      <c r="M46" s="2">
        <v>68.169799999999995</v>
      </c>
      <c r="N46" s="2">
        <f>Table1[[#This Row],[R1 Length (km)]]+Table1[[#This Row],[T1 Length (km)]]</f>
        <v>68.169799999999995</v>
      </c>
      <c r="O46" s="1">
        <v>230</v>
      </c>
      <c r="P46" s="1" t="s">
        <v>23</v>
      </c>
      <c r="Q46" s="1" t="s">
        <v>23</v>
      </c>
      <c r="R46" s="9" t="s">
        <v>23</v>
      </c>
      <c r="S46" s="9" t="s">
        <v>23</v>
      </c>
      <c r="T46" s="9">
        <v>10</v>
      </c>
      <c r="U46" s="20">
        <v>3233</v>
      </c>
      <c r="V46" s="20">
        <f>Table1[[#This Row],[Raw Terrestrial Score]]/Table1[[#This Row],[Summed Raw Scores]]</f>
        <v>0.52577654903236304</v>
      </c>
      <c r="W46" s="20">
        <v>2916</v>
      </c>
      <c r="X46" s="20">
        <f>Table1[[#This Row],[Raw Freshwater Score]]/Table1[[#This Row],[Summed Raw Scores]]</f>
        <v>0.47422345096763702</v>
      </c>
      <c r="Y46" s="20">
        <f>Table1[[#This Row],[Raw Terrestrial Score]]+Table1[[#This Row],[Raw Freshwater Score]]</f>
        <v>6149</v>
      </c>
      <c r="Z46" s="18">
        <f>Table1[[#This Row],[Terrestrial % of Summed Score]]*Table1[[#This Row],[Scaled Summed Score]]</f>
        <v>0.13741213322803303</v>
      </c>
      <c r="AA46" s="18">
        <f>Table1[[#This Row],[Freshwater % of Summed Score]]*Table1[[#This Row],[Scaled Summed Score]]</f>
        <v>0.12393868867706288</v>
      </c>
      <c r="AB46" s="18">
        <f>(Table1[[#This Row],[Summed Raw Scores]]-MIN(Table1[Summed Raw Scores]))/(MAX(Table1[Summed Raw Scores])-MIN(Table1[Summed Raw Scores]))</f>
        <v>0.2613508219050959</v>
      </c>
      <c r="AC46" s="9"/>
    </row>
    <row r="47" spans="1:29" x14ac:dyDescent="0.3">
      <c r="A47" s="1" t="s">
        <v>110</v>
      </c>
      <c r="B47" s="1" t="s">
        <v>98</v>
      </c>
      <c r="C47" s="1" t="s">
        <v>33</v>
      </c>
      <c r="D47" s="11">
        <v>50.52</v>
      </c>
      <c r="E47" s="11">
        <v>-123.24</v>
      </c>
      <c r="F47" s="2">
        <v>45.1</v>
      </c>
      <c r="G47" s="2">
        <v>40</v>
      </c>
      <c r="H47" s="2">
        <v>7</v>
      </c>
      <c r="I47" s="13">
        <v>231</v>
      </c>
      <c r="J47" s="13">
        <v>72.571789578361177</v>
      </c>
      <c r="K47" s="2" t="s">
        <v>23</v>
      </c>
      <c r="L47" s="11">
        <v>0.3</v>
      </c>
      <c r="M47" s="9">
        <v>61.883766184071128</v>
      </c>
      <c r="N47" s="9">
        <f>Table1[[#This Row],[R1 Length (km)]]+Table1[[#This Row],[T1 Length (km)]]</f>
        <v>62.183766184071125</v>
      </c>
      <c r="O47" s="3">
        <v>230</v>
      </c>
      <c r="P47" s="3" t="s">
        <v>23</v>
      </c>
      <c r="Q47" s="3" t="s">
        <v>23</v>
      </c>
      <c r="R47" s="9" t="s">
        <v>23</v>
      </c>
      <c r="S47" s="9" t="s">
        <v>23</v>
      </c>
      <c r="T47" s="9">
        <v>61.88</v>
      </c>
      <c r="U47" s="20">
        <v>3078</v>
      </c>
      <c r="V47" s="20">
        <f>Table1[[#This Row],[Raw Terrestrial Score]]/Table1[[#This Row],[Summed Raw Scores]]</f>
        <v>0.50146627565982405</v>
      </c>
      <c r="W47" s="20">
        <v>3060</v>
      </c>
      <c r="X47" s="20">
        <f>Table1[[#This Row],[Raw Freshwater Score]]/Table1[[#This Row],[Summed Raw Scores]]</f>
        <v>0.49853372434017595</v>
      </c>
      <c r="Y47" s="20">
        <f>Table1[[#This Row],[Raw Terrestrial Score]]+Table1[[#This Row],[Raw Freshwater Score]]</f>
        <v>6138</v>
      </c>
      <c r="Z47" s="18">
        <f>Table1[[#This Row],[Terrestrial % of Summed Score]]*Table1[[#This Row],[Scaled Summed Score]]</f>
        <v>0.13082363636473771</v>
      </c>
      <c r="AA47" s="18">
        <f>Table1[[#This Row],[Freshwater % of Summed Score]]*Table1[[#This Row],[Scaled Summed Score]]</f>
        <v>0.13005858585968078</v>
      </c>
      <c r="AB47" s="18">
        <f>(Table1[[#This Row],[Summed Raw Scores]]-MIN(Table1[Summed Raw Scores]))/(MAX(Table1[Summed Raw Scores])-MIN(Table1[Summed Raw Scores]))</f>
        <v>0.26088222222441848</v>
      </c>
      <c r="AC47" s="9"/>
    </row>
    <row r="48" spans="1:29" x14ac:dyDescent="0.3">
      <c r="A48" s="1" t="s">
        <v>142</v>
      </c>
      <c r="B48" s="1" t="s">
        <v>115</v>
      </c>
      <c r="C48" s="1" t="s">
        <v>31</v>
      </c>
      <c r="D48" s="2">
        <v>53.759855649999999</v>
      </c>
      <c r="E48" s="2">
        <v>-123.8971043</v>
      </c>
      <c r="F48" s="2">
        <v>75</v>
      </c>
      <c r="G48" s="1" t="s">
        <v>23</v>
      </c>
      <c r="H48" s="2">
        <v>18</v>
      </c>
      <c r="I48" s="2">
        <v>246.9006</v>
      </c>
      <c r="J48" s="2">
        <v>84.536178019825769</v>
      </c>
      <c r="K48" s="2" t="s">
        <v>23</v>
      </c>
      <c r="L48" s="2">
        <v>1.95563513184</v>
      </c>
      <c r="M48" s="2">
        <v>31.794826171874998</v>
      </c>
      <c r="N48" s="2">
        <f>Table1[[#This Row],[R1 Length (km)]]+Table1[[#This Row],[T1 Length (km)]]</f>
        <v>33.750461303714999</v>
      </c>
      <c r="O48" s="1">
        <v>230</v>
      </c>
      <c r="P48" s="1" t="s">
        <v>137</v>
      </c>
      <c r="Q48" s="3" t="s">
        <v>23</v>
      </c>
      <c r="R48" s="9" t="s">
        <v>23</v>
      </c>
      <c r="S48" s="9" t="s">
        <v>23</v>
      </c>
      <c r="T48" s="9">
        <v>9.5399999999999991</v>
      </c>
      <c r="U48" s="20">
        <v>2603</v>
      </c>
      <c r="V48" s="20">
        <f>Table1[[#This Row],[Raw Terrestrial Score]]/Table1[[#This Row],[Summed Raw Scores]]</f>
        <v>0.42553539316658495</v>
      </c>
      <c r="W48" s="20">
        <v>3514</v>
      </c>
      <c r="X48" s="20">
        <f>Table1[[#This Row],[Raw Freshwater Score]]/Table1[[#This Row],[Summed Raw Scores]]</f>
        <v>0.57446460683341505</v>
      </c>
      <c r="Y48" s="20">
        <f>Table1[[#This Row],[Raw Terrestrial Score]]+Table1[[#This Row],[Raw Freshwater Score]]</f>
        <v>6117</v>
      </c>
      <c r="Z48" s="18">
        <f>Table1[[#This Row],[Terrestrial % of Summed Score]]*Table1[[#This Row],[Scaled Summed Score]]</f>
        <v>0.1106339353011266</v>
      </c>
      <c r="AA48" s="18">
        <f>Table1[[#This Row],[Freshwater % of Summed Score]]*Table1[[#This Row],[Scaled Summed Score]]</f>
        <v>0.14935368753290773</v>
      </c>
      <c r="AB48" s="18">
        <f>(Table1[[#This Row],[Summed Raw Scores]]-MIN(Table1[Summed Raw Scores]))/(MAX(Table1[Summed Raw Scores])-MIN(Table1[Summed Raw Scores]))</f>
        <v>0.25998762283403432</v>
      </c>
      <c r="AC48" s="9"/>
    </row>
    <row r="49" spans="1:29" x14ac:dyDescent="0.3">
      <c r="A49" s="1" t="s">
        <v>133</v>
      </c>
      <c r="B49" s="1" t="s">
        <v>115</v>
      </c>
      <c r="C49" s="1" t="s">
        <v>31</v>
      </c>
      <c r="D49" s="2">
        <v>53.66880613</v>
      </c>
      <c r="E49" s="2">
        <v>-130.29157169999999</v>
      </c>
      <c r="F49" s="2">
        <v>234</v>
      </c>
      <c r="G49" s="1" t="s">
        <v>23</v>
      </c>
      <c r="H49" s="2">
        <v>56.4</v>
      </c>
      <c r="I49" s="9">
        <v>723.39204000000007</v>
      </c>
      <c r="J49" s="9">
        <v>84.952197534795616</v>
      </c>
      <c r="K49" s="2" t="s">
        <v>23</v>
      </c>
      <c r="L49" s="2">
        <v>3.9355344238300001</v>
      </c>
      <c r="M49" s="2">
        <v>78.465390624999998</v>
      </c>
      <c r="N49" s="2">
        <f>Table1[[#This Row],[R1 Length (km)]]+Table1[[#This Row],[T1 Length (km)]]</f>
        <v>82.400925048830004</v>
      </c>
      <c r="O49" s="1">
        <v>230</v>
      </c>
      <c r="P49" s="1" t="s">
        <v>116</v>
      </c>
      <c r="Q49" s="1">
        <v>47</v>
      </c>
      <c r="R49" s="9" t="s">
        <v>23</v>
      </c>
      <c r="S49" s="9" t="s">
        <v>23</v>
      </c>
      <c r="T49" s="9">
        <f>((PI()*(45^2))*Table1[[#This Row],[Number of Turbines - WIND]])/10000</f>
        <v>29.900108080540853</v>
      </c>
      <c r="U49" s="20">
        <f>2194+283.8545</f>
        <v>2477.8544999999999</v>
      </c>
      <c r="V49" s="20">
        <f>Table1[[#This Row],[Raw Terrestrial Score]]/Table1[[#This Row],[Summed Raw Scores]]</f>
        <v>0.40570546745270086</v>
      </c>
      <c r="W49" s="20">
        <f>262.6661+3367</f>
        <v>3629.6660999999999</v>
      </c>
      <c r="X49" s="20">
        <f>Table1[[#This Row],[Raw Freshwater Score]]/Table1[[#This Row],[Summed Raw Scores]]</f>
        <v>0.59429453254729914</v>
      </c>
      <c r="Y49" s="20">
        <f>Table1[[#This Row],[Raw Terrestrial Score]]+Table1[[#This Row],[Raw Freshwater Score]]</f>
        <v>6107.5205999999998</v>
      </c>
      <c r="Z49" s="18">
        <f>Table1[[#This Row],[Terrestrial % of Summed Score]]*Table1[[#This Row],[Scaled Summed Score]]</f>
        <v>0.10531456719365255</v>
      </c>
      <c r="AA49" s="18">
        <f>Table1[[#This Row],[Freshwater % of Summed Score]]*Table1[[#This Row],[Scaled Summed Score]]</f>
        <v>0.15426923347556235</v>
      </c>
      <c r="AB49" s="18">
        <f>(Table1[[#This Row],[Summed Raw Scores]]-MIN(Table1[Summed Raw Scores]))/(MAX(Table1[Summed Raw Scores])-MIN(Table1[Summed Raw Scores]))</f>
        <v>0.25958380066921488</v>
      </c>
      <c r="AC49" s="9"/>
    </row>
    <row r="50" spans="1:29" x14ac:dyDescent="0.3">
      <c r="A50" s="1" t="s">
        <v>125</v>
      </c>
      <c r="B50" s="1" t="s">
        <v>115</v>
      </c>
      <c r="C50" s="1" t="s">
        <v>31</v>
      </c>
      <c r="D50" s="2">
        <v>54.531500000000001</v>
      </c>
      <c r="E50" s="2">
        <v>-127.35899999999999</v>
      </c>
      <c r="F50" s="1">
        <v>105</v>
      </c>
      <c r="G50" s="1" t="s">
        <v>23</v>
      </c>
      <c r="H50" s="2">
        <v>25.2</v>
      </c>
      <c r="I50" s="2">
        <v>323.21771999999999</v>
      </c>
      <c r="J50" s="2">
        <v>76.87076421151724</v>
      </c>
      <c r="K50" s="2" t="s">
        <v>23</v>
      </c>
      <c r="L50" s="2">
        <v>1.80710681152</v>
      </c>
      <c r="M50" s="2">
        <v>27.706601562500001</v>
      </c>
      <c r="N50" s="2">
        <f>Table1[[#This Row],[R1 Length (km)]]+Table1[[#This Row],[T1 Length (km)]]</f>
        <v>29.513708374020002</v>
      </c>
      <c r="O50" s="1">
        <v>130</v>
      </c>
      <c r="P50" s="1" t="s">
        <v>116</v>
      </c>
      <c r="Q50" s="1">
        <v>45</v>
      </c>
      <c r="R50" s="9" t="s">
        <v>23</v>
      </c>
      <c r="S50" s="9" t="s">
        <v>23</v>
      </c>
      <c r="T50" s="9">
        <f>((PI()*(45^2))*Table1[[#This Row],[Number of Turbines - WIND]])/10000</f>
        <v>28.627763055836986</v>
      </c>
      <c r="U50" s="20">
        <f>2773+405.5016</f>
        <v>3178.5016000000001</v>
      </c>
      <c r="V50" s="20">
        <f>Table1[[#This Row],[Raw Terrestrial Score]]/Table1[[#This Row],[Summed Raw Scores]]</f>
        <v>0.5432492592645829</v>
      </c>
      <c r="W50" s="20">
        <f>353.4067+2319</f>
        <v>2672.4067</v>
      </c>
      <c r="X50" s="20">
        <f>Table1[[#This Row],[Raw Freshwater Score]]/Table1[[#This Row],[Summed Raw Scores]]</f>
        <v>0.4567507407354171</v>
      </c>
      <c r="Y50" s="20">
        <f>Table1[[#This Row],[Raw Terrestrial Score]]+Table1[[#This Row],[Raw Freshwater Score]]</f>
        <v>5850.9083000000001</v>
      </c>
      <c r="Z50" s="18">
        <f>Table1[[#This Row],[Terrestrial % of Summed Score]]*Table1[[#This Row],[Scaled Summed Score]]</f>
        <v>0.13508008225280335</v>
      </c>
      <c r="AA50" s="18">
        <f>Table1[[#This Row],[Freshwater % of Summed Score]]*Table1[[#This Row],[Scaled Summed Score]]</f>
        <v>0.11357204188569317</v>
      </c>
      <c r="AB50" s="18">
        <f>(Table1[[#This Row],[Summed Raw Scores]]-MIN(Table1[Summed Raw Scores]))/(MAX(Table1[Summed Raw Scores])-MIN(Table1[Summed Raw Scores]))</f>
        <v>0.24865212413849652</v>
      </c>
      <c r="AC50" s="9"/>
    </row>
    <row r="51" spans="1:29" x14ac:dyDescent="0.3">
      <c r="A51" s="1" t="s">
        <v>155</v>
      </c>
      <c r="B51" s="1" t="s">
        <v>115</v>
      </c>
      <c r="C51" s="1" t="s">
        <v>28</v>
      </c>
      <c r="D51" s="12">
        <v>54.475945340000003</v>
      </c>
      <c r="E51" s="12">
        <v>-120.2898646</v>
      </c>
      <c r="F51" s="2">
        <v>135</v>
      </c>
      <c r="G51" s="1" t="s">
        <v>23</v>
      </c>
      <c r="H51" s="9">
        <v>32.4</v>
      </c>
      <c r="I51" s="9">
        <v>639.31355999999994</v>
      </c>
      <c r="J51" s="9">
        <v>58.304319594040237</v>
      </c>
      <c r="K51" s="2" t="s">
        <v>23</v>
      </c>
      <c r="L51" s="12">
        <v>6.0698486328099994</v>
      </c>
      <c r="M51" s="9">
        <v>95.404289062499998</v>
      </c>
      <c r="N51" s="9">
        <f>Table1[[#This Row],[R1 Length (km)]]+Table1[[#This Row],[T1 Length (km)]]</f>
        <v>101.47413769530999</v>
      </c>
      <c r="O51" s="5">
        <v>230</v>
      </c>
      <c r="P51" s="5" t="s">
        <v>137</v>
      </c>
      <c r="Q51" s="3" t="s">
        <v>23</v>
      </c>
      <c r="R51" s="9" t="s">
        <v>23</v>
      </c>
      <c r="S51" s="9" t="s">
        <v>23</v>
      </c>
      <c r="T51" s="9">
        <v>17.18</v>
      </c>
      <c r="U51" s="20">
        <v>3133</v>
      </c>
      <c r="V51" s="20">
        <f>Table1[[#This Row],[Raw Terrestrial Score]]/Table1[[#This Row],[Summed Raw Scores]]</f>
        <v>0.5552995391705069</v>
      </c>
      <c r="W51" s="20">
        <v>2509</v>
      </c>
      <c r="X51" s="20">
        <f>Table1[[#This Row],[Raw Freshwater Score]]/Table1[[#This Row],[Summed Raw Scores]]</f>
        <v>0.4447004608294931</v>
      </c>
      <c r="Y51" s="20">
        <f>Table1[[#This Row],[Raw Terrestrial Score]]+Table1[[#This Row],[Raw Freshwater Score]]</f>
        <v>5642</v>
      </c>
      <c r="Z51" s="18">
        <f>Table1[[#This Row],[Terrestrial % of Summed Score]]*Table1[[#This Row],[Scaled Summed Score]]</f>
        <v>0.13313452863164552</v>
      </c>
      <c r="AA51" s="18">
        <f>Table1[[#This Row],[Freshwater % of Summed Score]]*Table1[[#This Row],[Scaled Summed Score]]</f>
        <v>0.10661810799131778</v>
      </c>
      <c r="AB51" s="18">
        <f>(Table1[[#This Row],[Summed Raw Scores]]-MIN(Table1[Summed Raw Scores]))/(MAX(Table1[Summed Raw Scores])-MIN(Table1[Summed Raw Scores]))</f>
        <v>0.23975263662296328</v>
      </c>
      <c r="AC51" s="9"/>
    </row>
    <row r="52" spans="1:29" x14ac:dyDescent="0.3">
      <c r="A52" s="1" t="s">
        <v>106</v>
      </c>
      <c r="B52" s="1" t="s">
        <v>98</v>
      </c>
      <c r="C52" s="1" t="s">
        <v>31</v>
      </c>
      <c r="D52" s="2">
        <v>56.33</v>
      </c>
      <c r="E52" s="2">
        <v>-128.69</v>
      </c>
      <c r="F52" s="2">
        <v>77.2</v>
      </c>
      <c r="G52" s="2">
        <v>40</v>
      </c>
      <c r="H52" s="2">
        <v>5</v>
      </c>
      <c r="I52" s="2">
        <v>286</v>
      </c>
      <c r="J52" s="2">
        <v>109.41</v>
      </c>
      <c r="K52" s="2" t="s">
        <v>23</v>
      </c>
      <c r="L52" s="2">
        <f>8100/1000</f>
        <v>8.1</v>
      </c>
      <c r="M52" s="2">
        <v>53.5441</v>
      </c>
      <c r="N52" s="2">
        <f>Table1[[#This Row],[R1 Length (km)]]+Table1[[#This Row],[T1 Length (km)]]</f>
        <v>61.644100000000002</v>
      </c>
      <c r="O52" s="1">
        <v>130</v>
      </c>
      <c r="P52" s="3" t="s">
        <v>23</v>
      </c>
      <c r="Q52" s="3" t="s">
        <v>23</v>
      </c>
      <c r="R52" s="9" t="s">
        <v>23</v>
      </c>
      <c r="S52" s="9" t="s">
        <v>23</v>
      </c>
      <c r="T52" s="9">
        <v>347.8</v>
      </c>
      <c r="U52" s="20">
        <v>2523</v>
      </c>
      <c r="V52" s="20">
        <f>Table1[[#This Row],[Raw Terrestrial Score]]/Table1[[#This Row],[Summed Raw Scores]]</f>
        <v>0.45182664756446994</v>
      </c>
      <c r="W52" s="20">
        <v>3061</v>
      </c>
      <c r="X52" s="20">
        <f>Table1[[#This Row],[Raw Freshwater Score]]/Table1[[#This Row],[Summed Raw Scores]]</f>
        <v>0.54817335243553011</v>
      </c>
      <c r="Y52" s="20">
        <f>Table1[[#This Row],[Raw Terrestrial Score]]+Table1[[#This Row],[Raw Freshwater Score]]</f>
        <v>5584</v>
      </c>
      <c r="Z52" s="18">
        <f>Table1[[#This Row],[Terrestrial % of Summed Score]]*Table1[[#This Row],[Scaled Summed Score]]</f>
        <v>0.10721025753003467</v>
      </c>
      <c r="AA52" s="18">
        <f>Table1[[#This Row],[Freshwater % of Summed Score]]*Table1[[#This Row],[Scaled Summed Score]]</f>
        <v>0.13007158077662945</v>
      </c>
      <c r="AB52" s="18">
        <f>(Table1[[#This Row],[Summed Raw Scores]]-MIN(Table1[Summed Raw Scores]))/(MAX(Table1[Summed Raw Scores])-MIN(Table1[Summed Raw Scores]))</f>
        <v>0.23728183830666411</v>
      </c>
      <c r="AC52" s="9"/>
    </row>
    <row r="53" spans="1:29" x14ac:dyDescent="0.3">
      <c r="A53" s="1" t="s">
        <v>50</v>
      </c>
      <c r="B53" s="1" t="s">
        <v>43</v>
      </c>
      <c r="C53" s="1" t="s">
        <v>33</v>
      </c>
      <c r="D53" s="11">
        <v>50.1539637132</v>
      </c>
      <c r="E53" s="11">
        <v>-123.68430182500001</v>
      </c>
      <c r="F53" s="2">
        <v>1000</v>
      </c>
      <c r="G53" s="2" t="s">
        <v>23</v>
      </c>
      <c r="H53" s="9">
        <v>495</v>
      </c>
      <c r="I53" s="2" t="s">
        <v>23</v>
      </c>
      <c r="J53" s="2" t="s">
        <v>23</v>
      </c>
      <c r="K53" s="13">
        <v>171.27576141414141</v>
      </c>
      <c r="L53" s="11">
        <v>1.9313709716799998</v>
      </c>
      <c r="M53" s="9">
        <v>64.098070312499999</v>
      </c>
      <c r="N53" s="9">
        <f>Table1[[#This Row],[R1 Length (km)]]+Table1[[#This Row],[T1 Length (km)]]</f>
        <v>66.029441284179995</v>
      </c>
      <c r="O53" s="3">
        <v>500</v>
      </c>
      <c r="P53" s="3" t="s">
        <v>23</v>
      </c>
      <c r="Q53" s="3" t="s">
        <v>23</v>
      </c>
      <c r="R53" s="9" t="s">
        <v>23</v>
      </c>
      <c r="S53" s="9" t="s">
        <v>23</v>
      </c>
      <c r="T53" s="9">
        <v>65.650000000000006</v>
      </c>
      <c r="U53" s="20">
        <v>2262</v>
      </c>
      <c r="V53" s="20">
        <f>Table1[[#This Row],[Raw Terrestrial Score]]/Table1[[#This Row],[Summed Raw Scores]]</f>
        <v>0.40632297467217532</v>
      </c>
      <c r="W53" s="20">
        <v>3305</v>
      </c>
      <c r="X53" s="20">
        <f>Table1[[#This Row],[Raw Freshwater Score]]/Table1[[#This Row],[Summed Raw Scores]]</f>
        <v>0.59367702532782474</v>
      </c>
      <c r="Y53" s="20">
        <f>Table1[[#This Row],[Raw Terrestrial Score]]+Table1[[#This Row],[Raw Freshwater Score]]</f>
        <v>5567</v>
      </c>
      <c r="Z53" s="18">
        <f>Table1[[#This Row],[Terrestrial % of Summed Score]]*Table1[[#This Row],[Scaled Summed Score]]</f>
        <v>9.6118803478708076E-2</v>
      </c>
      <c r="AA53" s="18">
        <f>Table1[[#This Row],[Freshwater % of Summed Score]]*Table1[[#This Row],[Scaled Summed Score]]</f>
        <v>0.14043883532145457</v>
      </c>
      <c r="AB53" s="18">
        <f>(Table1[[#This Row],[Summed Raw Scores]]-MIN(Table1[Summed Raw Scores]))/(MAX(Table1[Summed Raw Scores])-MIN(Table1[Summed Raw Scores]))</f>
        <v>0.23655763880016262</v>
      </c>
      <c r="AC53" s="9"/>
    </row>
    <row r="54" spans="1:29" x14ac:dyDescent="0.3">
      <c r="A54" s="1" t="s">
        <v>139</v>
      </c>
      <c r="B54" s="1" t="s">
        <v>115</v>
      </c>
      <c r="C54" s="1" t="s">
        <v>31</v>
      </c>
      <c r="D54" s="2">
        <v>53.731754780000003</v>
      </c>
      <c r="E54" s="2">
        <v>-124.2257591</v>
      </c>
      <c r="F54" s="2">
        <v>333</v>
      </c>
      <c r="G54" s="1" t="s">
        <v>23</v>
      </c>
      <c r="H54" s="2">
        <v>80.399999999999991</v>
      </c>
      <c r="I54" s="2">
        <v>1126.00602</v>
      </c>
      <c r="J54" s="2">
        <v>61.8691277592863</v>
      </c>
      <c r="K54" s="2" t="s">
        <v>23</v>
      </c>
      <c r="L54" s="2">
        <v>0.241421356201</v>
      </c>
      <c r="M54" s="2">
        <v>34.152187499999997</v>
      </c>
      <c r="N54" s="2">
        <f>Table1[[#This Row],[R1 Length (km)]]+Table1[[#This Row],[T1 Length (km)]]</f>
        <v>34.393608856200999</v>
      </c>
      <c r="O54" s="1">
        <v>230</v>
      </c>
      <c r="P54" s="1" t="s">
        <v>116</v>
      </c>
      <c r="Q54" s="1">
        <v>67</v>
      </c>
      <c r="R54" s="9" t="s">
        <v>23</v>
      </c>
      <c r="S54" s="9" t="s">
        <v>23</v>
      </c>
      <c r="T54" s="9">
        <f>((PI()*(45^2))*Table1[[#This Row],[Number of Turbines - WIND]])/10000</f>
        <v>42.623558327579516</v>
      </c>
      <c r="U54" s="20">
        <f>1897+396.2109</f>
        <v>2293.2109</v>
      </c>
      <c r="V54" s="20">
        <f>Table1[[#This Row],[Raw Terrestrial Score]]/Table1[[#This Row],[Summed Raw Scores]]</f>
        <v>0.41435439151410863</v>
      </c>
      <c r="W54" s="20">
        <f>419.2083+2822</f>
        <v>3241.2083000000002</v>
      </c>
      <c r="X54" s="20">
        <f>Table1[[#This Row],[Raw Freshwater Score]]/Table1[[#This Row],[Summed Raw Scores]]</f>
        <v>0.58564560848589131</v>
      </c>
      <c r="Y54" s="20">
        <f>Table1[[#This Row],[Raw Terrestrial Score]]+Table1[[#This Row],[Raw Freshwater Score]]</f>
        <v>5534.4192000000003</v>
      </c>
      <c r="Z54" s="18">
        <f>Table1[[#This Row],[Terrestrial % of Summed Score]]*Table1[[#This Row],[Scaled Summed Score]]</f>
        <v>9.7443596978936259E-2</v>
      </c>
      <c r="AA54" s="18">
        <f>Table1[[#This Row],[Freshwater % of Summed Score]]*Table1[[#This Row],[Scaled Summed Score]]</f>
        <v>0.13772610068702495</v>
      </c>
      <c r="AB54" s="18">
        <f>(Table1[[#This Row],[Summed Raw Scores]]-MIN(Table1[Summed Raw Scores]))/(MAX(Table1[Summed Raw Scores])-MIN(Table1[Summed Raw Scores]))</f>
        <v>0.23516969766596124</v>
      </c>
      <c r="AC54" s="9"/>
    </row>
    <row r="55" spans="1:29" x14ac:dyDescent="0.3">
      <c r="A55" s="1" t="s">
        <v>183</v>
      </c>
      <c r="B55" s="1" t="s">
        <v>115</v>
      </c>
      <c r="C55" s="1" t="s">
        <v>28</v>
      </c>
      <c r="D55" s="2">
        <v>55.66993652</v>
      </c>
      <c r="E55" s="2">
        <v>-122.2744455</v>
      </c>
      <c r="F55" s="2">
        <v>33</v>
      </c>
      <c r="G55" s="1" t="s">
        <v>23</v>
      </c>
      <c r="H55" s="2">
        <v>8.4</v>
      </c>
      <c r="I55" s="2">
        <v>126.3192</v>
      </c>
      <c r="J55" s="2">
        <v>93.660845770732664</v>
      </c>
      <c r="K55" s="2" t="s">
        <v>23</v>
      </c>
      <c r="L55" s="2">
        <v>2.6727924804700001</v>
      </c>
      <c r="M55" s="2">
        <v>20.558074218750001</v>
      </c>
      <c r="N55" s="2">
        <f>Table1[[#This Row],[R1 Length (km)]]+Table1[[#This Row],[T1 Length (km)]]</f>
        <v>23.230866699220002</v>
      </c>
      <c r="O55" s="1">
        <v>69</v>
      </c>
      <c r="P55" s="1" t="s">
        <v>137</v>
      </c>
      <c r="Q55" s="3" t="s">
        <v>23</v>
      </c>
      <c r="R55" s="9" t="s">
        <v>23</v>
      </c>
      <c r="S55" s="9" t="s">
        <v>23</v>
      </c>
      <c r="T55" s="9">
        <f>618138/10000</f>
        <v>61.813800000000001</v>
      </c>
      <c r="U55" s="20">
        <v>2671</v>
      </c>
      <c r="V55" s="20">
        <f>Table1[[#This Row],[Raw Terrestrial Score]]/Table1[[#This Row],[Summed Raw Scores]]</f>
        <v>0.48955278592375367</v>
      </c>
      <c r="W55" s="20">
        <v>2785</v>
      </c>
      <c r="X55" s="20">
        <f>Table1[[#This Row],[Raw Freshwater Score]]/Table1[[#This Row],[Summed Raw Scores]]</f>
        <v>0.51044721407624638</v>
      </c>
      <c r="Y55" s="20">
        <f>Table1[[#This Row],[Raw Terrestrial Score]]+Table1[[#This Row],[Raw Freshwater Score]]</f>
        <v>5456</v>
      </c>
      <c r="Z55" s="18">
        <f>Table1[[#This Row],[Terrestrial % of Summed Score]]*Table1[[#This Row],[Scaled Summed Score]]</f>
        <v>0.1134925533801095</v>
      </c>
      <c r="AA55" s="18">
        <f>Table1[[#This Row],[Freshwater % of Summed Score]]*Table1[[#This Row],[Scaled Summed Score]]</f>
        <v>0.11833648864230811</v>
      </c>
      <c r="AB55" s="18">
        <f>(Table1[[#This Row],[Summed Raw Scores]]-MIN(Table1[Summed Raw Scores]))/(MAX(Table1[Summed Raw Scores])-MIN(Table1[Summed Raw Scores]))</f>
        <v>0.23182904202241761</v>
      </c>
      <c r="AC55" s="9"/>
    </row>
    <row r="56" spans="1:29" x14ac:dyDescent="0.3">
      <c r="A56" s="1" t="s">
        <v>165</v>
      </c>
      <c r="B56" s="1" t="s">
        <v>115</v>
      </c>
      <c r="C56" s="1" t="s">
        <v>60</v>
      </c>
      <c r="D56" s="2">
        <v>55.498280790000003</v>
      </c>
      <c r="E56" s="2">
        <v>-124.4117115</v>
      </c>
      <c r="F56" s="2">
        <v>54</v>
      </c>
      <c r="G56" s="1" t="s">
        <v>23</v>
      </c>
      <c r="H56" s="2">
        <v>13.2</v>
      </c>
      <c r="I56" s="2">
        <v>157.93403999999998</v>
      </c>
      <c r="J56" s="2">
        <v>134.85350200349799</v>
      </c>
      <c r="K56" s="2" t="s">
        <v>23</v>
      </c>
      <c r="L56" s="2">
        <v>9.0012187499999996</v>
      </c>
      <c r="M56" s="2">
        <v>92.210257812500004</v>
      </c>
      <c r="N56" s="2">
        <f>Table1[[#This Row],[R1 Length (km)]]+Table1[[#This Row],[T1 Length (km)]]</f>
        <v>101.2114765625</v>
      </c>
      <c r="O56" s="1">
        <v>130</v>
      </c>
      <c r="P56" s="1" t="s">
        <v>137</v>
      </c>
      <c r="Q56" s="3" t="s">
        <v>23</v>
      </c>
      <c r="R56" s="9" t="s">
        <v>23</v>
      </c>
      <c r="S56" s="9" t="s">
        <v>23</v>
      </c>
      <c r="T56" s="9">
        <f>835260.1/10000</f>
        <v>83.526009999999999</v>
      </c>
      <c r="U56" s="20">
        <v>3165</v>
      </c>
      <c r="V56" s="20">
        <f>Table1[[#This Row],[Raw Terrestrial Score]]/Table1[[#This Row],[Summed Raw Scores]]</f>
        <v>0.59236384053902302</v>
      </c>
      <c r="W56" s="20">
        <v>2178</v>
      </c>
      <c r="X56" s="20">
        <f>Table1[[#This Row],[Raw Freshwater Score]]/Table1[[#This Row],[Summed Raw Scores]]</f>
        <v>0.40763615946097698</v>
      </c>
      <c r="Y56" s="20">
        <f>Table1[[#This Row],[Raw Terrestrial Score]]+Table1[[#This Row],[Raw Freshwater Score]]</f>
        <v>5343</v>
      </c>
      <c r="Z56" s="18">
        <f>Table1[[#This Row],[Terrestrial % of Summed Score]]*Table1[[#This Row],[Scaled Summed Score]]</f>
        <v>0.13447562256843429</v>
      </c>
      <c r="AA56" s="18">
        <f>Table1[[#This Row],[Freshwater % of Summed Score]]*Table1[[#This Row],[Scaled Summed Score]]</f>
        <v>9.2539622734296959E-2</v>
      </c>
      <c r="AB56" s="18">
        <f>(Table1[[#This Row],[Summed Raw Scores]]-MIN(Table1[Summed Raw Scores]))/(MAX(Table1[Summed Raw Scores])-MIN(Table1[Summed Raw Scores]))</f>
        <v>0.22701524530273123</v>
      </c>
      <c r="AC56" s="9"/>
    </row>
    <row r="57" spans="1:29" x14ac:dyDescent="0.3">
      <c r="A57" s="1" t="s">
        <v>44</v>
      </c>
      <c r="B57" s="1" t="s">
        <v>43</v>
      </c>
      <c r="C57" s="1" t="s">
        <v>31</v>
      </c>
      <c r="D57" s="2">
        <v>54.033148683900002</v>
      </c>
      <c r="E57" s="2">
        <v>-128.334012847</v>
      </c>
      <c r="F57" s="2">
        <v>1000</v>
      </c>
      <c r="G57" s="2" t="s">
        <v>23</v>
      </c>
      <c r="H57" s="9">
        <v>1000</v>
      </c>
      <c r="I57" s="2" t="s">
        <v>23</v>
      </c>
      <c r="J57" s="2" t="s">
        <v>23</v>
      </c>
      <c r="K57" s="2">
        <v>121.5536031</v>
      </c>
      <c r="L57" s="2">
        <v>4.7698484809838195</v>
      </c>
      <c r="M57" s="2">
        <v>56.137467504308347</v>
      </c>
      <c r="N57" s="2">
        <f>Table1[[#This Row],[R1 Length (km)]]+Table1[[#This Row],[T1 Length (km)]]</f>
        <v>60.907315985292165</v>
      </c>
      <c r="O57" s="1">
        <v>500</v>
      </c>
      <c r="P57" s="3" t="s">
        <v>23</v>
      </c>
      <c r="Q57" s="3" t="s">
        <v>23</v>
      </c>
      <c r="R57" s="9" t="s">
        <v>23</v>
      </c>
      <c r="S57" s="9" t="s">
        <v>23</v>
      </c>
      <c r="T57" s="9">
        <v>84.8</v>
      </c>
      <c r="U57" s="20">
        <v>2559</v>
      </c>
      <c r="V57" s="20">
        <f>Table1[[#This Row],[Raw Terrestrial Score]]/Table1[[#This Row],[Summed Raw Scores]]</f>
        <v>0.48447557743279063</v>
      </c>
      <c r="W57" s="20">
        <v>2723</v>
      </c>
      <c r="X57" s="20">
        <f>Table1[[#This Row],[Raw Freshwater Score]]/Table1[[#This Row],[Summed Raw Scores]]</f>
        <v>0.51552442256720943</v>
      </c>
      <c r="Y57" s="20">
        <f>Table1[[#This Row],[Raw Terrestrial Score]]+Table1[[#This Row],[Raw Freshwater Score]]</f>
        <v>5282</v>
      </c>
      <c r="Z57" s="18">
        <f>Table1[[#This Row],[Terrestrial % of Summed Score]]*Table1[[#This Row],[Scaled Summed Score]]</f>
        <v>0.1087243846764744</v>
      </c>
      <c r="AA57" s="18">
        <f>Table1[[#This Row],[Freshwater % of Summed Score]]*Table1[[#This Row],[Scaled Summed Score]]</f>
        <v>0.11569226239704564</v>
      </c>
      <c r="AB57" s="18">
        <f>(Table1[[#This Row],[Summed Raw Scores]]-MIN(Table1[Summed Raw Scores]))/(MAX(Table1[Summed Raw Scores])-MIN(Table1[Summed Raw Scores]))</f>
        <v>0.22441664707352002</v>
      </c>
      <c r="AC57" s="9"/>
    </row>
    <row r="58" spans="1:29" x14ac:dyDescent="0.3">
      <c r="A58" s="1" t="s">
        <v>175</v>
      </c>
      <c r="B58" s="1" t="s">
        <v>115</v>
      </c>
      <c r="C58" s="1" t="s">
        <v>28</v>
      </c>
      <c r="D58" s="2">
        <v>56.54299082</v>
      </c>
      <c r="E58" s="2">
        <v>-123.0058961</v>
      </c>
      <c r="F58" s="2">
        <v>72</v>
      </c>
      <c r="G58" s="1" t="s">
        <v>23</v>
      </c>
      <c r="H58" s="2">
        <v>16.8</v>
      </c>
      <c r="I58" s="2">
        <v>283.66631999999998</v>
      </c>
      <c r="J58" s="2">
        <v>86.422963406889508</v>
      </c>
      <c r="K58" s="2" t="s">
        <v>23</v>
      </c>
      <c r="L58" s="2">
        <v>10.212486328100001</v>
      </c>
      <c r="M58" s="2">
        <v>85.097687500000006</v>
      </c>
      <c r="N58" s="2">
        <f>Table1[[#This Row],[R1 Length (km)]]+Table1[[#This Row],[T1 Length (km)]]</f>
        <v>95.310173828100005</v>
      </c>
      <c r="O58" s="1">
        <v>130</v>
      </c>
      <c r="P58" s="1" t="s">
        <v>137</v>
      </c>
      <c r="Q58" s="3" t="s">
        <v>23</v>
      </c>
      <c r="R58" s="9" t="s">
        <v>23</v>
      </c>
      <c r="S58" s="9" t="s">
        <v>23</v>
      </c>
      <c r="T58" s="9">
        <v>8.91</v>
      </c>
      <c r="U58" s="20">
        <v>3320</v>
      </c>
      <c r="V58" s="20">
        <f>Table1[[#This Row],[Raw Terrestrial Score]]/Table1[[#This Row],[Summed Raw Scores]]</f>
        <v>0.63081892456773703</v>
      </c>
      <c r="W58" s="20">
        <v>1943</v>
      </c>
      <c r="X58" s="20">
        <f>Table1[[#This Row],[Raw Freshwater Score]]/Table1[[#This Row],[Summed Raw Scores]]</f>
        <v>0.36918107543226297</v>
      </c>
      <c r="Y58" s="20">
        <f>Table1[[#This Row],[Raw Terrestrial Score]]+Table1[[#This Row],[Raw Freshwater Score]]</f>
        <v>5263</v>
      </c>
      <c r="Z58" s="18">
        <f>Table1[[#This Row],[Terrestrial % of Summed Score]]*Table1[[#This Row],[Scaled Summed Score]]</f>
        <v>0.14105568347240285</v>
      </c>
      <c r="AA58" s="18">
        <f>Table1[[#This Row],[Freshwater % of Summed Score]]*Table1[[#This Row],[Scaled Summed Score]]</f>
        <v>8.2551564152674325E-2</v>
      </c>
      <c r="AB58" s="18">
        <f>(Table1[[#This Row],[Summed Raw Scores]]-MIN(Table1[Summed Raw Scores]))/(MAX(Table1[Summed Raw Scores])-MIN(Table1[Summed Raw Scores]))</f>
        <v>0.22360724762507717</v>
      </c>
      <c r="AC58" s="9"/>
    </row>
    <row r="59" spans="1:29" x14ac:dyDescent="0.3">
      <c r="A59" s="1" t="s">
        <v>105</v>
      </c>
      <c r="B59" s="1" t="s">
        <v>98</v>
      </c>
      <c r="C59" s="1" t="s">
        <v>33</v>
      </c>
      <c r="D59" s="11">
        <v>49.9</v>
      </c>
      <c r="E59" s="11">
        <v>-122</v>
      </c>
      <c r="F59" s="2">
        <v>83.9</v>
      </c>
      <c r="G59" s="2">
        <v>40</v>
      </c>
      <c r="H59" s="2">
        <v>16</v>
      </c>
      <c r="I59" s="13">
        <v>371.8</v>
      </c>
      <c r="J59" s="13">
        <v>72.604934026208781</v>
      </c>
      <c r="K59" s="2" t="s">
        <v>23</v>
      </c>
      <c r="L59" s="2">
        <v>0.3</v>
      </c>
      <c r="M59" s="2">
        <v>53.3</v>
      </c>
      <c r="N59" s="2">
        <f>Table1[[#This Row],[R1 Length (km)]]+Table1[[#This Row],[T1 Length (km)]]</f>
        <v>53.599999999999994</v>
      </c>
      <c r="O59" s="1">
        <v>130</v>
      </c>
      <c r="P59" s="3" t="s">
        <v>23</v>
      </c>
      <c r="Q59" s="3" t="s">
        <v>23</v>
      </c>
      <c r="R59" s="9" t="s">
        <v>23</v>
      </c>
      <c r="S59" s="9" t="s">
        <v>23</v>
      </c>
      <c r="T59" s="9">
        <v>53.32</v>
      </c>
      <c r="U59" s="20">
        <v>2700</v>
      </c>
      <c r="V59" s="20">
        <f>Table1[[#This Row],[Raw Terrestrial Score]]/Table1[[#This Row],[Summed Raw Scores]]</f>
        <v>0.51457975986277871</v>
      </c>
      <c r="W59" s="20">
        <v>2547</v>
      </c>
      <c r="X59" s="20">
        <f>Table1[[#This Row],[Raw Freshwater Score]]/Table1[[#This Row],[Summed Raw Scores]]</f>
        <v>0.48542024013722129</v>
      </c>
      <c r="Y59" s="20">
        <f>Table1[[#This Row],[Raw Terrestrial Score]]+Table1[[#This Row],[Raw Freshwater Score]]</f>
        <v>5247</v>
      </c>
      <c r="Z59" s="18">
        <f>Table1[[#This Row],[Terrestrial % of Summed Score]]*Table1[[#This Row],[Scaled Summed Score]]</f>
        <v>0.11471302646117308</v>
      </c>
      <c r="AA59" s="18">
        <f>Table1[[#This Row],[Freshwater % of Summed Score]]*Table1[[#This Row],[Scaled Summed Score]]</f>
        <v>0.10821262162837329</v>
      </c>
      <c r="AB59" s="18">
        <f>(Table1[[#This Row],[Summed Raw Scores]]-MIN(Table1[Summed Raw Scores]))/(MAX(Table1[Summed Raw Scores])-MIN(Table1[Summed Raw Scores]))</f>
        <v>0.22292564808954637</v>
      </c>
      <c r="AC59" s="9"/>
    </row>
    <row r="60" spans="1:29" x14ac:dyDescent="0.3">
      <c r="A60" s="1" t="s">
        <v>166</v>
      </c>
      <c r="B60" s="1" t="s">
        <v>115</v>
      </c>
      <c r="C60" s="1" t="s">
        <v>60</v>
      </c>
      <c r="D60" s="2">
        <v>55.481708900000001</v>
      </c>
      <c r="E60" s="2">
        <v>-123.9167898</v>
      </c>
      <c r="F60" s="2">
        <v>117</v>
      </c>
      <c r="G60" s="1" t="s">
        <v>23</v>
      </c>
      <c r="H60" s="2">
        <v>28.799999999999997</v>
      </c>
      <c r="I60" s="2">
        <v>308.42207999999999</v>
      </c>
      <c r="J60" s="2">
        <v>106.96629348122117</v>
      </c>
      <c r="K60" s="2" t="s">
        <v>23</v>
      </c>
      <c r="L60" s="2">
        <v>1.9242641601600001</v>
      </c>
      <c r="M60" s="2">
        <v>60.264675781249998</v>
      </c>
      <c r="N60" s="2">
        <f>Table1[[#This Row],[R1 Length (km)]]+Table1[[#This Row],[T1 Length (km)]]</f>
        <v>62.188939941409998</v>
      </c>
      <c r="O60" s="1">
        <v>130</v>
      </c>
      <c r="P60" s="1" t="s">
        <v>137</v>
      </c>
      <c r="Q60" s="3" t="s">
        <v>23</v>
      </c>
      <c r="R60" s="9" t="s">
        <v>23</v>
      </c>
      <c r="S60" s="9" t="s">
        <v>23</v>
      </c>
      <c r="T60" s="9">
        <f>1867770/10000</f>
        <v>186.77699999999999</v>
      </c>
      <c r="U60" s="20">
        <v>3048</v>
      </c>
      <c r="V60" s="20">
        <f>Table1[[#This Row],[Raw Terrestrial Score]]/Table1[[#This Row],[Summed Raw Scores]]</f>
        <v>0.58190148911798401</v>
      </c>
      <c r="W60" s="20">
        <v>2190</v>
      </c>
      <c r="X60" s="20">
        <f>Table1[[#This Row],[Raw Freshwater Score]]/Table1[[#This Row],[Summed Raw Scores]]</f>
        <v>0.41809851088201605</v>
      </c>
      <c r="Y60" s="20">
        <f>Table1[[#This Row],[Raw Terrestrial Score]]+Table1[[#This Row],[Raw Freshwater Score]]</f>
        <v>5238</v>
      </c>
      <c r="Z60" s="18">
        <f>Table1[[#This Row],[Terrestrial % of Summed Score]]*Table1[[#This Row],[Scaled Summed Score]]</f>
        <v>0.12949766570700072</v>
      </c>
      <c r="AA60" s="18">
        <f>Table1[[#This Row],[Freshwater % of Summed Score]]*Table1[[#This Row],[Scaled Summed Score]]</f>
        <v>9.3044582643809562E-2</v>
      </c>
      <c r="AB60" s="18">
        <f>(Table1[[#This Row],[Summed Raw Scores]]-MIN(Table1[Summed Raw Scores]))/(MAX(Table1[Summed Raw Scores])-MIN(Table1[Summed Raw Scores]))</f>
        <v>0.22254224835081027</v>
      </c>
      <c r="AC60" s="9"/>
    </row>
    <row r="61" spans="1:29" x14ac:dyDescent="0.3">
      <c r="A61" s="1" t="s">
        <v>185</v>
      </c>
      <c r="B61" s="1" t="s">
        <v>115</v>
      </c>
      <c r="C61" s="1" t="s">
        <v>26</v>
      </c>
      <c r="D61" s="2">
        <v>51.005977790000003</v>
      </c>
      <c r="E61" s="2">
        <v>-120.4973311</v>
      </c>
      <c r="F61" s="2">
        <v>171</v>
      </c>
      <c r="G61" s="1" t="s">
        <v>23</v>
      </c>
      <c r="H61" s="2">
        <v>58.8</v>
      </c>
      <c r="I61" s="2">
        <v>613.38396</v>
      </c>
      <c r="J61" s="2">
        <v>86.696270973203369</v>
      </c>
      <c r="K61" s="2" t="s">
        <v>23</v>
      </c>
      <c r="L61" s="2">
        <v>0.3</v>
      </c>
      <c r="M61" s="2">
        <v>43.9</v>
      </c>
      <c r="N61" s="2">
        <f>Table1[[#This Row],[R1 Length (km)]]+Table1[[#This Row],[T1 Length (km)]]</f>
        <v>44.199999999999996</v>
      </c>
      <c r="O61" s="1">
        <v>230</v>
      </c>
      <c r="P61" s="1" t="s">
        <v>116</v>
      </c>
      <c r="Q61" s="1">
        <v>49</v>
      </c>
      <c r="R61" s="9" t="s">
        <v>23</v>
      </c>
      <c r="S61" s="9" t="s">
        <v>23</v>
      </c>
      <c r="T61" s="9">
        <f>((PI()*(45^2))*Table1[[#This Row],[Number of Turbines - WIND]])/10000</f>
        <v>31.17245310524472</v>
      </c>
      <c r="U61" s="20">
        <f>2048+432.6155</f>
        <v>2480.6154999999999</v>
      </c>
      <c r="V61" s="20">
        <f>Table1[[#This Row],[Raw Terrestrial Score]]/Table1[[#This Row],[Summed Raw Scores]]</f>
        <v>0.47475644865027022</v>
      </c>
      <c r="W61" s="20">
        <f>424.412+2320</f>
        <v>2744.4119999999998</v>
      </c>
      <c r="X61" s="20">
        <f>Table1[[#This Row],[Raw Freshwater Score]]/Table1[[#This Row],[Summed Raw Scores]]</f>
        <v>0.52524355134972966</v>
      </c>
      <c r="Y61" s="20">
        <f>Table1[[#This Row],[Raw Terrestrial Score]]+Table1[[#This Row],[Raw Freshwater Score]]</f>
        <v>5225.0275000000001</v>
      </c>
      <c r="Z61" s="18">
        <f>Table1[[#This Row],[Terrestrial % of Summed Score]]*Table1[[#This Row],[Scaled Summed Score]]</f>
        <v>0.10539100373637939</v>
      </c>
      <c r="AA61" s="18">
        <f>Table1[[#This Row],[Freshwater % of Summed Score]]*Table1[[#This Row],[Scaled Summed Score]]</f>
        <v>0.11659861649101377</v>
      </c>
      <c r="AB61" s="18">
        <f>(Table1[[#This Row],[Summed Raw Scores]]-MIN(Table1[Summed Raw Scores]))/(MAX(Table1[Summed Raw Scores])-MIN(Table1[Summed Raw Scores]))</f>
        <v>0.22198962022739319</v>
      </c>
      <c r="AC61" s="9"/>
    </row>
    <row r="62" spans="1:29" x14ac:dyDescent="0.3">
      <c r="A62" s="1" t="s">
        <v>103</v>
      </c>
      <c r="B62" s="1" t="s">
        <v>98</v>
      </c>
      <c r="C62" s="1" t="s">
        <v>31</v>
      </c>
      <c r="D62" s="12">
        <v>55.71</v>
      </c>
      <c r="E62" s="12">
        <v>-129.34</v>
      </c>
      <c r="F62" s="2">
        <v>40.1</v>
      </c>
      <c r="G62" s="2">
        <v>40</v>
      </c>
      <c r="H62" s="2">
        <v>3</v>
      </c>
      <c r="I62" s="13">
        <v>132.80000000000001</v>
      </c>
      <c r="J62" s="13">
        <v>116.36779578392621</v>
      </c>
      <c r="K62" s="2" t="s">
        <v>23</v>
      </c>
      <c r="L62" s="2">
        <v>9.1999999999999993</v>
      </c>
      <c r="M62" s="2">
        <v>33.299999999999997</v>
      </c>
      <c r="N62" s="2">
        <f>Table1[[#This Row],[R1 Length (km)]]+Table1[[#This Row],[T1 Length (km)]]</f>
        <v>42.5</v>
      </c>
      <c r="O62" s="1">
        <v>130</v>
      </c>
      <c r="P62" s="3" t="s">
        <v>23</v>
      </c>
      <c r="Q62" s="3" t="s">
        <v>23</v>
      </c>
      <c r="R62" s="9" t="s">
        <v>23</v>
      </c>
      <c r="S62" s="9" t="s">
        <v>23</v>
      </c>
      <c r="T62" s="9">
        <v>49.02</v>
      </c>
      <c r="U62" s="20">
        <v>2759</v>
      </c>
      <c r="V62" s="20">
        <f>Table1[[#This Row],[Raw Terrestrial Score]]/Table1[[#This Row],[Summed Raw Scores]]</f>
        <v>0.53666601828438043</v>
      </c>
      <c r="W62" s="20">
        <v>2382</v>
      </c>
      <c r="X62" s="20">
        <f>Table1[[#This Row],[Raw Freshwater Score]]/Table1[[#This Row],[Summed Raw Scores]]</f>
        <v>0.46333398171561951</v>
      </c>
      <c r="Y62" s="20">
        <f>Table1[[#This Row],[Raw Terrestrial Score]]+Table1[[#This Row],[Raw Freshwater Score]]</f>
        <v>5141</v>
      </c>
      <c r="Z62" s="18">
        <f>Table1[[#This Row],[Terrestrial % of Summed Score]]*Table1[[#This Row],[Scaled Summed Score]]</f>
        <v>0.1172132525128964</v>
      </c>
      <c r="AA62" s="18">
        <f>Table1[[#This Row],[Freshwater % of Summed Score]]*Table1[[#This Row],[Scaled Summed Score]]</f>
        <v>0.10119679865375833</v>
      </c>
      <c r="AB62" s="18">
        <f>(Table1[[#This Row],[Summed Raw Scores]]-MIN(Table1[Summed Raw Scores]))/(MAX(Table1[Summed Raw Scores])-MIN(Table1[Summed Raw Scores]))</f>
        <v>0.21841005116665474</v>
      </c>
      <c r="AC62" s="9"/>
    </row>
    <row r="63" spans="1:29" x14ac:dyDescent="0.3">
      <c r="A63" s="1" t="s">
        <v>199</v>
      </c>
      <c r="B63" s="1" t="s">
        <v>115</v>
      </c>
      <c r="C63" s="1" t="s">
        <v>26</v>
      </c>
      <c r="D63" s="2">
        <v>50.09076254</v>
      </c>
      <c r="E63" s="2">
        <v>-119.7530118</v>
      </c>
      <c r="F63" s="2">
        <v>303</v>
      </c>
      <c r="G63" s="1" t="s">
        <v>23</v>
      </c>
      <c r="H63" s="2">
        <v>73.2</v>
      </c>
      <c r="I63" s="2">
        <v>902.53403999999989</v>
      </c>
      <c r="J63" s="2">
        <v>75.242059453167954</v>
      </c>
      <c r="K63" s="2" t="s">
        <v>23</v>
      </c>
      <c r="L63" s="2">
        <v>0</v>
      </c>
      <c r="M63" s="2">
        <v>79.900000000000006</v>
      </c>
      <c r="N63" s="2">
        <f>Table1[[#This Row],[R1 Length (km)]]+Table1[[#This Row],[T1 Length (km)]]</f>
        <v>79.900000000000006</v>
      </c>
      <c r="O63" s="1">
        <v>230</v>
      </c>
      <c r="P63" s="1" t="s">
        <v>116</v>
      </c>
      <c r="Q63" s="1">
        <v>61</v>
      </c>
      <c r="R63" s="9" t="s">
        <v>23</v>
      </c>
      <c r="S63" s="9" t="s">
        <v>23</v>
      </c>
      <c r="T63" s="9">
        <f>((PI()*(45^2))*Table1[[#This Row],[Number of Turbines - WIND]])/10000</f>
        <v>38.806523253467915</v>
      </c>
      <c r="U63" s="20">
        <f>2355+357.6031</f>
        <v>2712.6030999999998</v>
      </c>
      <c r="V63" s="20">
        <f>Table1[[#This Row],[Raw Terrestrial Score]]/Table1[[#This Row],[Summed Raw Scores]]</f>
        <v>0.54409707598602031</v>
      </c>
      <c r="W63" s="20">
        <f>323.91+1949</f>
        <v>2272.91</v>
      </c>
      <c r="X63" s="20">
        <f>Table1[[#This Row],[Raw Freshwater Score]]/Table1[[#This Row],[Summed Raw Scores]]</f>
        <v>0.45590292401397958</v>
      </c>
      <c r="Y63" s="20">
        <f>Table1[[#This Row],[Raw Terrestrial Score]]+Table1[[#This Row],[Raw Freshwater Score]]</f>
        <v>4985.5131000000001</v>
      </c>
      <c r="Z63" s="18">
        <f>Table1[[#This Row],[Terrestrial % of Summed Score]]*Table1[[#This Row],[Scaled Summed Score]]</f>
        <v>0.11523231403997385</v>
      </c>
      <c r="AA63" s="18">
        <f>Table1[[#This Row],[Freshwater % of Summed Score]]*Table1[[#This Row],[Scaled Summed Score]]</f>
        <v>9.6553999700360507E-2</v>
      </c>
      <c r="AB63" s="18">
        <f>(Table1[[#This Row],[Summed Raw Scores]]-MIN(Table1[Summed Raw Scores]))/(MAX(Table1[Summed Raw Scores])-MIN(Table1[Summed Raw Scores]))</f>
        <v>0.21178631374033438</v>
      </c>
      <c r="AC63" s="9"/>
    </row>
    <row r="64" spans="1:29" x14ac:dyDescent="0.3">
      <c r="A64" s="1" t="s">
        <v>127</v>
      </c>
      <c r="B64" s="1" t="s">
        <v>115</v>
      </c>
      <c r="C64" s="1" t="s">
        <v>31</v>
      </c>
      <c r="D64" s="2">
        <v>54.610999999999997</v>
      </c>
      <c r="E64" s="2">
        <v>-126.136</v>
      </c>
      <c r="F64" s="1">
        <v>260</v>
      </c>
      <c r="G64" s="1" t="s">
        <v>23</v>
      </c>
      <c r="H64" s="2">
        <v>62.4</v>
      </c>
      <c r="I64" s="2">
        <v>765.95687999999996</v>
      </c>
      <c r="J64" s="2">
        <v>74.242169125861622</v>
      </c>
      <c r="K64" s="2" t="s">
        <v>23</v>
      </c>
      <c r="L64" s="2">
        <v>3.5213208007799999</v>
      </c>
      <c r="M64" s="2">
        <v>98.315343749999997</v>
      </c>
      <c r="N64" s="2">
        <f>Table1[[#This Row],[R1 Length (km)]]+Table1[[#This Row],[T1 Length (km)]]</f>
        <v>101.83666455078</v>
      </c>
      <c r="O64" s="1">
        <v>230</v>
      </c>
      <c r="P64" s="1" t="s">
        <v>116</v>
      </c>
      <c r="Q64" s="1">
        <v>113</v>
      </c>
      <c r="R64" s="9" t="s">
        <v>23</v>
      </c>
      <c r="S64" s="9" t="s">
        <v>23</v>
      </c>
      <c r="T64" s="9">
        <f>((PI()*(45^2))*Table1[[#This Row],[Number of Turbines - WIND]])/10000</f>
        <v>71.887493895768429</v>
      </c>
      <c r="U64" s="20">
        <f>1369+672.1247</f>
        <v>2041.1246999999998</v>
      </c>
      <c r="V64" s="20">
        <f>Table1[[#This Row],[Raw Terrestrial Score]]/Table1[[#This Row],[Summed Raw Scores]]</f>
        <v>0.42906210064294842</v>
      </c>
      <c r="W64" s="20">
        <f>661.0531+2055</f>
        <v>2716.0531000000001</v>
      </c>
      <c r="X64" s="20">
        <f>Table1[[#This Row],[Raw Freshwater Score]]/Table1[[#This Row],[Summed Raw Scores]]</f>
        <v>0.57093789935705164</v>
      </c>
      <c r="Y64" s="20">
        <f>Table1[[#This Row],[Raw Terrestrial Score]]+Table1[[#This Row],[Raw Freshwater Score]]</f>
        <v>4757.1777999999995</v>
      </c>
      <c r="Z64" s="18">
        <f>Table1[[#This Row],[Terrestrial % of Summed Score]]*Table1[[#This Row],[Scaled Summed Score]]</f>
        <v>8.6695960505081202E-2</v>
      </c>
      <c r="AA64" s="18">
        <f>Table1[[#This Row],[Freshwater % of Summed Score]]*Table1[[#This Row],[Scaled Summed Score]]</f>
        <v>0.1153632760836726</v>
      </c>
      <c r="AB64" s="18">
        <f>(Table1[[#This Row],[Summed Raw Scores]]-MIN(Table1[Summed Raw Scores]))/(MAX(Table1[Summed Raw Scores])-MIN(Table1[Summed Raw Scores]))</f>
        <v>0.2020592365887538</v>
      </c>
      <c r="AC64" s="9"/>
    </row>
    <row r="65" spans="1:29" x14ac:dyDescent="0.3">
      <c r="A65" s="1" t="s">
        <v>197</v>
      </c>
      <c r="B65" s="1" t="s">
        <v>115</v>
      </c>
      <c r="C65" s="1" t="s">
        <v>88</v>
      </c>
      <c r="D65" s="2">
        <v>50.018305660000003</v>
      </c>
      <c r="E65" s="2">
        <v>-118.79677030000001</v>
      </c>
      <c r="F65" s="2">
        <v>162</v>
      </c>
      <c r="G65" s="1" t="s">
        <v>23</v>
      </c>
      <c r="H65" s="2">
        <v>56.4</v>
      </c>
      <c r="I65" s="2">
        <v>618.81515999999988</v>
      </c>
      <c r="J65" s="2">
        <v>85.512634441569176</v>
      </c>
      <c r="K65" s="2" t="s">
        <v>23</v>
      </c>
      <c r="L65" s="2">
        <v>1</v>
      </c>
      <c r="M65" s="2">
        <v>66.8</v>
      </c>
      <c r="N65" s="2">
        <f>Table1[[#This Row],[R1 Length (km)]]+Table1[[#This Row],[T1 Length (km)]]</f>
        <v>67.8</v>
      </c>
      <c r="O65" s="1">
        <v>230</v>
      </c>
      <c r="P65" s="1" t="s">
        <v>116</v>
      </c>
      <c r="Q65" s="1">
        <v>47</v>
      </c>
      <c r="R65" s="9" t="s">
        <v>23</v>
      </c>
      <c r="S65" s="9" t="s">
        <v>23</v>
      </c>
      <c r="T65" s="9">
        <f>((PI()*(45^2))*Table1[[#This Row],[Number of Turbines - WIND]])/10000</f>
        <v>29.900108080540853</v>
      </c>
      <c r="U65" s="20">
        <f>2008+342.9241</f>
        <v>2350.9241000000002</v>
      </c>
      <c r="V65" s="20">
        <f>Table1[[#This Row],[Raw Terrestrial Score]]/Table1[[#This Row],[Summed Raw Scores]]</f>
        <v>0.49839043946460498</v>
      </c>
      <c r="W65" s="20">
        <f>385.1088+1981</f>
        <v>2366.1088</v>
      </c>
      <c r="X65" s="20">
        <f>Table1[[#This Row],[Raw Freshwater Score]]/Table1[[#This Row],[Summed Raw Scores]]</f>
        <v>0.50160956053539496</v>
      </c>
      <c r="Y65" s="20">
        <f>Table1[[#This Row],[Raw Terrestrial Score]]+Table1[[#This Row],[Raw Freshwater Score]]</f>
        <v>4717.0329000000002</v>
      </c>
      <c r="Z65" s="18">
        <f>Table1[[#This Row],[Terrestrial % of Summed Score]]*Table1[[#This Row],[Scaled Summed Score]]</f>
        <v>9.9852058558716525E-2</v>
      </c>
      <c r="AA65" s="18">
        <f>Table1[[#This Row],[Freshwater % of Summed Score]]*Table1[[#This Row],[Scaled Summed Score]]</f>
        <v>0.10049700645541659</v>
      </c>
      <c r="AB65" s="18">
        <f>(Table1[[#This Row],[Summed Raw Scores]]-MIN(Table1[Summed Raw Scores]))/(MAX(Table1[Summed Raw Scores])-MIN(Table1[Summed Raw Scores]))</f>
        <v>0.20034906501413313</v>
      </c>
      <c r="AC65" s="9"/>
    </row>
    <row r="66" spans="1:29" x14ac:dyDescent="0.3">
      <c r="A66" s="1" t="s">
        <v>186</v>
      </c>
      <c r="B66" s="1" t="s">
        <v>115</v>
      </c>
      <c r="C66" s="1" t="s">
        <v>26</v>
      </c>
      <c r="D66" s="2">
        <v>50.930347140000002</v>
      </c>
      <c r="E66" s="2">
        <v>-121.1762619</v>
      </c>
      <c r="F66" s="2">
        <v>69</v>
      </c>
      <c r="G66" s="1" t="s">
        <v>23</v>
      </c>
      <c r="H66" s="2">
        <v>16.8</v>
      </c>
      <c r="I66" s="2">
        <v>169.12056000000001</v>
      </c>
      <c r="J66" s="2">
        <v>109.20568239922603</v>
      </c>
      <c r="K66" s="2" t="s">
        <v>23</v>
      </c>
      <c r="L66" s="2">
        <v>0.1</v>
      </c>
      <c r="M66" s="2">
        <v>35.428636718749999</v>
      </c>
      <c r="N66" s="2">
        <f>Table1[[#This Row],[R1 Length (km)]]+Table1[[#This Row],[T1 Length (km)]]</f>
        <v>35.528636718750001</v>
      </c>
      <c r="O66" s="1">
        <v>130</v>
      </c>
      <c r="P66" s="1" t="s">
        <v>116</v>
      </c>
      <c r="Q66" s="1">
        <v>14</v>
      </c>
      <c r="R66" s="9" t="s">
        <v>23</v>
      </c>
      <c r="S66" s="9" t="s">
        <v>23</v>
      </c>
      <c r="T66" s="9">
        <f>((PI()*(45^2))*Table1[[#This Row],[Number of Turbines - WIND]])/10000</f>
        <v>8.906415172927062</v>
      </c>
      <c r="U66" s="20">
        <f>2203+104.6092</f>
        <v>2307.6091999999999</v>
      </c>
      <c r="V66" s="20">
        <f>Table1[[#This Row],[Raw Terrestrial Score]]/Table1[[#This Row],[Summed Raw Scores]]</f>
        <v>0.49006130290776917</v>
      </c>
      <c r="W66" s="20">
        <f>96.20822+2305</f>
        <v>2401.20822</v>
      </c>
      <c r="X66" s="20">
        <f>Table1[[#This Row],[Raw Freshwater Score]]/Table1[[#This Row],[Summed Raw Scores]]</f>
        <v>0.50993869709223094</v>
      </c>
      <c r="Y66" s="20">
        <f>Table1[[#This Row],[Raw Terrestrial Score]]+Table1[[#This Row],[Raw Freshwater Score]]</f>
        <v>4708.8174199999994</v>
      </c>
      <c r="Z66" s="18">
        <f>Table1[[#This Row],[Terrestrial % of Summed Score]]*Table1[[#This Row],[Scaled Summed Score]]</f>
        <v>9.8011812569776244E-2</v>
      </c>
      <c r="AA66" s="18">
        <f>Table1[[#This Row],[Freshwater % of Summed Score]]*Table1[[#This Row],[Scaled Summed Score]]</f>
        <v>0.10198727323484673</v>
      </c>
      <c r="AB66" s="18">
        <f>(Table1[[#This Row],[Summed Raw Scores]]-MIN(Table1[Summed Raw Scores]))/(MAX(Table1[Summed Raw Scores])-MIN(Table1[Summed Raw Scores]))</f>
        <v>0.19999908580462294</v>
      </c>
      <c r="AC66" s="9"/>
    </row>
    <row r="67" spans="1:29" x14ac:dyDescent="0.3">
      <c r="A67" s="1" t="s">
        <v>209</v>
      </c>
      <c r="B67" s="1" t="s">
        <v>115</v>
      </c>
      <c r="C67" s="1" t="s">
        <v>26</v>
      </c>
      <c r="D67" s="2">
        <v>49.23297204</v>
      </c>
      <c r="E67" s="2">
        <v>-120.2964695</v>
      </c>
      <c r="F67" s="2">
        <v>144</v>
      </c>
      <c r="G67" s="1" t="s">
        <v>23</v>
      </c>
      <c r="H67" s="2">
        <v>34.799999999999997</v>
      </c>
      <c r="I67" s="2">
        <v>372.04158000000001</v>
      </c>
      <c r="J67" s="2">
        <v>100.9320839148305</v>
      </c>
      <c r="K67" s="2" t="s">
        <v>23</v>
      </c>
      <c r="L67" s="2">
        <v>9.308326171880001</v>
      </c>
      <c r="M67" s="2">
        <v>90.772703125000007</v>
      </c>
      <c r="N67" s="2">
        <f>Table1[[#This Row],[R1 Length (km)]]+Table1[[#This Row],[T1 Length (km)]]</f>
        <v>100.08102929688</v>
      </c>
      <c r="O67" s="1">
        <v>130</v>
      </c>
      <c r="P67" s="1" t="s">
        <v>116</v>
      </c>
      <c r="Q67" s="1">
        <v>29</v>
      </c>
      <c r="R67" s="9" t="s">
        <v>23</v>
      </c>
      <c r="S67" s="9" t="s">
        <v>23</v>
      </c>
      <c r="T67" s="9">
        <f>((PI()*(45^2))*Table1[[#This Row],[Number of Turbines - WIND]])/10000</f>
        <v>18.449002858206061</v>
      </c>
      <c r="U67" s="20">
        <f>3590+71.53873</f>
        <v>3661.5387300000002</v>
      </c>
      <c r="V67" s="20">
        <f>Table1[[#This Row],[Raw Terrestrial Score]]/Table1[[#This Row],[Summed Raw Scores]]</f>
        <v>0.77863021236616159</v>
      </c>
      <c r="W67" s="20">
        <v>1041</v>
      </c>
      <c r="X67" s="20">
        <f>Table1[[#This Row],[Raw Freshwater Score]]/Table1[[#This Row],[Summed Raw Scores]]</f>
        <v>0.22136978763383836</v>
      </c>
      <c r="Y67" s="20">
        <f>Table1[[#This Row],[Raw Terrestrial Score]]+Table1[[#This Row],[Raw Freshwater Score]]</f>
        <v>4702.5387300000002</v>
      </c>
      <c r="Z67" s="18">
        <f>Table1[[#This Row],[Terrestrial % of Summed Score]]*Table1[[#This Row],[Scaled Summed Score]]</f>
        <v>0.15551706886379341</v>
      </c>
      <c r="AA67" s="18">
        <f>Table1[[#This Row],[Freshwater % of Summed Score]]*Table1[[#This Row],[Scaled Summed Score]]</f>
        <v>4.4214544929095677E-2</v>
      </c>
      <c r="AB67" s="18">
        <f>(Table1[[#This Row],[Summed Raw Scores]]-MIN(Table1[Summed Raw Scores]))/(MAX(Table1[Summed Raw Scores])-MIN(Table1[Summed Raw Scores]))</f>
        <v>0.19973161379288909</v>
      </c>
      <c r="AC67" s="9"/>
    </row>
    <row r="68" spans="1:29" x14ac:dyDescent="0.3">
      <c r="A68" s="1" t="s">
        <v>49</v>
      </c>
      <c r="B68" s="1" t="s">
        <v>43</v>
      </c>
      <c r="C68" s="1" t="s">
        <v>31</v>
      </c>
      <c r="D68" s="2">
        <v>54.183812750400001</v>
      </c>
      <c r="E68" s="2">
        <v>-127.97489492699999</v>
      </c>
      <c r="F68" s="2">
        <v>1000</v>
      </c>
      <c r="G68" s="2" t="s">
        <v>23</v>
      </c>
      <c r="H68" s="2">
        <v>1000</v>
      </c>
      <c r="I68" s="2" t="s">
        <v>23</v>
      </c>
      <c r="J68" s="2" t="s">
        <v>23</v>
      </c>
      <c r="K68" s="13">
        <v>182.65150565656566</v>
      </c>
      <c r="L68" s="11">
        <v>3.0727922061400563</v>
      </c>
      <c r="M68" s="9">
        <v>55.326406871194145</v>
      </c>
      <c r="N68" s="9">
        <f>Table1[[#This Row],[R1 Length (km)]]+Table1[[#This Row],[T1 Length (km)]]</f>
        <v>58.399199077334202</v>
      </c>
      <c r="O68" s="3">
        <v>500</v>
      </c>
      <c r="P68" s="3" t="s">
        <v>23</v>
      </c>
      <c r="Q68" s="3" t="s">
        <v>23</v>
      </c>
      <c r="R68" s="9" t="s">
        <v>23</v>
      </c>
      <c r="S68" s="9" t="s">
        <v>23</v>
      </c>
      <c r="T68" s="9">
        <v>55.33</v>
      </c>
      <c r="U68" s="20">
        <v>2612</v>
      </c>
      <c r="V68" s="20">
        <f>Table1[[#This Row],[Raw Terrestrial Score]]/Table1[[#This Row],[Summed Raw Scores]]</f>
        <v>0.55871657754010695</v>
      </c>
      <c r="W68" s="20">
        <v>2063</v>
      </c>
      <c r="X68" s="20">
        <f>Table1[[#This Row],[Raw Freshwater Score]]/Table1[[#This Row],[Summed Raw Scores]]</f>
        <v>0.44128342245989305</v>
      </c>
      <c r="Y68" s="20">
        <f>Table1[[#This Row],[Raw Terrestrial Score]]+Table1[[#This Row],[Raw Freshwater Score]]</f>
        <v>4675</v>
      </c>
      <c r="Z68" s="18">
        <f>Table1[[#This Row],[Terrestrial % of Summed Score]]*Table1[[#This Row],[Scaled Summed Score]]</f>
        <v>0.11093790583562853</v>
      </c>
      <c r="AA68" s="18">
        <f>Table1[[#This Row],[Freshwater % of Summed Score]]*Table1[[#This Row],[Scaled Summed Score]]</f>
        <v>8.7620558858691286E-2</v>
      </c>
      <c r="AB68" s="18">
        <f>(Table1[[#This Row],[Summed Raw Scores]]-MIN(Table1[Summed Raw Scores]))/(MAX(Table1[Summed Raw Scores])-MIN(Table1[Summed Raw Scores]))</f>
        <v>0.19855846469431981</v>
      </c>
      <c r="AC68" s="9"/>
    </row>
    <row r="69" spans="1:29" x14ac:dyDescent="0.3">
      <c r="A69" s="1" t="s">
        <v>150</v>
      </c>
      <c r="B69" s="1" t="s">
        <v>115</v>
      </c>
      <c r="C69" s="1" t="s">
        <v>28</v>
      </c>
      <c r="D69" s="2">
        <v>56.747592869999998</v>
      </c>
      <c r="E69" s="2">
        <v>-122.8784138</v>
      </c>
      <c r="F69" s="2">
        <v>39</v>
      </c>
      <c r="G69" s="1" t="s">
        <v>23</v>
      </c>
      <c r="H69" s="2">
        <v>9.6</v>
      </c>
      <c r="I69" s="2">
        <v>140.82575999999997</v>
      </c>
      <c r="J69" s="2">
        <v>121.98573541611616</v>
      </c>
      <c r="K69" s="2" t="s">
        <v>23</v>
      </c>
      <c r="L69" s="2">
        <v>11.612484374999999</v>
      </c>
      <c r="M69" s="2">
        <v>101.4219453125</v>
      </c>
      <c r="N69" s="2">
        <f>Table1[[#This Row],[R1 Length (km)]]+Table1[[#This Row],[T1 Length (km)]]</f>
        <v>113.03442968749999</v>
      </c>
      <c r="O69" s="1">
        <v>130</v>
      </c>
      <c r="P69" s="1" t="s">
        <v>137</v>
      </c>
      <c r="Q69" s="3" t="s">
        <v>23</v>
      </c>
      <c r="R69" s="9" t="s">
        <v>23</v>
      </c>
      <c r="S69" s="9" t="s">
        <v>23</v>
      </c>
      <c r="T69" s="9">
        <f>883905/10000</f>
        <v>88.390500000000003</v>
      </c>
      <c r="U69" s="20">
        <v>3083</v>
      </c>
      <c r="V69" s="20">
        <f>Table1[[#This Row],[Raw Terrestrial Score]]/Table1[[#This Row],[Summed Raw Scores]]</f>
        <v>0.67021739130434788</v>
      </c>
      <c r="W69" s="20">
        <v>1517</v>
      </c>
      <c r="X69" s="20">
        <f>Table1[[#This Row],[Raw Freshwater Score]]/Table1[[#This Row],[Summed Raw Scores]]</f>
        <v>0.32978260869565218</v>
      </c>
      <c r="Y69" s="20">
        <f>Table1[[#This Row],[Raw Terrestrial Score]]+Table1[[#This Row],[Raw Freshwater Score]]</f>
        <v>4600</v>
      </c>
      <c r="Z69" s="18">
        <f>Table1[[#This Row],[Terrestrial % of Summed Score]]*Table1[[#This Row],[Scaled Summed Score]]</f>
        <v>0.13093599312280294</v>
      </c>
      <c r="AA69" s="18">
        <f>Table1[[#This Row],[Freshwater % of Summed Score]]*Table1[[#This Row],[Scaled Summed Score]]</f>
        <v>6.4427473748716199E-2</v>
      </c>
      <c r="AB69" s="18">
        <f>(Table1[[#This Row],[Summed Raw Scores]]-MIN(Table1[Summed Raw Scores]))/(MAX(Table1[Summed Raw Scores])-MIN(Table1[Summed Raw Scores]))</f>
        <v>0.19536346687151912</v>
      </c>
      <c r="AC69" s="9"/>
    </row>
    <row r="70" spans="1:29" x14ac:dyDescent="0.3">
      <c r="A70" s="1" t="s">
        <v>187</v>
      </c>
      <c r="B70" s="1" t="s">
        <v>115</v>
      </c>
      <c r="C70" s="1" t="s">
        <v>26</v>
      </c>
      <c r="D70" s="2">
        <v>51.02296982</v>
      </c>
      <c r="E70" s="2">
        <v>-121.1465226</v>
      </c>
      <c r="F70" s="2">
        <v>150</v>
      </c>
      <c r="G70" s="1" t="s">
        <v>23</v>
      </c>
      <c r="H70" s="2">
        <v>36.479999999999997</v>
      </c>
      <c r="I70" s="2">
        <v>392.26579199999998</v>
      </c>
      <c r="J70" s="2">
        <v>86.678770695404879</v>
      </c>
      <c r="K70" s="2" t="s">
        <v>23</v>
      </c>
      <c r="L70" s="2">
        <v>0.1</v>
      </c>
      <c r="M70" s="2">
        <v>43</v>
      </c>
      <c r="N70" s="2">
        <f>Table1[[#This Row],[R1 Length (km)]]+Table1[[#This Row],[T1 Length (km)]]</f>
        <v>43.1</v>
      </c>
      <c r="O70" s="1">
        <v>130</v>
      </c>
      <c r="P70" s="1" t="s">
        <v>116</v>
      </c>
      <c r="Q70" s="1">
        <v>30</v>
      </c>
      <c r="R70" s="9" t="s">
        <v>23</v>
      </c>
      <c r="S70" s="9" t="s">
        <v>23</v>
      </c>
      <c r="T70" s="9">
        <f>((PI()*(45^2))*Table1[[#This Row],[Number of Turbines - WIND]])/10000</f>
        <v>19.085175370557995</v>
      </c>
      <c r="U70" s="20">
        <f>2362+213.4146</f>
        <v>2575.4146000000001</v>
      </c>
      <c r="V70" s="20">
        <f>Table1[[#This Row],[Raw Terrestrial Score]]/Table1[[#This Row],[Summed Raw Scores]]</f>
        <v>0.56251062045657418</v>
      </c>
      <c r="W70" s="20">
        <f>199.0138+1804</f>
        <v>2003.0137999999999</v>
      </c>
      <c r="X70" s="20">
        <f>Table1[[#This Row],[Raw Freshwater Score]]/Table1[[#This Row],[Summed Raw Scores]]</f>
        <v>0.43748937954342587</v>
      </c>
      <c r="Y70" s="20">
        <f>Table1[[#This Row],[Raw Terrestrial Score]]+Table1[[#This Row],[Raw Freshwater Score]]</f>
        <v>4578.4283999999998</v>
      </c>
      <c r="Z70" s="18">
        <f>Table1[[#This Row],[Terrestrial % of Summed Score]]*Table1[[#This Row],[Scaled Summed Score]]</f>
        <v>0.10937710609202453</v>
      </c>
      <c r="AA70" s="18">
        <f>Table1[[#This Row],[Freshwater % of Summed Score]]*Table1[[#This Row],[Scaled Summed Score]]</f>
        <v>8.5067411245703578E-2</v>
      </c>
      <c r="AB70" s="18">
        <f>(Table1[[#This Row],[Summed Raw Scores]]-MIN(Table1[Summed Raw Scores]))/(MAX(Table1[Summed Raw Scores])-MIN(Table1[Summed Raw Scores]))</f>
        <v>0.19444451733772811</v>
      </c>
      <c r="AC70" s="9"/>
    </row>
    <row r="71" spans="1:29" x14ac:dyDescent="0.3">
      <c r="A71" s="1" t="s">
        <v>154</v>
      </c>
      <c r="B71" s="1" t="s">
        <v>115</v>
      </c>
      <c r="C71" s="1" t="s">
        <v>28</v>
      </c>
      <c r="D71" s="2">
        <v>54.532078400000003</v>
      </c>
      <c r="E71" s="2">
        <v>-120.0978831</v>
      </c>
      <c r="F71" s="2">
        <v>96</v>
      </c>
      <c r="G71" s="1" t="s">
        <v>23</v>
      </c>
      <c r="H71" s="2">
        <v>22.8</v>
      </c>
      <c r="I71" s="9">
        <v>344.44758000000002</v>
      </c>
      <c r="J71" s="9">
        <v>80.359901262891157</v>
      </c>
      <c r="K71" s="2" t="s">
        <v>23</v>
      </c>
      <c r="L71" s="2">
        <v>14.8</v>
      </c>
      <c r="M71" s="2">
        <v>97.7</v>
      </c>
      <c r="N71" s="2">
        <f>Table1[[#This Row],[R1 Length (km)]]+Table1[[#This Row],[T1 Length (km)]]</f>
        <v>112.5</v>
      </c>
      <c r="O71" s="1">
        <v>230</v>
      </c>
      <c r="P71" s="1" t="s">
        <v>137</v>
      </c>
      <c r="Q71" s="3" t="s">
        <v>23</v>
      </c>
      <c r="R71" s="9" t="s">
        <v>23</v>
      </c>
      <c r="S71" s="9" t="s">
        <v>23</v>
      </c>
      <c r="T71" s="9">
        <v>12.09</v>
      </c>
      <c r="U71" s="20">
        <v>2640</v>
      </c>
      <c r="V71" s="20">
        <f>Table1[[#This Row],[Raw Terrestrial Score]]/Table1[[#This Row],[Summed Raw Scores]]</f>
        <v>0.58968058968058967</v>
      </c>
      <c r="W71" s="20">
        <v>1837</v>
      </c>
      <c r="X71" s="20">
        <f>Table1[[#This Row],[Raw Freshwater Score]]/Table1[[#This Row],[Summed Raw Scores]]</f>
        <v>0.41031941031941033</v>
      </c>
      <c r="Y71" s="20">
        <f>Table1[[#This Row],[Raw Terrestrial Score]]+Table1[[#This Row],[Raw Freshwater Score]]</f>
        <v>4477</v>
      </c>
      <c r="Z71" s="18">
        <f>Table1[[#This Row],[Terrestrial % of Summed Score]]*Table1[[#This Row],[Scaled Summed Score]]</f>
        <v>0.11211223809855098</v>
      </c>
      <c r="AA71" s="18">
        <f>Table1[[#This Row],[Freshwater % of Summed Score]]*Table1[[#This Row],[Scaled Summed Score]]</f>
        <v>7.8011432343575049E-2</v>
      </c>
      <c r="AB71" s="18">
        <f>(Table1[[#This Row],[Summed Raw Scores]]-MIN(Table1[Summed Raw Scores]))/(MAX(Table1[Summed Raw Scores])-MIN(Table1[Summed Raw Scores]))</f>
        <v>0.19012367044212602</v>
      </c>
      <c r="AC71" s="9"/>
    </row>
    <row r="72" spans="1:29" x14ac:dyDescent="0.3">
      <c r="A72" s="1" t="s">
        <v>151</v>
      </c>
      <c r="B72" s="1" t="s">
        <v>115</v>
      </c>
      <c r="C72" s="1" t="s">
        <v>28</v>
      </c>
      <c r="D72" s="2">
        <v>56.576144149999998</v>
      </c>
      <c r="E72" s="2">
        <v>-122.7750882</v>
      </c>
      <c r="F72" s="2">
        <v>207</v>
      </c>
      <c r="G72" s="1" t="s">
        <v>23</v>
      </c>
      <c r="H72" s="2">
        <v>49.199999999999996</v>
      </c>
      <c r="I72" s="2">
        <v>849.41339999999991</v>
      </c>
      <c r="J72" s="2">
        <v>65.79728571598406</v>
      </c>
      <c r="K72" s="2" t="s">
        <v>23</v>
      </c>
      <c r="L72" s="2">
        <v>3.5870061035200003</v>
      </c>
      <c r="M72" s="2">
        <v>101.32417968750001</v>
      </c>
      <c r="N72" s="2">
        <f>Table1[[#This Row],[R1 Length (km)]]+Table1[[#This Row],[T1 Length (km)]]</f>
        <v>104.91118579102</v>
      </c>
      <c r="O72" s="1">
        <v>230</v>
      </c>
      <c r="P72" s="1" t="s">
        <v>137</v>
      </c>
      <c r="Q72" s="3" t="s">
        <v>23</v>
      </c>
      <c r="R72" s="9" t="s">
        <v>23</v>
      </c>
      <c r="S72" s="9" t="s">
        <v>23</v>
      </c>
      <c r="T72" s="9">
        <v>26.08</v>
      </c>
      <c r="U72" s="20">
        <v>2800</v>
      </c>
      <c r="V72" s="20">
        <f>Table1[[#This Row],[Raw Terrestrial Score]]/Table1[[#This Row],[Summed Raw Scores]]</f>
        <v>0.63319764812302126</v>
      </c>
      <c r="W72" s="20">
        <v>1622</v>
      </c>
      <c r="X72" s="20">
        <f>Table1[[#This Row],[Raw Freshwater Score]]/Table1[[#This Row],[Summed Raw Scores]]</f>
        <v>0.36680235187697874</v>
      </c>
      <c r="Y72" s="20">
        <f>Table1[[#This Row],[Raw Terrestrial Score]]+Table1[[#This Row],[Raw Freshwater Score]]</f>
        <v>4422</v>
      </c>
      <c r="Z72" s="18">
        <f>Table1[[#This Row],[Terrestrial % of Summed Score]]*Table1[[#This Row],[Scaled Summed Score]]</f>
        <v>0.11890227989788982</v>
      </c>
      <c r="AA72" s="18">
        <f>Table1[[#This Row],[Freshwater % of Summed Score]]*Table1[[#This Row],[Scaled Summed Score]]</f>
        <v>6.8878392140849037E-2</v>
      </c>
      <c r="AB72" s="18">
        <f>(Table1[[#This Row],[Summed Raw Scores]]-MIN(Table1[Summed Raw Scores]))/(MAX(Table1[Summed Raw Scores])-MIN(Table1[Summed Raw Scores]))</f>
        <v>0.18778067203873886</v>
      </c>
      <c r="AC72" s="9"/>
    </row>
    <row r="73" spans="1:29" x14ac:dyDescent="0.3">
      <c r="A73" s="1" t="s">
        <v>101</v>
      </c>
      <c r="B73" s="1" t="s">
        <v>98</v>
      </c>
      <c r="C73" s="1" t="s">
        <v>33</v>
      </c>
      <c r="D73" s="11">
        <v>50.11</v>
      </c>
      <c r="E73" s="11">
        <v>-123.4</v>
      </c>
      <c r="F73" s="2">
        <v>63.9</v>
      </c>
      <c r="G73" s="2">
        <v>40</v>
      </c>
      <c r="H73" s="2">
        <v>9</v>
      </c>
      <c r="I73" s="13">
        <v>325.89999999999998</v>
      </c>
      <c r="J73" s="13">
        <v>85.147334930927542</v>
      </c>
      <c r="K73" s="2" t="s">
        <v>23</v>
      </c>
      <c r="L73" s="11">
        <v>0</v>
      </c>
      <c r="M73" s="9">
        <v>43.755844122716695</v>
      </c>
      <c r="N73" s="9">
        <f>Table1[[#This Row],[R1 Length (km)]]+Table1[[#This Row],[T1 Length (km)]]</f>
        <v>43.755844122716695</v>
      </c>
      <c r="O73" s="3">
        <v>130</v>
      </c>
      <c r="P73" s="3" t="s">
        <v>23</v>
      </c>
      <c r="Q73" s="3" t="s">
        <v>23</v>
      </c>
      <c r="R73" s="9" t="s">
        <v>23</v>
      </c>
      <c r="S73" s="9" t="s">
        <v>23</v>
      </c>
      <c r="T73" s="9">
        <v>43.76</v>
      </c>
      <c r="U73" s="20">
        <v>1720</v>
      </c>
      <c r="V73" s="20">
        <f>Table1[[#This Row],[Raw Terrestrial Score]]/Table1[[#This Row],[Summed Raw Scores]]</f>
        <v>0.39206747207658993</v>
      </c>
      <c r="W73" s="20">
        <v>2667</v>
      </c>
      <c r="X73" s="20">
        <f>Table1[[#This Row],[Raw Freshwater Score]]/Table1[[#This Row],[Summed Raw Scores]]</f>
        <v>0.60793252792341013</v>
      </c>
      <c r="Y73" s="20">
        <f>Table1[[#This Row],[Raw Terrestrial Score]]+Table1[[#This Row],[Raw Freshwater Score]]</f>
        <v>4387</v>
      </c>
      <c r="Z73" s="18">
        <f>Table1[[#This Row],[Terrestrial % of Summed Score]]*Table1[[#This Row],[Scaled Summed Score]]</f>
        <v>7.303812118855621E-2</v>
      </c>
      <c r="AA73" s="18">
        <f>Table1[[#This Row],[Freshwater % of Summed Score]]*Table1[[#This Row],[Scaled Summed Score]]</f>
        <v>0.11325155186620897</v>
      </c>
      <c r="AB73" s="18">
        <f>(Table1[[#This Row],[Summed Raw Scores]]-MIN(Table1[Summed Raw Scores]))/(MAX(Table1[Summed Raw Scores])-MIN(Table1[Summed Raw Scores]))</f>
        <v>0.18628967305476518</v>
      </c>
      <c r="AC73" s="9"/>
    </row>
    <row r="74" spans="1:29" x14ac:dyDescent="0.3">
      <c r="A74" s="1" t="s">
        <v>152</v>
      </c>
      <c r="B74" s="1" t="s">
        <v>115</v>
      </c>
      <c r="C74" s="1" t="s">
        <v>28</v>
      </c>
      <c r="D74" s="12">
        <v>56.4503433</v>
      </c>
      <c r="E74" s="12">
        <v>-122.62548390000001</v>
      </c>
      <c r="F74" s="2">
        <v>297</v>
      </c>
      <c r="G74" s="1" t="s">
        <v>23</v>
      </c>
      <c r="H74" s="9">
        <v>70.8</v>
      </c>
      <c r="I74" s="9">
        <v>1239.1238999999998</v>
      </c>
      <c r="J74" s="9">
        <v>55.402836873971559</v>
      </c>
      <c r="K74" s="2" t="s">
        <v>23</v>
      </c>
      <c r="L74" s="2">
        <v>1.7</v>
      </c>
      <c r="M74" s="2">
        <v>82.7</v>
      </c>
      <c r="N74" s="2">
        <f>Table1[[#This Row],[R1 Length (km)]]+Table1[[#This Row],[T1 Length (km)]]</f>
        <v>84.4</v>
      </c>
      <c r="O74" s="1">
        <v>230</v>
      </c>
      <c r="P74" s="1" t="s">
        <v>137</v>
      </c>
      <c r="Q74" s="3" t="s">
        <v>23</v>
      </c>
      <c r="R74" s="9" t="s">
        <v>23</v>
      </c>
      <c r="S74" s="9" t="s">
        <v>23</v>
      </c>
      <c r="T74" s="9">
        <v>37.53</v>
      </c>
      <c r="U74" s="20">
        <v>2551</v>
      </c>
      <c r="V74" s="20">
        <f>Table1[[#This Row],[Raw Terrestrial Score]]/Table1[[#This Row],[Summed Raw Scores]]</f>
        <v>0.60150907804763032</v>
      </c>
      <c r="W74" s="20">
        <v>1690</v>
      </c>
      <c r="X74" s="20">
        <f>Table1[[#This Row],[Raw Freshwater Score]]/Table1[[#This Row],[Summed Raw Scores]]</f>
        <v>0.39849092195236974</v>
      </c>
      <c r="Y74" s="20">
        <f>Table1[[#This Row],[Raw Terrestrial Score]]+Table1[[#This Row],[Raw Freshwater Score]]</f>
        <v>4241</v>
      </c>
      <c r="Z74" s="18">
        <f>Table1[[#This Row],[Terrestrial % of Summed Score]]*Table1[[#This Row],[Scaled Summed Score]]</f>
        <v>0.10831378617650594</v>
      </c>
      <c r="AA74" s="18">
        <f>Table1[[#This Row],[Freshwater % of Summed Score]]*Table1[[#This Row],[Scaled Summed Score]]</f>
        <v>7.1756291116540583E-2</v>
      </c>
      <c r="AB74" s="18">
        <f>(Table1[[#This Row],[Summed Raw Scores]]-MIN(Table1[Summed Raw Scores]))/(MAX(Table1[Summed Raw Scores])-MIN(Table1[Summed Raw Scores]))</f>
        <v>0.18007007729304653</v>
      </c>
      <c r="AC74" s="9"/>
    </row>
    <row r="75" spans="1:29" x14ac:dyDescent="0.3">
      <c r="A75" s="1" t="s">
        <v>210</v>
      </c>
      <c r="B75" s="1" t="s">
        <v>115</v>
      </c>
      <c r="C75" s="1" t="s">
        <v>41</v>
      </c>
      <c r="D75" s="2">
        <v>49.587992069999999</v>
      </c>
      <c r="E75" s="2">
        <v>-119.3495849</v>
      </c>
      <c r="F75" s="2">
        <v>48</v>
      </c>
      <c r="G75" s="1" t="s">
        <v>23</v>
      </c>
      <c r="H75" s="2">
        <v>12</v>
      </c>
      <c r="I75" s="2">
        <v>120.1434</v>
      </c>
      <c r="J75" s="2">
        <v>114.20171138822596</v>
      </c>
      <c r="K75" s="2" t="s">
        <v>23</v>
      </c>
      <c r="L75" s="2">
        <v>0.52426403808599997</v>
      </c>
      <c r="M75" s="2">
        <v>57.958789062500003</v>
      </c>
      <c r="N75" s="2">
        <f>Table1[[#This Row],[R1 Length (km)]]+Table1[[#This Row],[T1 Length (km)]]</f>
        <v>58.483053100586005</v>
      </c>
      <c r="O75" s="1">
        <v>69</v>
      </c>
      <c r="P75" s="1" t="s">
        <v>116</v>
      </c>
      <c r="Q75" s="1">
        <v>10</v>
      </c>
      <c r="R75" s="9" t="s">
        <v>23</v>
      </c>
      <c r="S75" s="9" t="s">
        <v>23</v>
      </c>
      <c r="T75" s="9">
        <f>((PI()*(45^2))*Table1[[#This Row],[Number of Turbines - WIND]])/10000</f>
        <v>6.3617251235193315</v>
      </c>
      <c r="U75" s="20">
        <f>2847+20.7056</f>
        <v>2867.7055999999998</v>
      </c>
      <c r="V75" s="20">
        <f>Table1[[#This Row],[Raw Terrestrial Score]]/Table1[[#This Row],[Summed Raw Scores]]</f>
        <v>0.67800605402876113</v>
      </c>
      <c r="W75" s="20">
        <f>28.91091+1333</f>
        <v>1361.9109100000001</v>
      </c>
      <c r="X75" s="20">
        <f>Table1[[#This Row],[Raw Freshwater Score]]/Table1[[#This Row],[Summed Raw Scores]]</f>
        <v>0.32199394597123893</v>
      </c>
      <c r="Y75" s="20">
        <f>Table1[[#This Row],[Raw Terrestrial Score]]+Table1[[#This Row],[Raw Freshwater Score]]</f>
        <v>4229.6165099999998</v>
      </c>
      <c r="Z75" s="18">
        <f>Table1[[#This Row],[Terrestrial % of Summed Score]]*Table1[[#This Row],[Scaled Summed Score]]</f>
        <v>0.12175981277737043</v>
      </c>
      <c r="AA75" s="18">
        <f>Table1[[#This Row],[Freshwater % of Summed Score]]*Table1[[#This Row],[Scaled Summed Score]]</f>
        <v>5.7825328172131124E-2</v>
      </c>
      <c r="AB75" s="18">
        <f>(Table1[[#This Row],[Summed Raw Scores]]-MIN(Table1[Summed Raw Scores]))/(MAX(Table1[Summed Raw Scores])-MIN(Table1[Summed Raw Scores]))</f>
        <v>0.17958514094950154</v>
      </c>
      <c r="AC75" s="9"/>
    </row>
    <row r="76" spans="1:29" x14ac:dyDescent="0.3">
      <c r="A76" s="1" t="s">
        <v>62</v>
      </c>
      <c r="B76" s="1" t="s">
        <v>59</v>
      </c>
      <c r="C76" s="1" t="s">
        <v>60</v>
      </c>
      <c r="D76" s="2">
        <v>53.945526719999997</v>
      </c>
      <c r="E76" s="2">
        <v>-123.0634147</v>
      </c>
      <c r="F76" s="2">
        <v>343.53969230799999</v>
      </c>
      <c r="G76" s="2" t="s">
        <v>23</v>
      </c>
      <c r="H76" s="2" t="s">
        <v>23</v>
      </c>
      <c r="I76" s="2">
        <v>542.83013040303354</v>
      </c>
      <c r="J76" s="2">
        <v>102.5152621749335</v>
      </c>
      <c r="K76" s="2" t="s">
        <v>23</v>
      </c>
      <c r="L76" s="2">
        <v>0.6</v>
      </c>
      <c r="M76" s="2">
        <v>34.5</v>
      </c>
      <c r="N76" s="2">
        <f>Table1[[#This Row],[R1 Length (km)]]+Table1[[#This Row],[T1 Length (km)]]</f>
        <v>35.1</v>
      </c>
      <c r="O76" s="1">
        <v>230</v>
      </c>
      <c r="P76" s="3" t="s">
        <v>23</v>
      </c>
      <c r="Q76" s="3" t="s">
        <v>23</v>
      </c>
      <c r="R76" s="2">
        <v>443.07</v>
      </c>
      <c r="S76" s="2">
        <v>177.22800000000001</v>
      </c>
      <c r="T76" s="2">
        <v>443.07</v>
      </c>
      <c r="U76" s="20">
        <v>2227</v>
      </c>
      <c r="V76" s="20">
        <f>Table1[[#This Row],[Raw Terrestrial Score]]/Table1[[#This Row],[Summed Raw Scores]]</f>
        <v>0.52697586370089922</v>
      </c>
      <c r="W76" s="20">
        <v>1999</v>
      </c>
      <c r="X76" s="20">
        <f>Table1[[#This Row],[Raw Freshwater Score]]/Table1[[#This Row],[Summed Raw Scores]]</f>
        <v>0.47302413629910078</v>
      </c>
      <c r="Y76" s="20">
        <f>Table1[[#This Row],[Raw Terrestrial Score]]+Table1[[#This Row],[Raw Freshwater Score]]</f>
        <v>4226</v>
      </c>
      <c r="Z76" s="18">
        <f>Table1[[#This Row],[Terrestrial % of Summed Score]]*Table1[[#This Row],[Scaled Summed Score]]</f>
        <v>9.4555847160752285E-2</v>
      </c>
      <c r="AA76" s="18">
        <f>Table1[[#This Row],[Freshwater % of Summed Score]]*Table1[[#This Row],[Scaled Summed Score]]</f>
        <v>8.4875230567734092E-2</v>
      </c>
      <c r="AB76" s="18">
        <f>(Table1[[#This Row],[Summed Raw Scores]]-MIN(Table1[Summed Raw Scores]))/(MAX(Table1[Summed Raw Scores])-MIN(Table1[Summed Raw Scores]))</f>
        <v>0.17943107772848638</v>
      </c>
      <c r="AC76" s="9"/>
    </row>
    <row r="77" spans="1:29" x14ac:dyDescent="0.3">
      <c r="A77" s="1" t="s">
        <v>206</v>
      </c>
      <c r="B77" s="1" t="s">
        <v>115</v>
      </c>
      <c r="C77" s="1" t="s">
        <v>26</v>
      </c>
      <c r="D77" s="2">
        <v>49.717218209999999</v>
      </c>
      <c r="E77" s="2">
        <v>-120.94528649999999</v>
      </c>
      <c r="F77" s="2">
        <v>87</v>
      </c>
      <c r="G77" s="1" t="s">
        <v>23</v>
      </c>
      <c r="H77" s="2">
        <v>21.599999999999998</v>
      </c>
      <c r="I77" s="2">
        <v>282.40487999999999</v>
      </c>
      <c r="J77" s="2">
        <v>95.046143232935094</v>
      </c>
      <c r="K77" s="2" t="s">
        <v>23</v>
      </c>
      <c r="L77" s="2">
        <v>0.88284277343799999</v>
      </c>
      <c r="M77" s="2">
        <v>69.087421875000004</v>
      </c>
      <c r="N77" s="2">
        <f>Table1[[#This Row],[R1 Length (km)]]+Table1[[#This Row],[T1 Length (km)]]</f>
        <v>69.970264648438004</v>
      </c>
      <c r="O77" s="1">
        <v>130</v>
      </c>
      <c r="P77" s="1" t="s">
        <v>137</v>
      </c>
      <c r="Q77" s="3" t="s">
        <v>23</v>
      </c>
      <c r="R77" s="9" t="s">
        <v>23</v>
      </c>
      <c r="S77" s="9" t="s">
        <v>23</v>
      </c>
      <c r="T77" s="9">
        <v>11.45</v>
      </c>
      <c r="U77" s="20">
        <v>1579</v>
      </c>
      <c r="V77" s="20">
        <f>Table1[[#This Row],[Raw Terrestrial Score]]/Table1[[#This Row],[Summed Raw Scores]]</f>
        <v>0.38757977417771233</v>
      </c>
      <c r="W77" s="20">
        <v>2495</v>
      </c>
      <c r="X77" s="20">
        <f>Table1[[#This Row],[Raw Freshwater Score]]/Table1[[#This Row],[Summed Raw Scores]]</f>
        <v>0.61242022582228772</v>
      </c>
      <c r="Y77" s="20">
        <f>Table1[[#This Row],[Raw Terrestrial Score]]+Table1[[#This Row],[Raw Freshwater Score]]</f>
        <v>4074</v>
      </c>
      <c r="Z77" s="18">
        <f>Table1[[#This Row],[Terrestrial % of Summed Score]]*Table1[[#This Row],[Scaled Summed Score]]</f>
        <v>6.7034201742893984E-2</v>
      </c>
      <c r="AA77" s="18">
        <f>Table1[[#This Row],[Freshwater % of Summed Score]]*Table1[[#This Row],[Scaled Summed Score]]</f>
        <v>0.10592168039804971</v>
      </c>
      <c r="AB77" s="18">
        <f>(Table1[[#This Row],[Summed Raw Scores]]-MIN(Table1[Summed Raw Scores]))/(MAX(Table1[Summed Raw Scores])-MIN(Table1[Summed Raw Scores]))</f>
        <v>0.17295588214094368</v>
      </c>
      <c r="AC77" s="9"/>
    </row>
    <row r="78" spans="1:29" x14ac:dyDescent="0.3">
      <c r="A78" s="1" t="s">
        <v>112</v>
      </c>
      <c r="B78" s="1" t="s">
        <v>98</v>
      </c>
      <c r="C78" s="1" t="s">
        <v>33</v>
      </c>
      <c r="D78" s="2">
        <v>50.08</v>
      </c>
      <c r="E78" s="2">
        <v>-123.36</v>
      </c>
      <c r="F78" s="2">
        <v>67.7</v>
      </c>
      <c r="G78" s="2">
        <v>40</v>
      </c>
      <c r="H78" s="2">
        <v>10</v>
      </c>
      <c r="I78" s="2">
        <v>345</v>
      </c>
      <c r="J78" s="2">
        <v>92.74</v>
      </c>
      <c r="K78" s="2" t="s">
        <v>23</v>
      </c>
      <c r="L78" s="2">
        <f>299.999999998137/1000</f>
        <v>0.29999999999813703</v>
      </c>
      <c r="M78" s="2">
        <v>38.788899999999998</v>
      </c>
      <c r="N78" s="2">
        <f>Table1[[#This Row],[R1 Length (km)]]+Table1[[#This Row],[T1 Length (km)]]</f>
        <v>39.088899999998134</v>
      </c>
      <c r="O78" s="1">
        <v>130</v>
      </c>
      <c r="P78" s="3" t="s">
        <v>23</v>
      </c>
      <c r="Q78" s="3" t="s">
        <v>23</v>
      </c>
      <c r="R78" s="9" t="s">
        <v>23</v>
      </c>
      <c r="S78" s="9" t="s">
        <v>23</v>
      </c>
      <c r="T78" s="9">
        <v>133.80000000000001</v>
      </c>
      <c r="U78" s="20">
        <v>1565</v>
      </c>
      <c r="V78" s="20">
        <f>Table1[[#This Row],[Raw Terrestrial Score]]/Table1[[#This Row],[Summed Raw Scores]]</f>
        <v>0.3924272818455366</v>
      </c>
      <c r="W78" s="20">
        <v>2423</v>
      </c>
      <c r="X78" s="20">
        <f>Table1[[#This Row],[Raw Freshwater Score]]/Table1[[#This Row],[Summed Raw Scores]]</f>
        <v>0.60757271815446334</v>
      </c>
      <c r="Y78" s="20">
        <f>Table1[[#This Row],[Raw Terrestrial Score]]+Table1[[#This Row],[Raw Freshwater Score]]</f>
        <v>3988</v>
      </c>
      <c r="Z78" s="18">
        <f>Table1[[#This Row],[Terrestrial % of Summed Score]]*Table1[[#This Row],[Scaled Summed Score]]</f>
        <v>6.6434911097701513E-2</v>
      </c>
      <c r="AA78" s="18">
        <f>Table1[[#This Row],[Freshwater % of Summed Score]]*Table1[[#This Row],[Scaled Summed Score]]</f>
        <v>0.10285737353976405</v>
      </c>
      <c r="AB78" s="18">
        <f>(Table1[[#This Row],[Summed Raw Scores]]-MIN(Table1[Summed Raw Scores]))/(MAX(Table1[Summed Raw Scores])-MIN(Table1[Summed Raw Scores]))</f>
        <v>0.16929228463746557</v>
      </c>
      <c r="AC78" s="9"/>
    </row>
    <row r="79" spans="1:29" x14ac:dyDescent="0.3">
      <c r="A79" s="1" t="s">
        <v>237</v>
      </c>
      <c r="B79" s="1" t="s">
        <v>43</v>
      </c>
      <c r="C79" s="1" t="s">
        <v>22</v>
      </c>
      <c r="D79" s="2">
        <v>49.069879999999898</v>
      </c>
      <c r="E79" s="2">
        <v>-124.41682</v>
      </c>
      <c r="F79" s="2">
        <v>500</v>
      </c>
      <c r="G79" s="4" t="s">
        <v>23</v>
      </c>
      <c r="H79" s="17">
        <v>408</v>
      </c>
      <c r="I79" s="4" t="s">
        <v>23</v>
      </c>
      <c r="J79" s="2" t="s">
        <v>23</v>
      </c>
      <c r="K79" s="13">
        <v>172.06</v>
      </c>
      <c r="L79" s="2">
        <v>20.2</v>
      </c>
      <c r="M79" s="13">
        <v>43.7</v>
      </c>
      <c r="N79" s="13">
        <f>Table1[[#This Row],[R1 Length (km)]]+Table1[[#This Row],[T1 Length (km)]]</f>
        <v>63.900000000000006</v>
      </c>
      <c r="O79" s="16">
        <v>500</v>
      </c>
      <c r="P79" s="15" t="s">
        <v>23</v>
      </c>
      <c r="Q79" s="3" t="s">
        <v>23</v>
      </c>
      <c r="R79" s="9" t="s">
        <v>23</v>
      </c>
      <c r="S79" s="9" t="s">
        <v>23</v>
      </c>
      <c r="T79" s="9">
        <v>54.03</v>
      </c>
      <c r="U79" s="20">
        <v>1519</v>
      </c>
      <c r="V79" s="20">
        <f>Table1[[#This Row],[Raw Terrestrial Score]]/Table1[[#This Row],[Summed Raw Scores]]</f>
        <v>0.39210118740320082</v>
      </c>
      <c r="W79" s="20">
        <v>2355</v>
      </c>
      <c r="X79" s="20">
        <f>Table1[[#This Row],[Raw Freshwater Score]]/Table1[[#This Row],[Summed Raw Scores]]</f>
        <v>0.60789881259679912</v>
      </c>
      <c r="Y79" s="20">
        <f>Table1[[#This Row],[Raw Terrestrial Score]]+Table1[[#This Row],[Raw Freshwater Score]]</f>
        <v>3874</v>
      </c>
      <c r="Z79" s="18">
        <f>Table1[[#This Row],[Terrestrial % of Summed Score]]*Table1[[#This Row],[Scaled Summed Score]]</f>
        <v>6.4475506915643299E-2</v>
      </c>
      <c r="AA79" s="18">
        <f>Table1[[#This Row],[Freshwater % of Summed Score]]*Table1[[#This Row],[Scaled Summed Score]]</f>
        <v>9.996038103116521E-2</v>
      </c>
      <c r="AB79" s="18">
        <f>(Table1[[#This Row],[Summed Raw Scores]]-MIN(Table1[Summed Raw Scores]))/(MAX(Table1[Summed Raw Scores])-MIN(Table1[Summed Raw Scores]))</f>
        <v>0.16443588794680852</v>
      </c>
      <c r="AC79" s="9"/>
    </row>
    <row r="80" spans="1:29" x14ac:dyDescent="0.3">
      <c r="A80" s="1" t="s">
        <v>208</v>
      </c>
      <c r="B80" s="1" t="s">
        <v>115</v>
      </c>
      <c r="C80" s="1" t="s">
        <v>26</v>
      </c>
      <c r="D80" s="2">
        <v>49.315802069999997</v>
      </c>
      <c r="E80" s="2">
        <v>-120.7780903</v>
      </c>
      <c r="F80" s="2">
        <v>150</v>
      </c>
      <c r="G80" s="1" t="s">
        <v>23</v>
      </c>
      <c r="H80" s="2">
        <v>36</v>
      </c>
      <c r="I80" s="2">
        <v>428.36399999999998</v>
      </c>
      <c r="J80" s="2">
        <v>86.437385455994203</v>
      </c>
      <c r="K80" s="2" t="s">
        <v>23</v>
      </c>
      <c r="L80" s="2">
        <v>0.9</v>
      </c>
      <c r="M80" s="2">
        <v>106.2</v>
      </c>
      <c r="N80" s="2">
        <f>Table1[[#This Row],[R1 Length (km)]]+Table1[[#This Row],[T1 Length (km)]]</f>
        <v>107.10000000000001</v>
      </c>
      <c r="O80" s="1">
        <v>130</v>
      </c>
      <c r="P80" s="1" t="s">
        <v>116</v>
      </c>
      <c r="Q80" s="1">
        <v>30</v>
      </c>
      <c r="R80" s="9" t="s">
        <v>23</v>
      </c>
      <c r="S80" s="9" t="s">
        <v>23</v>
      </c>
      <c r="T80" s="9">
        <f>((PI()*(45^2))*Table1[[#This Row],[Number of Turbines - WIND]])/10000</f>
        <v>19.085175370557995</v>
      </c>
      <c r="U80" s="20">
        <f>1720+109.1013</f>
        <v>1829.1013</v>
      </c>
      <c r="V80" s="20">
        <f>Table1[[#This Row],[Raw Terrestrial Score]]/Table1[[#This Row],[Summed Raw Scores]]</f>
        <v>0.47401503071543172</v>
      </c>
      <c r="W80" s="20">
        <f>80.63984+1949</f>
        <v>2029.63984</v>
      </c>
      <c r="X80" s="20">
        <f>Table1[[#This Row],[Raw Freshwater Score]]/Table1[[#This Row],[Summed Raw Scores]]</f>
        <v>0.52598496928456828</v>
      </c>
      <c r="Y80" s="20">
        <f>Table1[[#This Row],[Raw Terrestrial Score]]+Table1[[#This Row],[Raw Freshwater Score]]</f>
        <v>3858.7411400000001</v>
      </c>
      <c r="Z80" s="18">
        <f>Table1[[#This Row],[Terrestrial % of Summed Score]]*Table1[[#This Row],[Scaled Summed Score]]</f>
        <v>7.7636959910751355E-2</v>
      </c>
      <c r="AA80" s="18">
        <f>Table1[[#This Row],[Freshwater % of Summed Score]]*Table1[[#This Row],[Scaled Summed Score]]</f>
        <v>8.6148901043011553E-2</v>
      </c>
      <c r="AB80" s="18">
        <f>(Table1[[#This Row],[Summed Raw Scores]]-MIN(Table1[Summed Raw Scores]))/(MAX(Table1[Summed Raw Scores])-MIN(Table1[Summed Raw Scores]))</f>
        <v>0.16378586095376291</v>
      </c>
      <c r="AC80" s="9"/>
    </row>
    <row r="81" spans="1:29" x14ac:dyDescent="0.3">
      <c r="A81" s="1" t="s">
        <v>207</v>
      </c>
      <c r="B81" s="1" t="s">
        <v>115</v>
      </c>
      <c r="C81" s="1" t="s">
        <v>26</v>
      </c>
      <c r="D81" s="2">
        <v>49.421347300000001</v>
      </c>
      <c r="E81" s="2">
        <v>-120.8643541</v>
      </c>
      <c r="F81" s="2">
        <v>117</v>
      </c>
      <c r="G81" s="1" t="s">
        <v>23</v>
      </c>
      <c r="H81" s="2">
        <v>27.599999999999998</v>
      </c>
      <c r="I81" s="2">
        <v>333.34866000000005</v>
      </c>
      <c r="J81" s="2">
        <v>90.442200022550978</v>
      </c>
      <c r="K81" s="2" t="s">
        <v>23</v>
      </c>
      <c r="L81" s="2">
        <v>1.3899495849600001</v>
      </c>
      <c r="M81" s="2">
        <v>98.132296874999994</v>
      </c>
      <c r="N81" s="2">
        <f>Table1[[#This Row],[R1 Length (km)]]+Table1[[#This Row],[T1 Length (km)]]</f>
        <v>99.522246459960002</v>
      </c>
      <c r="O81" s="1">
        <v>130</v>
      </c>
      <c r="P81" s="1" t="s">
        <v>137</v>
      </c>
      <c r="Q81" s="3" t="s">
        <v>23</v>
      </c>
      <c r="R81" s="9" t="s">
        <v>23</v>
      </c>
      <c r="S81" s="9" t="s">
        <v>23</v>
      </c>
      <c r="T81" s="9">
        <v>14.63</v>
      </c>
      <c r="U81" s="20">
        <v>1800</v>
      </c>
      <c r="V81" s="20">
        <f>Table1[[#This Row],[Raw Terrestrial Score]]/Table1[[#This Row],[Summed Raw Scores]]</f>
        <v>0.4686279614683676</v>
      </c>
      <c r="W81" s="20">
        <v>2041</v>
      </c>
      <c r="X81" s="20">
        <f>Table1[[#This Row],[Raw Freshwater Score]]/Table1[[#This Row],[Summed Raw Scores]]</f>
        <v>0.5313720385316324</v>
      </c>
      <c r="Y81" s="20">
        <f>Table1[[#This Row],[Raw Terrestrial Score]]+Table1[[#This Row],[Raw Freshwater Score]]</f>
        <v>3841</v>
      </c>
      <c r="Z81" s="18">
        <f>Table1[[#This Row],[Terrestrial % of Summed Score]]*Table1[[#This Row],[Scaled Summed Score]]</f>
        <v>7.6400458221452014E-2</v>
      </c>
      <c r="AA81" s="18">
        <f>Table1[[#This Row],[Freshwater % of Summed Score]]*Table1[[#This Row],[Scaled Summed Score]]</f>
        <v>8.6629630683324202E-2</v>
      </c>
      <c r="AB81" s="18">
        <f>(Table1[[#This Row],[Summed Raw Scores]]-MIN(Table1[Summed Raw Scores]))/(MAX(Table1[Summed Raw Scores])-MIN(Table1[Summed Raw Scores]))</f>
        <v>0.16303008890477622</v>
      </c>
      <c r="AC81" s="9"/>
    </row>
    <row r="82" spans="1:29" x14ac:dyDescent="0.3">
      <c r="A82" s="1" t="s">
        <v>159</v>
      </c>
      <c r="B82" s="1" t="s">
        <v>115</v>
      </c>
      <c r="C82" s="1" t="s">
        <v>28</v>
      </c>
      <c r="D82" s="2">
        <v>55.689261600000002</v>
      </c>
      <c r="E82" s="2">
        <v>-122.1239058</v>
      </c>
      <c r="F82" s="2">
        <v>102</v>
      </c>
      <c r="G82" s="1" t="s">
        <v>23</v>
      </c>
      <c r="H82" s="2">
        <v>25.2</v>
      </c>
      <c r="I82" s="9">
        <v>335.91096000000005</v>
      </c>
      <c r="J82" s="9">
        <v>68.72877135682117</v>
      </c>
      <c r="K82" s="2" t="s">
        <v>23</v>
      </c>
      <c r="L82" s="2">
        <v>1.4</v>
      </c>
      <c r="M82" s="2">
        <v>32.299999999999997</v>
      </c>
      <c r="N82" s="2">
        <f>Table1[[#This Row],[R1 Length (km)]]+Table1[[#This Row],[T1 Length (km)]]</f>
        <v>33.699999999999996</v>
      </c>
      <c r="O82" s="1">
        <v>130</v>
      </c>
      <c r="P82" s="1" t="s">
        <v>137</v>
      </c>
      <c r="Q82" s="3" t="s">
        <v>23</v>
      </c>
      <c r="R82" s="9" t="s">
        <v>23</v>
      </c>
      <c r="S82" s="9" t="s">
        <v>23</v>
      </c>
      <c r="T82" s="9">
        <v>13.36</v>
      </c>
      <c r="U82" s="20">
        <v>1877</v>
      </c>
      <c r="V82" s="20">
        <f>Table1[[#This Row],[Raw Terrestrial Score]]/Table1[[#This Row],[Summed Raw Scores]]</f>
        <v>0.48982254697286015</v>
      </c>
      <c r="W82" s="20">
        <v>1955</v>
      </c>
      <c r="X82" s="20">
        <f>Table1[[#This Row],[Raw Freshwater Score]]/Table1[[#This Row],[Summed Raw Scores]]</f>
        <v>0.5101774530271399</v>
      </c>
      <c r="Y82" s="20">
        <f>Table1[[#This Row],[Raw Terrestrial Score]]+Table1[[#This Row],[Raw Freshwater Score]]</f>
        <v>3832</v>
      </c>
      <c r="Z82" s="18">
        <f>Table1[[#This Row],[Terrestrial % of Summed Score]]*Table1[[#This Row],[Scaled Summed Score]]</f>
        <v>7.9668015544012885E-2</v>
      </c>
      <c r="AA82" s="18">
        <f>Table1[[#This Row],[Freshwater % of Summed Score]]*Table1[[#This Row],[Scaled Summed Score]]</f>
        <v>8.2978673622027266E-2</v>
      </c>
      <c r="AB82" s="18">
        <f>(Table1[[#This Row],[Summed Raw Scores]]-MIN(Table1[Summed Raw Scores]))/(MAX(Table1[Summed Raw Scores])-MIN(Table1[Summed Raw Scores]))</f>
        <v>0.16264668916604014</v>
      </c>
      <c r="AC82" s="9"/>
    </row>
    <row r="83" spans="1:29" x14ac:dyDescent="0.3">
      <c r="A83" s="1" t="s">
        <v>52</v>
      </c>
      <c r="B83" s="1" t="s">
        <v>43</v>
      </c>
      <c r="C83" s="1" t="s">
        <v>33</v>
      </c>
      <c r="D83" s="11">
        <v>49.912636246700004</v>
      </c>
      <c r="E83" s="11">
        <v>-123.731816256</v>
      </c>
      <c r="F83" s="2">
        <v>1000</v>
      </c>
      <c r="G83" s="2" t="s">
        <v>23</v>
      </c>
      <c r="H83" s="9">
        <v>495</v>
      </c>
      <c r="I83" s="2" t="s">
        <v>23</v>
      </c>
      <c r="J83" s="2" t="s">
        <v>23</v>
      </c>
      <c r="K83" s="13">
        <v>170.62377878787873</v>
      </c>
      <c r="L83" s="11">
        <v>10.0225371094</v>
      </c>
      <c r="M83" s="9">
        <v>34.413203435597197</v>
      </c>
      <c r="N83" s="9">
        <f>Table1[[#This Row],[R1 Length (km)]]+Table1[[#This Row],[T1 Length (km)]]</f>
        <v>44.435740544997195</v>
      </c>
      <c r="O83" s="3">
        <v>500</v>
      </c>
      <c r="P83" s="3" t="s">
        <v>23</v>
      </c>
      <c r="Q83" s="3" t="s">
        <v>23</v>
      </c>
      <c r="R83" s="9" t="s">
        <v>23</v>
      </c>
      <c r="S83" s="9" t="s">
        <v>23</v>
      </c>
      <c r="T83" s="9">
        <v>11.75</v>
      </c>
      <c r="U83" s="20">
        <v>1763</v>
      </c>
      <c r="V83" s="20">
        <f>Table1[[#This Row],[Raw Terrestrial Score]]/Table1[[#This Row],[Summed Raw Scores]]</f>
        <v>0.46801168038226704</v>
      </c>
      <c r="W83" s="20">
        <v>2004</v>
      </c>
      <c r="X83" s="20">
        <f>Table1[[#This Row],[Raw Freshwater Score]]/Table1[[#This Row],[Summed Raw Scores]]</f>
        <v>0.53198831961773296</v>
      </c>
      <c r="Y83" s="20">
        <f>Table1[[#This Row],[Raw Terrestrial Score]]+Table1[[#This Row],[Raw Freshwater Score]]</f>
        <v>3767</v>
      </c>
      <c r="Z83" s="18">
        <f>Table1[[#This Row],[Terrestrial % of Summed Score]]*Table1[[#This Row],[Scaled Summed Score]]</f>
        <v>7.48246268453263E-2</v>
      </c>
      <c r="AA83" s="18">
        <f>Table1[[#This Row],[Freshwater % of Summed Score]]*Table1[[#This Row],[Scaled Summed Score]]</f>
        <v>8.5053064207619919E-2</v>
      </c>
      <c r="AB83" s="18">
        <f>(Table1[[#This Row],[Summed Raw Scores]]-MIN(Table1[Summed Raw Scores]))/(MAX(Table1[Summed Raw Scores])-MIN(Table1[Summed Raw Scores]))</f>
        <v>0.15987769105294622</v>
      </c>
      <c r="AC83" s="9"/>
    </row>
    <row r="84" spans="1:29" x14ac:dyDescent="0.3">
      <c r="A84" s="1" t="s">
        <v>97</v>
      </c>
      <c r="B84" s="1" t="s">
        <v>98</v>
      </c>
      <c r="C84" s="1" t="s">
        <v>31</v>
      </c>
      <c r="D84" s="2">
        <v>55.12</v>
      </c>
      <c r="E84" s="2">
        <v>-129.53</v>
      </c>
      <c r="F84" s="2">
        <v>160</v>
      </c>
      <c r="G84" s="2">
        <v>40</v>
      </c>
      <c r="H84" s="2">
        <v>3</v>
      </c>
      <c r="I84" s="2">
        <v>345</v>
      </c>
      <c r="J84" s="2">
        <v>92.74</v>
      </c>
      <c r="K84" s="2" t="s">
        <v>23</v>
      </c>
      <c r="L84" s="2">
        <v>6.1449999999999996</v>
      </c>
      <c r="M84" s="2">
        <v>41.758800000000001</v>
      </c>
      <c r="N84" s="2">
        <f>Table1[[#This Row],[R1 Length (km)]]+Table1[[#This Row],[T1 Length (km)]]</f>
        <v>47.903800000000004</v>
      </c>
      <c r="O84" s="1">
        <v>69</v>
      </c>
      <c r="P84" s="3" t="s">
        <v>23</v>
      </c>
      <c r="Q84" s="3" t="s">
        <v>23</v>
      </c>
      <c r="R84" s="9" t="s">
        <v>23</v>
      </c>
      <c r="S84" s="9" t="s">
        <v>23</v>
      </c>
      <c r="T84" s="9">
        <v>56.9</v>
      </c>
      <c r="U84" s="20">
        <v>1334</v>
      </c>
      <c r="V84" s="20">
        <f>Table1[[#This Row],[Raw Terrestrial Score]]/Table1[[#This Row],[Summed Raw Scores]]</f>
        <v>0.35668449197860963</v>
      </c>
      <c r="W84" s="20">
        <v>2406</v>
      </c>
      <c r="X84" s="20">
        <f>Table1[[#This Row],[Raw Freshwater Score]]/Table1[[#This Row],[Summed Raw Scores]]</f>
        <v>0.64331550802139037</v>
      </c>
      <c r="Y84" s="20">
        <f>Table1[[#This Row],[Raw Terrestrial Score]]+Table1[[#This Row],[Raw Freshwater Score]]</f>
        <v>3740</v>
      </c>
      <c r="Z84" s="18">
        <f>Table1[[#This Row],[Terrestrial % of Summed Score]]*Table1[[#This Row],[Scaled Summed Score]]</f>
        <v>5.6615634788825787E-2</v>
      </c>
      <c r="AA84" s="18">
        <f>Table1[[#This Row],[Freshwater % of Summed Score]]*Table1[[#This Row],[Scaled Summed Score]]</f>
        <v>0.10211185704791217</v>
      </c>
      <c r="AB84" s="18">
        <f>(Table1[[#This Row],[Summed Raw Scores]]-MIN(Table1[Summed Raw Scores]))/(MAX(Table1[Summed Raw Scores])-MIN(Table1[Summed Raw Scores]))</f>
        <v>0.15872749183673796</v>
      </c>
      <c r="AC84" s="9"/>
    </row>
    <row r="85" spans="1:29" x14ac:dyDescent="0.3">
      <c r="A85" s="1" t="s">
        <v>168</v>
      </c>
      <c r="B85" s="1" t="s">
        <v>115</v>
      </c>
      <c r="C85" s="1" t="s">
        <v>28</v>
      </c>
      <c r="D85" s="12">
        <v>55.543307339999998</v>
      </c>
      <c r="E85" s="12">
        <v>-122.3474683</v>
      </c>
      <c r="F85" s="2">
        <v>126</v>
      </c>
      <c r="G85" s="1" t="s">
        <v>23</v>
      </c>
      <c r="H85" s="9">
        <v>30</v>
      </c>
      <c r="I85" s="9">
        <v>518.37300000000005</v>
      </c>
      <c r="J85" s="9">
        <v>59.692496414795102</v>
      </c>
      <c r="K85" s="2" t="s">
        <v>23</v>
      </c>
      <c r="L85" s="12">
        <v>4.9526914062499996</v>
      </c>
      <c r="M85" s="9">
        <v>52.425691406250003</v>
      </c>
      <c r="N85" s="9">
        <f>Table1[[#This Row],[R1 Length (km)]]+Table1[[#This Row],[T1 Length (km)]]</f>
        <v>57.3783828125</v>
      </c>
      <c r="O85" s="5">
        <v>130</v>
      </c>
      <c r="P85" s="5" t="s">
        <v>137</v>
      </c>
      <c r="Q85" s="3" t="s">
        <v>23</v>
      </c>
      <c r="R85" s="9" t="s">
        <v>23</v>
      </c>
      <c r="S85" s="9" t="s">
        <v>23</v>
      </c>
      <c r="T85" s="9">
        <v>15.9</v>
      </c>
      <c r="U85" s="20">
        <v>1997</v>
      </c>
      <c r="V85" s="20">
        <f>Table1[[#This Row],[Raw Terrestrial Score]]/Table1[[#This Row],[Summed Raw Scores]]</f>
        <v>0.54354926510615131</v>
      </c>
      <c r="W85" s="20">
        <v>1677</v>
      </c>
      <c r="X85" s="20">
        <f>Table1[[#This Row],[Raw Freshwater Score]]/Table1[[#This Row],[Summed Raw Scores]]</f>
        <v>0.45645073489384869</v>
      </c>
      <c r="Y85" s="20">
        <f>Table1[[#This Row],[Raw Terrestrial Score]]+Table1[[#This Row],[Raw Freshwater Score]]</f>
        <v>3674</v>
      </c>
      <c r="Z85" s="18">
        <f>Table1[[#This Row],[Terrestrial % of Summed Score]]*Table1[[#This Row],[Scaled Summed Score]]</f>
        <v>8.4747969467634382E-2</v>
      </c>
      <c r="AA85" s="18">
        <f>Table1[[#This Row],[Freshwater % of Summed Score]]*Table1[[#This Row],[Scaled Summed Score]]</f>
        <v>7.1167924285038986E-2</v>
      </c>
      <c r="AB85" s="18">
        <f>(Table1[[#This Row],[Summed Raw Scores]]-MIN(Table1[Summed Raw Scores]))/(MAX(Table1[Summed Raw Scores])-MIN(Table1[Summed Raw Scores]))</f>
        <v>0.15591589375267337</v>
      </c>
      <c r="AC85" s="9"/>
    </row>
    <row r="86" spans="1:29" x14ac:dyDescent="0.3">
      <c r="A86" s="1" t="s">
        <v>136</v>
      </c>
      <c r="B86" s="1" t="s">
        <v>115</v>
      </c>
      <c r="C86" s="1" t="s">
        <v>31</v>
      </c>
      <c r="D86" s="2">
        <v>54.2217287</v>
      </c>
      <c r="E86" s="2">
        <v>-126.3493254</v>
      </c>
      <c r="F86" s="2">
        <v>117</v>
      </c>
      <c r="G86" s="1" t="s">
        <v>23</v>
      </c>
      <c r="H86" s="2">
        <v>27.599999999999998</v>
      </c>
      <c r="I86" s="2">
        <v>338.78861999999998</v>
      </c>
      <c r="J86" s="2">
        <v>78.174797926861075</v>
      </c>
      <c r="K86" s="2" t="s">
        <v>23</v>
      </c>
      <c r="L86" s="2">
        <v>1.0656854248000001</v>
      </c>
      <c r="M86" s="2">
        <v>28.352900390624999</v>
      </c>
      <c r="N86" s="2">
        <f>Table1[[#This Row],[R1 Length (km)]]+Table1[[#This Row],[T1 Length (km)]]</f>
        <v>29.418585815425001</v>
      </c>
      <c r="O86" s="1">
        <v>130</v>
      </c>
      <c r="P86" s="1" t="s">
        <v>137</v>
      </c>
      <c r="Q86" s="3" t="s">
        <v>23</v>
      </c>
      <c r="R86" s="9" t="s">
        <v>23</v>
      </c>
      <c r="S86" s="9" t="s">
        <v>23</v>
      </c>
      <c r="T86" s="9">
        <v>14.63</v>
      </c>
      <c r="U86" s="20">
        <v>1257</v>
      </c>
      <c r="V86" s="20">
        <f>Table1[[#This Row],[Raw Terrestrial Score]]/Table1[[#This Row],[Summed Raw Scores]]</f>
        <v>0.34858569051580701</v>
      </c>
      <c r="W86" s="20">
        <v>2349</v>
      </c>
      <c r="X86" s="20">
        <f>Table1[[#This Row],[Raw Freshwater Score]]/Table1[[#This Row],[Summed Raw Scores]]</f>
        <v>0.65141430948419299</v>
      </c>
      <c r="Y86" s="20">
        <f>Table1[[#This Row],[Raw Terrestrial Score]]+Table1[[#This Row],[Raw Freshwater Score]]</f>
        <v>3606</v>
      </c>
      <c r="Z86" s="18">
        <f>Table1[[#This Row],[Terrestrial % of Summed Score]]*Table1[[#This Row],[Scaled Summed Score]]</f>
        <v>5.3340267145984735E-2</v>
      </c>
      <c r="AA86" s="18">
        <f>Table1[[#This Row],[Freshwater % of Summed Score]]*Table1[[#This Row],[Scaled Summed Score]]</f>
        <v>9.967882858068268E-2</v>
      </c>
      <c r="AB86" s="18">
        <f>(Table1[[#This Row],[Summed Raw Scores]]-MIN(Table1[Summed Raw Scores]))/(MAX(Table1[Summed Raw Scores])-MIN(Table1[Summed Raw Scores]))</f>
        <v>0.15301909572666741</v>
      </c>
      <c r="AC86" s="9"/>
    </row>
    <row r="87" spans="1:29" x14ac:dyDescent="0.3">
      <c r="A87" s="1" t="s">
        <v>163</v>
      </c>
      <c r="B87" s="1" t="s">
        <v>115</v>
      </c>
      <c r="C87" s="1" t="s">
        <v>28</v>
      </c>
      <c r="D87" s="12">
        <v>54.862150470000003</v>
      </c>
      <c r="E87" s="12">
        <v>-121.0169033</v>
      </c>
      <c r="F87" s="2">
        <v>99</v>
      </c>
      <c r="G87" s="1" t="s">
        <v>23</v>
      </c>
      <c r="H87" s="9">
        <v>24</v>
      </c>
      <c r="I87" s="9">
        <v>462.52800000000002</v>
      </c>
      <c r="J87" s="9">
        <v>57.646413028801121</v>
      </c>
      <c r="K87" s="2" t="s">
        <v>23</v>
      </c>
      <c r="L87" s="12">
        <v>15.8065888672</v>
      </c>
      <c r="M87" s="9">
        <v>35.176449218750001</v>
      </c>
      <c r="N87" s="9">
        <f>Table1[[#This Row],[R1 Length (km)]]+Table1[[#This Row],[T1 Length (km)]]</f>
        <v>50.98303808595</v>
      </c>
      <c r="O87" s="5">
        <v>230</v>
      </c>
      <c r="P87" s="5" t="s">
        <v>137</v>
      </c>
      <c r="Q87" s="3" t="s">
        <v>23</v>
      </c>
      <c r="R87" s="9" t="s">
        <v>23</v>
      </c>
      <c r="S87" s="9" t="s">
        <v>23</v>
      </c>
      <c r="T87" s="9">
        <v>12.72</v>
      </c>
      <c r="U87" s="20">
        <v>1796</v>
      </c>
      <c r="V87" s="20">
        <f>Table1[[#This Row],[Raw Terrestrial Score]]/Table1[[#This Row],[Summed Raw Scores]]</f>
        <v>0.50125593078425901</v>
      </c>
      <c r="W87" s="20">
        <v>1787</v>
      </c>
      <c r="X87" s="20">
        <f>Table1[[#This Row],[Raw Freshwater Score]]/Table1[[#This Row],[Summed Raw Scores]]</f>
        <v>0.49874406921574099</v>
      </c>
      <c r="Y87" s="20">
        <f>Table1[[#This Row],[Raw Terrestrial Score]]+Table1[[#This Row],[Raw Freshwater Score]]</f>
        <v>3583</v>
      </c>
      <c r="Z87" s="18">
        <f>Table1[[#This Row],[Terrestrial % of Summed Score]]*Table1[[#This Row],[Scaled Summed Score]]</f>
        <v>7.621059902992966E-2</v>
      </c>
      <c r="AA87" s="18">
        <f>Table1[[#This Row],[Freshwater % of Summed Score]]*Table1[[#This Row],[Scaled Summed Score]]</f>
        <v>7.5828697364412195E-2</v>
      </c>
      <c r="AB87" s="18">
        <f>(Table1[[#This Row],[Summed Raw Scores]]-MIN(Table1[Summed Raw Scores]))/(MAX(Table1[Summed Raw Scores])-MIN(Table1[Summed Raw Scores]))</f>
        <v>0.15203929639434186</v>
      </c>
      <c r="AC87" s="9"/>
    </row>
    <row r="88" spans="1:29" x14ac:dyDescent="0.3">
      <c r="A88" s="1" t="s">
        <v>194</v>
      </c>
      <c r="B88" s="1" t="s">
        <v>115</v>
      </c>
      <c r="C88" s="1" t="s">
        <v>26</v>
      </c>
      <c r="D88" s="2">
        <v>50.469392810000002</v>
      </c>
      <c r="E88" s="2">
        <v>-119.96195470000001</v>
      </c>
      <c r="F88" s="2">
        <v>117</v>
      </c>
      <c r="G88" s="1" t="s">
        <v>23</v>
      </c>
      <c r="H88" s="2">
        <v>27.599999999999998</v>
      </c>
      <c r="I88" s="2">
        <v>332.44200000000001</v>
      </c>
      <c r="J88" s="2">
        <v>80.465695323400553</v>
      </c>
      <c r="K88" s="2" t="s">
        <v>23</v>
      </c>
      <c r="L88" s="2">
        <v>0.3</v>
      </c>
      <c r="M88" s="2">
        <v>35</v>
      </c>
      <c r="N88" s="2">
        <f>Table1[[#This Row],[R1 Length (km)]]+Table1[[#This Row],[T1 Length (km)]]</f>
        <v>35.299999999999997</v>
      </c>
      <c r="O88" s="1">
        <v>130</v>
      </c>
      <c r="P88" s="1" t="s">
        <v>116</v>
      </c>
      <c r="Q88" s="1">
        <v>23</v>
      </c>
      <c r="R88" s="9" t="s">
        <v>23</v>
      </c>
      <c r="S88" s="9" t="s">
        <v>23</v>
      </c>
      <c r="T88" s="9">
        <f>((PI()*(45^2))*Table1[[#This Row],[Number of Turbines - WIND]])/10000</f>
        <v>14.631967784094462</v>
      </c>
      <c r="U88" s="20">
        <f>1734+163.603</f>
        <v>1897.6030000000001</v>
      </c>
      <c r="V88" s="20">
        <f>Table1[[#This Row],[Raw Terrestrial Score]]/Table1[[#This Row],[Summed Raw Scores]]</f>
        <v>0.53659042679627011</v>
      </c>
      <c r="W88" s="20">
        <f>168.8056+1470</f>
        <v>1638.8055999999999</v>
      </c>
      <c r="X88" s="20">
        <f>Table1[[#This Row],[Raw Freshwater Score]]/Table1[[#This Row],[Summed Raw Scores]]</f>
        <v>0.46340957320372994</v>
      </c>
      <c r="Y88" s="20">
        <f>Table1[[#This Row],[Raw Terrestrial Score]]+Table1[[#This Row],[Raw Freshwater Score]]</f>
        <v>3536.4085999999998</v>
      </c>
      <c r="Z88" s="18">
        <f>Table1[[#This Row],[Terrestrial % of Summed Score]]*Table1[[#This Row],[Scaled Summed Score]]</f>
        <v>8.051781040140199E-2</v>
      </c>
      <c r="AA88" s="18">
        <f>Table1[[#This Row],[Freshwater % of Summed Score]]*Table1[[#This Row],[Scaled Summed Score]]</f>
        <v>6.9536693705456745E-2</v>
      </c>
      <c r="AB88" s="18">
        <f>(Table1[[#This Row],[Summed Raw Scores]]-MIN(Table1[Summed Raw Scores]))/(MAX(Table1[Summed Raw Scores])-MIN(Table1[Summed Raw Scores]))</f>
        <v>0.15005450410685872</v>
      </c>
      <c r="AC88" s="9"/>
    </row>
    <row r="89" spans="1:29" x14ac:dyDescent="0.3">
      <c r="A89" s="1" t="s">
        <v>156</v>
      </c>
      <c r="B89" s="1" t="s">
        <v>115</v>
      </c>
      <c r="C89" s="1" t="s">
        <v>28</v>
      </c>
      <c r="D89" s="2">
        <v>54.607456880000001</v>
      </c>
      <c r="E89" s="2">
        <v>-120.4986409</v>
      </c>
      <c r="F89" s="2">
        <v>144</v>
      </c>
      <c r="G89" s="1" t="s">
        <v>23</v>
      </c>
      <c r="H89" s="2">
        <v>34.799999999999997</v>
      </c>
      <c r="I89" s="9">
        <v>640.30781999999999</v>
      </c>
      <c r="J89" s="9">
        <v>53.724829135258389</v>
      </c>
      <c r="K89" s="2" t="s">
        <v>23</v>
      </c>
      <c r="L89" s="2">
        <v>8</v>
      </c>
      <c r="M89" s="2">
        <v>75.900000000000006</v>
      </c>
      <c r="N89" s="2">
        <f>Table1[[#This Row],[R1 Length (km)]]+Table1[[#This Row],[T1 Length (km)]]</f>
        <v>83.9</v>
      </c>
      <c r="O89" s="1">
        <v>230</v>
      </c>
      <c r="P89" s="1" t="s">
        <v>137</v>
      </c>
      <c r="Q89" s="3" t="s">
        <v>23</v>
      </c>
      <c r="R89" s="9" t="s">
        <v>23</v>
      </c>
      <c r="S89" s="9" t="s">
        <v>23</v>
      </c>
      <c r="T89" s="9">
        <v>18.45</v>
      </c>
      <c r="U89" s="20">
        <v>1876</v>
      </c>
      <c r="V89" s="20">
        <f>Table1[[#This Row],[Raw Terrestrial Score]]/Table1[[#This Row],[Summed Raw Scores]]</f>
        <v>0.53084323712507075</v>
      </c>
      <c r="W89" s="20">
        <v>1658</v>
      </c>
      <c r="X89" s="20">
        <f>Table1[[#This Row],[Raw Freshwater Score]]/Table1[[#This Row],[Summed Raw Scores]]</f>
        <v>0.46915676287492925</v>
      </c>
      <c r="Y89" s="20">
        <f>Table1[[#This Row],[Raw Terrestrial Score]]+Table1[[#This Row],[Raw Freshwater Score]]</f>
        <v>3534</v>
      </c>
      <c r="Z89" s="18">
        <f>Table1[[#This Row],[Terrestrial % of Summed Score]]*Table1[[#This Row],[Scaled Summed Score]]</f>
        <v>7.9600950850106669E-2</v>
      </c>
      <c r="AA89" s="18">
        <f>Table1[[#This Row],[Freshwater % of Summed Score]]*Table1[[#This Row],[Scaled Summed Score]]</f>
        <v>7.0350946966672087E-2</v>
      </c>
      <c r="AB89" s="18">
        <f>(Table1[[#This Row],[Summed Raw Scores]]-MIN(Table1[Summed Raw Scores]))/(MAX(Table1[Summed Raw Scores])-MIN(Table1[Summed Raw Scores]))</f>
        <v>0.14995189781677876</v>
      </c>
      <c r="AC89" s="9"/>
    </row>
    <row r="90" spans="1:29" x14ac:dyDescent="0.3">
      <c r="A90" s="1" t="s">
        <v>161</v>
      </c>
      <c r="B90" s="1" t="s">
        <v>115</v>
      </c>
      <c r="C90" s="1" t="s">
        <v>28</v>
      </c>
      <c r="D90" s="12">
        <v>54.924725109999997</v>
      </c>
      <c r="E90" s="12">
        <v>-121.4223738</v>
      </c>
      <c r="F90" s="2">
        <v>117</v>
      </c>
      <c r="G90" s="1" t="s">
        <v>23</v>
      </c>
      <c r="H90" s="9">
        <v>27.599999999999998</v>
      </c>
      <c r="I90" s="9">
        <v>536.13828000000001</v>
      </c>
      <c r="J90" s="9">
        <v>54.493656577696221</v>
      </c>
      <c r="K90" s="2" t="s">
        <v>23</v>
      </c>
      <c r="L90" s="12">
        <v>3.4455847168</v>
      </c>
      <c r="M90" s="9">
        <v>33.058789062499997</v>
      </c>
      <c r="N90" s="9">
        <f>Table1[[#This Row],[R1 Length (km)]]+Table1[[#This Row],[T1 Length (km)]]</f>
        <v>36.504373779299996</v>
      </c>
      <c r="O90" s="5">
        <v>230</v>
      </c>
      <c r="P90" s="5" t="s">
        <v>137</v>
      </c>
      <c r="Q90" s="3" t="s">
        <v>23</v>
      </c>
      <c r="R90" s="9" t="s">
        <v>23</v>
      </c>
      <c r="S90" s="9" t="s">
        <v>23</v>
      </c>
      <c r="T90" s="9">
        <v>14.63</v>
      </c>
      <c r="U90" s="20">
        <v>1739</v>
      </c>
      <c r="V90" s="20">
        <f>Table1[[#This Row],[Raw Terrestrial Score]]/Table1[[#This Row],[Summed Raw Scores]]</f>
        <v>0.51132019994119382</v>
      </c>
      <c r="W90" s="20">
        <v>1662</v>
      </c>
      <c r="X90" s="20">
        <f>Table1[[#This Row],[Raw Freshwater Score]]/Table1[[#This Row],[Summed Raw Scores]]</f>
        <v>0.48867980005880624</v>
      </c>
      <c r="Y90" s="20">
        <f>Table1[[#This Row],[Raw Terrestrial Score]]+Table1[[#This Row],[Raw Freshwater Score]]</f>
        <v>3401</v>
      </c>
      <c r="Z90" s="18">
        <f>Table1[[#This Row],[Terrestrial % of Summed Score]]*Table1[[#This Row],[Scaled Summed Score]]</f>
        <v>7.377639835856617E-2</v>
      </c>
      <c r="AA90" s="18">
        <f>Table1[[#This Row],[Freshwater % of Summed Score]]*Table1[[#This Row],[Scaled Summed Score]]</f>
        <v>7.0509703319112688E-2</v>
      </c>
      <c r="AB90" s="18">
        <f>(Table1[[#This Row],[Summed Raw Scores]]-MIN(Table1[Summed Raw Scores]))/(MAX(Table1[Summed Raw Scores])-MIN(Table1[Summed Raw Scores]))</f>
        <v>0.14428610167767886</v>
      </c>
      <c r="AC90" s="9"/>
    </row>
    <row r="91" spans="1:29" x14ac:dyDescent="0.3">
      <c r="A91" s="1" t="s">
        <v>82</v>
      </c>
      <c r="B91" s="1" t="s">
        <v>59</v>
      </c>
      <c r="C91" s="1" t="s">
        <v>26</v>
      </c>
      <c r="D91" s="2">
        <v>49.968308450000002</v>
      </c>
      <c r="E91" s="2">
        <v>-120.9772438</v>
      </c>
      <c r="F91" s="2">
        <v>54.232615384600003</v>
      </c>
      <c r="G91" s="2" t="s">
        <v>23</v>
      </c>
      <c r="H91" s="2" t="s">
        <v>23</v>
      </c>
      <c r="I91" s="2">
        <v>98.156171299313655</v>
      </c>
      <c r="J91" s="2">
        <v>101.42689224013247</v>
      </c>
      <c r="K91" s="2" t="s">
        <v>23</v>
      </c>
      <c r="L91" s="2">
        <v>1.6</v>
      </c>
      <c r="M91" s="2">
        <v>23.6</v>
      </c>
      <c r="N91" s="2">
        <f>Table1[[#This Row],[R1 Length (km)]]+Table1[[#This Row],[T1 Length (km)]]</f>
        <v>25.200000000000003</v>
      </c>
      <c r="O91" s="1">
        <v>69</v>
      </c>
      <c r="P91" s="3" t="s">
        <v>23</v>
      </c>
      <c r="Q91" s="3" t="s">
        <v>23</v>
      </c>
      <c r="R91" s="2">
        <v>374.21999999999997</v>
      </c>
      <c r="S91" s="2">
        <v>149.68799999999999</v>
      </c>
      <c r="T91" s="2">
        <v>374.21999999999997</v>
      </c>
      <c r="U91" s="20">
        <v>1580</v>
      </c>
      <c r="V91" s="20">
        <f>Table1[[#This Row],[Raw Terrestrial Score]]/Table1[[#This Row],[Summed Raw Scores]]</f>
        <v>0.47192353643966545</v>
      </c>
      <c r="W91" s="20">
        <v>1768</v>
      </c>
      <c r="X91" s="20">
        <f>Table1[[#This Row],[Raw Freshwater Score]]/Table1[[#This Row],[Summed Raw Scores]]</f>
        <v>0.52807646356033455</v>
      </c>
      <c r="Y91" s="20">
        <f>Table1[[#This Row],[Raw Terrestrial Score]]+Table1[[#This Row],[Raw Freshwater Score]]</f>
        <v>3348</v>
      </c>
      <c r="Z91" s="18">
        <f>Table1[[#This Row],[Terrestrial % of Summed Score]]*Table1[[#This Row],[Scaled Summed Score]]</f>
        <v>6.7026499128329808E-2</v>
      </c>
      <c r="AA91" s="18">
        <f>Table1[[#This Row],[Freshwater % of Summed Score]]*Table1[[#This Row],[Scaled Summed Score]]</f>
        <v>7.5001804087903245E-2</v>
      </c>
      <c r="AB91" s="18">
        <f>(Table1[[#This Row],[Summed Raw Scores]]-MIN(Table1[Summed Raw Scores]))/(MAX(Table1[Summed Raw Scores])-MIN(Table1[Summed Raw Scores]))</f>
        <v>0.14202830321623305</v>
      </c>
      <c r="AC91" s="9"/>
    </row>
    <row r="92" spans="1:29" x14ac:dyDescent="0.3">
      <c r="A92" s="1" t="s">
        <v>205</v>
      </c>
      <c r="B92" s="1" t="s">
        <v>115</v>
      </c>
      <c r="C92" s="1" t="s">
        <v>33</v>
      </c>
      <c r="D92" s="2">
        <v>49.827369490000002</v>
      </c>
      <c r="E92" s="2">
        <v>-121.24361380000001</v>
      </c>
      <c r="F92" s="2">
        <v>87</v>
      </c>
      <c r="G92" s="1" t="s">
        <v>23</v>
      </c>
      <c r="H92" s="2">
        <v>21.599999999999998</v>
      </c>
      <c r="I92" s="2">
        <v>271.44612000000001</v>
      </c>
      <c r="J92" s="2">
        <v>100.79640958290931</v>
      </c>
      <c r="K92" s="2" t="s">
        <v>23</v>
      </c>
      <c r="L92" s="2">
        <v>1.02426416016</v>
      </c>
      <c r="M92" s="2">
        <v>76.394023437499996</v>
      </c>
      <c r="N92" s="2">
        <f>Table1[[#This Row],[R1 Length (km)]]+Table1[[#This Row],[T1 Length (km)]]</f>
        <v>77.418287597659997</v>
      </c>
      <c r="O92" s="1">
        <v>130</v>
      </c>
      <c r="P92" s="1" t="s">
        <v>137</v>
      </c>
      <c r="Q92" s="3" t="s">
        <v>23</v>
      </c>
      <c r="R92" s="9" t="s">
        <v>23</v>
      </c>
      <c r="S92" s="9" t="s">
        <v>23</v>
      </c>
      <c r="T92" s="9">
        <f>1273528/10000</f>
        <v>127.3528</v>
      </c>
      <c r="U92" s="20">
        <v>1539</v>
      </c>
      <c r="V92" s="20">
        <f>Table1[[#This Row],[Raw Terrestrial Score]]/Table1[[#This Row],[Summed Raw Scores]]</f>
        <v>0.46608116293155666</v>
      </c>
      <c r="W92" s="20">
        <v>1763</v>
      </c>
      <c r="X92" s="20">
        <f>Table1[[#This Row],[Raw Freshwater Score]]/Table1[[#This Row],[Summed Raw Scores]]</f>
        <v>0.53391883706844334</v>
      </c>
      <c r="Y92" s="20">
        <f>Table1[[#This Row],[Raw Terrestrial Score]]+Table1[[#This Row],[Raw Freshwater Score]]</f>
        <v>3302</v>
      </c>
      <c r="Z92" s="18">
        <f>Table1[[#This Row],[Terrestrial % of Summed Score]]*Table1[[#This Row],[Scaled Summed Score]]</f>
        <v>6.528338470771794E-2</v>
      </c>
      <c r="AA92" s="18">
        <f>Table1[[#This Row],[Freshwater % of Summed Score]]*Table1[[#This Row],[Scaled Summed Score]]</f>
        <v>7.4785319843864023E-2</v>
      </c>
      <c r="AB92" s="18">
        <f>(Table1[[#This Row],[Summed Raw Scores]]-MIN(Table1[Summed Raw Scores]))/(MAX(Table1[Summed Raw Scores])-MIN(Table1[Summed Raw Scores]))</f>
        <v>0.14006870455158196</v>
      </c>
      <c r="AC92" s="9"/>
    </row>
    <row r="93" spans="1:29" x14ac:dyDescent="0.3">
      <c r="A93" s="1" t="s">
        <v>45</v>
      </c>
      <c r="B93" s="1" t="s">
        <v>43</v>
      </c>
      <c r="C93" s="1" t="s">
        <v>33</v>
      </c>
      <c r="D93" s="11">
        <v>49.402025060500002</v>
      </c>
      <c r="E93" s="11">
        <v>-122.2587474</v>
      </c>
      <c r="F93" s="2">
        <v>1000</v>
      </c>
      <c r="G93" s="2" t="s">
        <v>23</v>
      </c>
      <c r="H93" s="9">
        <v>495</v>
      </c>
      <c r="I93" s="2" t="s">
        <v>23</v>
      </c>
      <c r="J93" s="2" t="s">
        <v>23</v>
      </c>
      <c r="K93" s="13">
        <v>169.30148060606061</v>
      </c>
      <c r="L93" s="2">
        <v>1.4</v>
      </c>
      <c r="M93" s="2">
        <v>39.6</v>
      </c>
      <c r="N93" s="2">
        <f>Table1[[#This Row],[R1 Length (km)]]+Table1[[#This Row],[T1 Length (km)]]</f>
        <v>41</v>
      </c>
      <c r="O93" s="1">
        <v>500</v>
      </c>
      <c r="P93" s="3" t="s">
        <v>23</v>
      </c>
      <c r="Q93" s="3" t="s">
        <v>23</v>
      </c>
      <c r="R93" s="9" t="s">
        <v>23</v>
      </c>
      <c r="S93" s="9" t="s">
        <v>23</v>
      </c>
      <c r="T93" s="9">
        <v>42.72</v>
      </c>
      <c r="U93" s="20">
        <v>1236</v>
      </c>
      <c r="V93" s="20">
        <f>Table1[[#This Row],[Raw Terrestrial Score]]/Table1[[#This Row],[Summed Raw Scores]]</f>
        <v>0.37454545454545457</v>
      </c>
      <c r="W93" s="20">
        <v>2064</v>
      </c>
      <c r="X93" s="20">
        <f>Table1[[#This Row],[Raw Freshwater Score]]/Table1[[#This Row],[Summed Raw Scores]]</f>
        <v>0.62545454545454549</v>
      </c>
      <c r="Y93" s="20">
        <f>Table1[[#This Row],[Raw Terrestrial Score]]+Table1[[#This Row],[Raw Freshwater Score]]</f>
        <v>3300</v>
      </c>
      <c r="Z93" s="18">
        <f>Table1[[#This Row],[Terrestrial % of Summed Score]]*Table1[[#This Row],[Scaled Summed Score]]</f>
        <v>5.2430185362883582E-2</v>
      </c>
      <c r="AA93" s="18">
        <f>Table1[[#This Row],[Freshwater % of Summed Score]]*Table1[[#This Row],[Scaled Summed Score]]</f>
        <v>8.755331924675705E-2</v>
      </c>
      <c r="AB93" s="18">
        <f>(Table1[[#This Row],[Summed Raw Scores]]-MIN(Table1[Summed Raw Scores]))/(MAX(Table1[Summed Raw Scores])-MIN(Table1[Summed Raw Scores]))</f>
        <v>0.13998350460964062</v>
      </c>
      <c r="AC93" s="9"/>
    </row>
    <row r="94" spans="1:29" x14ac:dyDescent="0.3">
      <c r="A94" s="1" t="s">
        <v>158</v>
      </c>
      <c r="B94" s="1" t="s">
        <v>115</v>
      </c>
      <c r="C94" s="1" t="s">
        <v>28</v>
      </c>
      <c r="D94" s="12">
        <v>54.660196710000001</v>
      </c>
      <c r="E94" s="12">
        <v>-120.64686709999999</v>
      </c>
      <c r="F94" s="2">
        <v>99</v>
      </c>
      <c r="G94" s="1" t="s">
        <v>23</v>
      </c>
      <c r="H94" s="9">
        <v>24</v>
      </c>
      <c r="I94" s="9">
        <v>455.60760000000005</v>
      </c>
      <c r="J94" s="9">
        <v>62.647886314441195</v>
      </c>
      <c r="K94" s="2" t="s">
        <v>23</v>
      </c>
      <c r="L94" s="12">
        <v>7.4941132812499998</v>
      </c>
      <c r="M94" s="9">
        <v>66.314632812499994</v>
      </c>
      <c r="N94" s="9">
        <f>Table1[[#This Row],[R1 Length (km)]]+Table1[[#This Row],[T1 Length (km)]]</f>
        <v>73.808746093749988</v>
      </c>
      <c r="O94" s="5">
        <v>230</v>
      </c>
      <c r="P94" s="5" t="s">
        <v>137</v>
      </c>
      <c r="Q94" s="3" t="s">
        <v>23</v>
      </c>
      <c r="R94" s="9" t="s">
        <v>23</v>
      </c>
      <c r="S94" s="9" t="s">
        <v>23</v>
      </c>
      <c r="T94" s="9">
        <v>12.72</v>
      </c>
      <c r="U94" s="20">
        <v>1770</v>
      </c>
      <c r="V94" s="20">
        <f>Table1[[#This Row],[Raw Terrestrial Score]]/Table1[[#This Row],[Summed Raw Scores]]</f>
        <v>0.54798761609907121</v>
      </c>
      <c r="W94" s="20">
        <v>1460</v>
      </c>
      <c r="X94" s="20">
        <f>Table1[[#This Row],[Raw Freshwater Score]]/Table1[[#This Row],[Summed Raw Scores]]</f>
        <v>0.45201238390092879</v>
      </c>
      <c r="Y94" s="20">
        <f>Table1[[#This Row],[Raw Terrestrial Score]]+Table1[[#This Row],[Raw Freshwater Score]]</f>
        <v>3230</v>
      </c>
      <c r="Z94" s="18">
        <f>Table1[[#This Row],[Terrestrial % of Summed Score]]*Table1[[#This Row],[Scaled Summed Score]]</f>
        <v>7.507512902656259E-2</v>
      </c>
      <c r="AA94" s="18">
        <f>Table1[[#This Row],[Freshwater % of Summed Score]]*Table1[[#This Row],[Scaled Summed Score]]</f>
        <v>6.1926377615130722E-2</v>
      </c>
      <c r="AB94" s="18">
        <f>(Table1[[#This Row],[Summed Raw Scores]]-MIN(Table1[Summed Raw Scores]))/(MAX(Table1[Summed Raw Scores])-MIN(Table1[Summed Raw Scores]))</f>
        <v>0.1370015066416933</v>
      </c>
      <c r="AC94" s="9"/>
    </row>
    <row r="95" spans="1:29" x14ac:dyDescent="0.3">
      <c r="A95" s="1" t="s">
        <v>220</v>
      </c>
      <c r="B95" s="1" t="s">
        <v>115</v>
      </c>
      <c r="C95" s="1" t="s">
        <v>22</v>
      </c>
      <c r="D95" s="2">
        <v>50.701239829999999</v>
      </c>
      <c r="E95" s="2">
        <v>-128.19938149999999</v>
      </c>
      <c r="F95" s="2">
        <v>33</v>
      </c>
      <c r="G95" s="1" t="s">
        <v>23</v>
      </c>
      <c r="H95" s="2">
        <v>8.4</v>
      </c>
      <c r="I95" s="2">
        <v>100.50348</v>
      </c>
      <c r="J95" s="2">
        <v>115.04631020901492</v>
      </c>
      <c r="K95" s="2" t="s">
        <v>23</v>
      </c>
      <c r="L95" s="2">
        <v>0.14142135620100002</v>
      </c>
      <c r="M95" s="2">
        <v>50.245585937500003</v>
      </c>
      <c r="N95" s="2">
        <f>Table1[[#This Row],[R1 Length (km)]]+Table1[[#This Row],[T1 Length (km)]]</f>
        <v>50.387007293701004</v>
      </c>
      <c r="O95" s="1">
        <v>69</v>
      </c>
      <c r="P95" s="1" t="s">
        <v>137</v>
      </c>
      <c r="Q95" s="3" t="s">
        <v>23</v>
      </c>
      <c r="R95" s="9" t="s">
        <v>23</v>
      </c>
      <c r="S95" s="9" t="s">
        <v>23</v>
      </c>
      <c r="T95" s="9">
        <f>145718.9/10000</f>
        <v>14.57189</v>
      </c>
      <c r="U95" s="20">
        <v>1122</v>
      </c>
      <c r="V95" s="20">
        <f>Table1[[#This Row],[Raw Terrestrial Score]]/Table1[[#This Row],[Summed Raw Scores]]</f>
        <v>0.34833902514746973</v>
      </c>
      <c r="W95" s="20">
        <v>2099</v>
      </c>
      <c r="X95" s="20">
        <f>Table1[[#This Row],[Raw Freshwater Score]]/Table1[[#This Row],[Summed Raw Scores]]</f>
        <v>0.65166097485253027</v>
      </c>
      <c r="Y95" s="20">
        <f>Table1[[#This Row],[Raw Terrestrial Score]]+Table1[[#This Row],[Raw Freshwater Score]]</f>
        <v>3221</v>
      </c>
      <c r="Z95" s="18">
        <f>Table1[[#This Row],[Terrestrial % of Summed Score]]*Table1[[#This Row],[Scaled Summed Score]]</f>
        <v>4.7589418176068925E-2</v>
      </c>
      <c r="AA95" s="18">
        <f>Table1[[#This Row],[Freshwater % of Summed Score]]*Table1[[#This Row],[Scaled Summed Score]]</f>
        <v>8.9028688726888308E-2</v>
      </c>
      <c r="AB95" s="18">
        <f>(Table1[[#This Row],[Summed Raw Scores]]-MIN(Table1[Summed Raw Scores]))/(MAX(Table1[Summed Raw Scores])-MIN(Table1[Summed Raw Scores]))</f>
        <v>0.13661810690295723</v>
      </c>
      <c r="AC95" s="9"/>
    </row>
    <row r="96" spans="1:29" x14ac:dyDescent="0.3">
      <c r="A96" s="1" t="s">
        <v>167</v>
      </c>
      <c r="B96" s="1" t="s">
        <v>115</v>
      </c>
      <c r="C96" s="1" t="s">
        <v>60</v>
      </c>
      <c r="D96" s="2">
        <v>55.22798306</v>
      </c>
      <c r="E96" s="2">
        <v>-123.42672570000001</v>
      </c>
      <c r="F96" s="2">
        <v>117</v>
      </c>
      <c r="G96" s="1" t="s">
        <v>23</v>
      </c>
      <c r="H96" s="2">
        <v>38.4</v>
      </c>
      <c r="I96" s="2">
        <v>477.38496000000004</v>
      </c>
      <c r="J96" s="2">
        <v>83.356993131118287</v>
      </c>
      <c r="K96" s="2" t="s">
        <v>23</v>
      </c>
      <c r="L96" s="2">
        <v>1.6485283203100001</v>
      </c>
      <c r="M96" s="2">
        <v>24.594826171874999</v>
      </c>
      <c r="N96" s="2">
        <f>Table1[[#This Row],[R1 Length (km)]]+Table1[[#This Row],[T1 Length (km)]]</f>
        <v>26.243354492184999</v>
      </c>
      <c r="O96" s="1">
        <v>130</v>
      </c>
      <c r="P96" s="1" t="s">
        <v>137</v>
      </c>
      <c r="Q96" s="3" t="s">
        <v>23</v>
      </c>
      <c r="R96" s="9" t="s">
        <v>23</v>
      </c>
      <c r="S96" s="9" t="s">
        <v>23</v>
      </c>
      <c r="T96" s="9">
        <v>20.36</v>
      </c>
      <c r="U96" s="20">
        <v>1643</v>
      </c>
      <c r="V96" s="20">
        <f>Table1[[#This Row],[Raw Terrestrial Score]]/Table1[[#This Row],[Summed Raw Scores]]</f>
        <v>0.51167860479601368</v>
      </c>
      <c r="W96" s="20">
        <v>1568</v>
      </c>
      <c r="X96" s="20">
        <f>Table1[[#This Row],[Raw Freshwater Score]]/Table1[[#This Row],[Summed Raw Scores]]</f>
        <v>0.48832139520398632</v>
      </c>
      <c r="Y96" s="20">
        <f>Table1[[#This Row],[Raw Terrestrial Score]]+Table1[[#This Row],[Raw Freshwater Score]]</f>
        <v>3211</v>
      </c>
      <c r="Z96" s="18">
        <f>Table1[[#This Row],[Terrestrial % of Summed Score]]*Table1[[#This Row],[Scaled Summed Score]]</f>
        <v>6.9686587392871549E-2</v>
      </c>
      <c r="AA96" s="18">
        <f>Table1[[#This Row],[Freshwater % of Summed Score]]*Table1[[#This Row],[Scaled Summed Score]]</f>
        <v>6.6505519800378929E-2</v>
      </c>
      <c r="AB96" s="18">
        <f>(Table1[[#This Row],[Summed Raw Scores]]-MIN(Table1[Summed Raw Scores]))/(MAX(Table1[Summed Raw Scores])-MIN(Table1[Summed Raw Scores]))</f>
        <v>0.13619210719325048</v>
      </c>
      <c r="AC96" s="9"/>
    </row>
    <row r="97" spans="1:29" x14ac:dyDescent="0.3">
      <c r="A97" s="1" t="s">
        <v>198</v>
      </c>
      <c r="B97" s="1" t="s">
        <v>115</v>
      </c>
      <c r="C97" s="1" t="s">
        <v>88</v>
      </c>
      <c r="D97" s="2">
        <v>50.190878660000003</v>
      </c>
      <c r="E97" s="2">
        <v>-119.67523540000001</v>
      </c>
      <c r="F97" s="2">
        <v>81</v>
      </c>
      <c r="G97" s="1" t="s">
        <v>23</v>
      </c>
      <c r="H97" s="2">
        <v>20.399999999999999</v>
      </c>
      <c r="I97" s="2">
        <v>258.37619999999998</v>
      </c>
      <c r="J97" s="2">
        <v>85.143636170844871</v>
      </c>
      <c r="K97" s="2" t="s">
        <v>23</v>
      </c>
      <c r="L97" s="2">
        <v>0.1</v>
      </c>
      <c r="M97" s="2">
        <v>36.799999999999997</v>
      </c>
      <c r="N97" s="2">
        <f>Table1[[#This Row],[R1 Length (km)]]+Table1[[#This Row],[T1 Length (km)]]</f>
        <v>36.9</v>
      </c>
      <c r="O97" s="1">
        <v>130</v>
      </c>
      <c r="P97" s="1" t="s">
        <v>116</v>
      </c>
      <c r="Q97" s="1">
        <v>17</v>
      </c>
      <c r="R97" s="9" t="s">
        <v>23</v>
      </c>
      <c r="S97" s="9" t="s">
        <v>23</v>
      </c>
      <c r="T97" s="9">
        <f>((PI()*(45^2))*Table1[[#This Row],[Number of Turbines - WIND]])/10000</f>
        <v>10.814932709982862</v>
      </c>
      <c r="U97" s="20">
        <f>2135+134</f>
        <v>2269</v>
      </c>
      <c r="V97" s="20">
        <f>Table1[[#This Row],[Raw Terrestrial Score]]/Table1[[#This Row],[Summed Raw Scores]]</f>
        <v>0.710325792223789</v>
      </c>
      <c r="W97" s="20">
        <f>139.3089+786</f>
        <v>925.30889999999999</v>
      </c>
      <c r="X97" s="20">
        <f>Table1[[#This Row],[Raw Freshwater Score]]/Table1[[#This Row],[Summed Raw Scores]]</f>
        <v>0.289674207776211</v>
      </c>
      <c r="Y97" s="20">
        <f>Table1[[#This Row],[Raw Terrestrial Score]]+Table1[[#This Row],[Raw Freshwater Score]]</f>
        <v>3194.3089</v>
      </c>
      <c r="Z97" s="18">
        <f>Table1[[#This Row],[Terrestrial % of Summed Score]]*Table1[[#This Row],[Scaled Summed Score]]</f>
        <v>9.6235696118664962E-2</v>
      </c>
      <c r="AA97" s="18">
        <f>Table1[[#This Row],[Freshwater % of Summed Score]]*Table1[[#This Row],[Scaled Summed Score]]</f>
        <v>3.9245370699116856E-2</v>
      </c>
      <c r="AB97" s="18">
        <f>(Table1[[#This Row],[Summed Raw Scores]]-MIN(Table1[Summed Raw Scores]))/(MAX(Table1[Summed Raw Scores])-MIN(Table1[Summed Raw Scores]))</f>
        <v>0.13548106681778183</v>
      </c>
      <c r="AC97" s="9"/>
    </row>
    <row r="98" spans="1:29" x14ac:dyDescent="0.3">
      <c r="A98" s="1" t="s">
        <v>90</v>
      </c>
      <c r="B98" s="1" t="s">
        <v>59</v>
      </c>
      <c r="C98" s="1" t="s">
        <v>26</v>
      </c>
      <c r="D98" s="2">
        <v>49.889407990000002</v>
      </c>
      <c r="E98" s="2">
        <v>-120.5026211</v>
      </c>
      <c r="F98" s="2">
        <v>93.112615384600005</v>
      </c>
      <c r="G98" s="2" t="s">
        <v>23</v>
      </c>
      <c r="H98" s="2" t="s">
        <v>23</v>
      </c>
      <c r="I98" s="2">
        <v>170.19574378574288</v>
      </c>
      <c r="J98" s="2">
        <v>100.34437055329255</v>
      </c>
      <c r="K98" s="2" t="s">
        <v>23</v>
      </c>
      <c r="L98" s="2">
        <v>0.3</v>
      </c>
      <c r="M98" s="2">
        <v>34.9</v>
      </c>
      <c r="N98" s="2">
        <f>Table1[[#This Row],[R1 Length (km)]]+Table1[[#This Row],[T1 Length (km)]]</f>
        <v>35.199999999999996</v>
      </c>
      <c r="O98" s="1">
        <v>130</v>
      </c>
      <c r="P98" s="3" t="s">
        <v>23</v>
      </c>
      <c r="Q98" s="3" t="s">
        <v>23</v>
      </c>
      <c r="R98" s="2">
        <v>169.29000000000002</v>
      </c>
      <c r="S98" s="2">
        <v>67.716000000000008</v>
      </c>
      <c r="T98" s="2">
        <v>169.29000000000002</v>
      </c>
      <c r="U98" s="20">
        <v>1836</v>
      </c>
      <c r="V98" s="20">
        <f>Table1[[#This Row],[Raw Terrestrial Score]]/Table1[[#This Row],[Summed Raw Scores]]</f>
        <v>0.5802781289506953</v>
      </c>
      <c r="W98" s="20">
        <v>1328</v>
      </c>
      <c r="X98" s="20">
        <f>Table1[[#This Row],[Raw Freshwater Score]]/Table1[[#This Row],[Summed Raw Scores]]</f>
        <v>0.4197218710493047</v>
      </c>
      <c r="Y98" s="20">
        <f>Table1[[#This Row],[Raw Terrestrial Score]]+Table1[[#This Row],[Raw Freshwater Score]]</f>
        <v>3164</v>
      </c>
      <c r="Z98" s="18">
        <f>Table1[[#This Row],[Terrestrial % of Summed Score]]*Table1[[#This Row],[Scaled Summed Score]]</f>
        <v>7.7867469061885686E-2</v>
      </c>
      <c r="AA98" s="18">
        <f>Table1[[#This Row],[Freshwater % of Summed Score]]*Table1[[#This Row],[Scaled Summed Score]]</f>
        <v>5.6322439495743032E-2</v>
      </c>
      <c r="AB98" s="18">
        <f>(Table1[[#This Row],[Summed Raw Scores]]-MIN(Table1[Summed Raw Scores]))/(MAX(Table1[Summed Raw Scores])-MIN(Table1[Summed Raw Scores]))</f>
        <v>0.13418990855762872</v>
      </c>
      <c r="AC98" s="9"/>
    </row>
    <row r="99" spans="1:29" x14ac:dyDescent="0.3">
      <c r="A99" s="1" t="s">
        <v>138</v>
      </c>
      <c r="B99" s="1" t="s">
        <v>115</v>
      </c>
      <c r="C99" s="1" t="s">
        <v>31</v>
      </c>
      <c r="D99" s="2">
        <v>54.280761560000002</v>
      </c>
      <c r="E99" s="2">
        <v>-125.5268817</v>
      </c>
      <c r="F99" s="2">
        <v>195</v>
      </c>
      <c r="G99" s="1" t="s">
        <v>23</v>
      </c>
      <c r="H99" s="2">
        <v>46.8</v>
      </c>
      <c r="I99" s="2">
        <v>516.38886000000002</v>
      </c>
      <c r="J99" s="2">
        <v>84.12008727319369</v>
      </c>
      <c r="K99" s="2" t="s">
        <v>23</v>
      </c>
      <c r="L99" s="2">
        <v>1.48994958496</v>
      </c>
      <c r="M99" s="2">
        <v>42.6198046875</v>
      </c>
      <c r="N99" s="2">
        <f>Table1[[#This Row],[R1 Length (km)]]+Table1[[#This Row],[T1 Length (km)]]</f>
        <v>44.109754272460002</v>
      </c>
      <c r="O99" s="1">
        <v>230</v>
      </c>
      <c r="P99" s="1" t="s">
        <v>116</v>
      </c>
      <c r="Q99" s="1">
        <v>39</v>
      </c>
      <c r="R99" s="9" t="s">
        <v>23</v>
      </c>
      <c r="S99" s="9" t="s">
        <v>23</v>
      </c>
      <c r="T99" s="9">
        <f>((PI()*(45^2))*Table1[[#This Row],[Number of Turbines - WIND]])/10000</f>
        <v>24.810727981725389</v>
      </c>
      <c r="U99" s="20">
        <f>989+215.8052</f>
        <v>1204.8052</v>
      </c>
      <c r="V99" s="20">
        <f>Table1[[#This Row],[Raw Terrestrial Score]]/Table1[[#This Row],[Summed Raw Scores]]</f>
        <v>0.382840093073465</v>
      </c>
      <c r="W99" s="20">
        <f>217.2142+1725</f>
        <v>1942.2141999999999</v>
      </c>
      <c r="X99" s="20">
        <f>Table1[[#This Row],[Raw Freshwater Score]]/Table1[[#This Row],[Summed Raw Scores]]</f>
        <v>0.61715990692653488</v>
      </c>
      <c r="Y99" s="20">
        <f>Table1[[#This Row],[Raw Terrestrial Score]]+Table1[[#This Row],[Raw Freshwater Score]]</f>
        <v>3147.0194000000001</v>
      </c>
      <c r="Z99" s="18">
        <f>Table1[[#This Row],[Terrestrial % of Summed Score]]*Table1[[#This Row],[Scaled Summed Score]]</f>
        <v>5.1096340869400465E-2</v>
      </c>
      <c r="AA99" s="18">
        <f>Table1[[#This Row],[Freshwater % of Summed Score]]*Table1[[#This Row],[Scaled Summed Score]]</f>
        <v>8.2370194621163573E-2</v>
      </c>
      <c r="AB99" s="18">
        <f>(Table1[[#This Row],[Summed Raw Scores]]-MIN(Table1[Summed Raw Scores]))/(MAX(Table1[Summed Raw Scores])-MIN(Table1[Summed Raw Scores]))</f>
        <v>0.13346653549056406</v>
      </c>
      <c r="AC99" s="9"/>
    </row>
    <row r="100" spans="1:29" x14ac:dyDescent="0.3">
      <c r="A100" s="1" t="s">
        <v>177</v>
      </c>
      <c r="B100" s="1" t="s">
        <v>115</v>
      </c>
      <c r="C100" s="1" t="s">
        <v>28</v>
      </c>
      <c r="D100" s="2">
        <v>55.729118999999997</v>
      </c>
      <c r="E100" s="2">
        <v>-121.80133600000001</v>
      </c>
      <c r="F100" s="2">
        <v>186</v>
      </c>
      <c r="G100" s="1" t="s">
        <v>23</v>
      </c>
      <c r="H100" s="2">
        <v>45.6</v>
      </c>
      <c r="I100" s="2">
        <v>549.25199999999995</v>
      </c>
      <c r="J100" s="2">
        <v>76.208568497958495</v>
      </c>
      <c r="K100" s="2" t="s">
        <v>23</v>
      </c>
      <c r="L100" s="2">
        <v>8.5299999999999994</v>
      </c>
      <c r="M100" s="2">
        <v>26.352185546874999</v>
      </c>
      <c r="N100" s="2">
        <f>Table1[[#This Row],[R1 Length (km)]]+Table1[[#This Row],[T1 Length (km)]]</f>
        <v>34.882185546875</v>
      </c>
      <c r="O100" s="1">
        <v>230</v>
      </c>
      <c r="P100" s="1" t="s">
        <v>137</v>
      </c>
      <c r="Q100" s="3" t="s">
        <v>23</v>
      </c>
      <c r="R100" s="9" t="s">
        <v>23</v>
      </c>
      <c r="S100" s="9" t="s">
        <v>23</v>
      </c>
      <c r="T100" s="9">
        <v>24.17</v>
      </c>
      <c r="U100" s="20">
        <v>1694</v>
      </c>
      <c r="V100" s="20">
        <f>Table1[[#This Row],[Raw Terrestrial Score]]/Table1[[#This Row],[Summed Raw Scores]]</f>
        <v>0.54190658989123486</v>
      </c>
      <c r="W100" s="20">
        <v>1432</v>
      </c>
      <c r="X100" s="20">
        <f>Table1[[#This Row],[Raw Freshwater Score]]/Table1[[#This Row],[Summed Raw Scores]]</f>
        <v>0.4580934101087652</v>
      </c>
      <c r="Y100" s="20">
        <f>Table1[[#This Row],[Raw Terrestrial Score]]+Table1[[#This Row],[Raw Freshwater Score]]</f>
        <v>3126</v>
      </c>
      <c r="Z100" s="18">
        <f>Table1[[#This Row],[Terrestrial % of Summed Score]]*Table1[[#This Row],[Scaled Summed Score]]</f>
        <v>7.1841157954350199E-2</v>
      </c>
      <c r="AA100" s="18">
        <f>Table1[[#This Row],[Freshwater % of Summed Score]]*Table1[[#This Row],[Scaled Summed Score]]</f>
        <v>6.0729951706392844E-2</v>
      </c>
      <c r="AB100" s="18">
        <f>(Table1[[#This Row],[Summed Raw Scores]]-MIN(Table1[Summed Raw Scores]))/(MAX(Table1[Summed Raw Scores])-MIN(Table1[Summed Raw Scores]))</f>
        <v>0.13257110966074304</v>
      </c>
      <c r="AC100" s="9"/>
    </row>
    <row r="101" spans="1:29" x14ac:dyDescent="0.3">
      <c r="A101" s="1" t="s">
        <v>170</v>
      </c>
      <c r="B101" s="1" t="s">
        <v>115</v>
      </c>
      <c r="C101" s="1" t="s">
        <v>28</v>
      </c>
      <c r="D101" s="12">
        <v>55.438547239999998</v>
      </c>
      <c r="E101" s="12">
        <v>-122.1718735</v>
      </c>
      <c r="F101" s="2">
        <v>153</v>
      </c>
      <c r="G101" s="1" t="s">
        <v>23</v>
      </c>
      <c r="H101" s="9">
        <v>36</v>
      </c>
      <c r="I101" s="9">
        <v>694.58039999999994</v>
      </c>
      <c r="J101" s="9">
        <v>50.959020257979866</v>
      </c>
      <c r="K101" s="2" t="s">
        <v>23</v>
      </c>
      <c r="L101" s="2">
        <v>4.9000000000000004</v>
      </c>
      <c r="M101" s="9">
        <v>45.674933593749998</v>
      </c>
      <c r="N101" s="9">
        <f>Table1[[#This Row],[R1 Length (km)]]+Table1[[#This Row],[T1 Length (km)]]</f>
        <v>50.574933593749996</v>
      </c>
      <c r="O101" s="5">
        <v>130</v>
      </c>
      <c r="P101" s="5" t="s">
        <v>137</v>
      </c>
      <c r="Q101" s="3" t="s">
        <v>23</v>
      </c>
      <c r="R101" s="9" t="s">
        <v>23</v>
      </c>
      <c r="S101" s="9" t="s">
        <v>23</v>
      </c>
      <c r="T101" s="9">
        <v>19.09</v>
      </c>
      <c r="U101" s="20">
        <v>1648</v>
      </c>
      <c r="V101" s="20">
        <f>Table1[[#This Row],[Raw Terrestrial Score]]/Table1[[#This Row],[Summed Raw Scores]]</f>
        <v>0.53058596265292979</v>
      </c>
      <c r="W101" s="20">
        <v>1458</v>
      </c>
      <c r="X101" s="20">
        <f>Table1[[#This Row],[Raw Freshwater Score]]/Table1[[#This Row],[Summed Raw Scores]]</f>
        <v>0.46941403734707021</v>
      </c>
      <c r="Y101" s="20">
        <f>Table1[[#This Row],[Raw Terrestrial Score]]+Table1[[#This Row],[Raw Freshwater Score]]</f>
        <v>3106</v>
      </c>
      <c r="Z101" s="18">
        <f>Table1[[#This Row],[Terrestrial % of Summed Score]]*Table1[[#This Row],[Scaled Summed Score]]</f>
        <v>6.9888310907183199E-2</v>
      </c>
      <c r="AA101" s="18">
        <f>Table1[[#This Row],[Freshwater % of Summed Score]]*Table1[[#This Row],[Scaled Summed Score]]</f>
        <v>6.1830799334146314E-2</v>
      </c>
      <c r="AB101" s="18">
        <f>(Table1[[#This Row],[Summed Raw Scores]]-MIN(Table1[Summed Raw Scores]))/(MAX(Table1[Summed Raw Scores])-MIN(Table1[Summed Raw Scores]))</f>
        <v>0.13171911024132951</v>
      </c>
      <c r="AC101" s="9"/>
    </row>
    <row r="102" spans="1:29" x14ac:dyDescent="0.3">
      <c r="A102" s="1" t="s">
        <v>204</v>
      </c>
      <c r="B102" s="1" t="s">
        <v>115</v>
      </c>
      <c r="C102" s="1" t="s">
        <v>26</v>
      </c>
      <c r="D102" s="2">
        <v>50.152938370000001</v>
      </c>
      <c r="E102" s="2">
        <v>-121.27388120000001</v>
      </c>
      <c r="F102" s="2">
        <v>192</v>
      </c>
      <c r="G102" s="1" t="s">
        <v>23</v>
      </c>
      <c r="H102" s="2">
        <v>46.8</v>
      </c>
      <c r="I102" s="2">
        <v>671.15178000000003</v>
      </c>
      <c r="J102" s="2">
        <v>77.926025114283874</v>
      </c>
      <c r="K102" s="2" t="s">
        <v>23</v>
      </c>
      <c r="L102" s="2">
        <v>2.7</v>
      </c>
      <c r="M102" s="2">
        <v>80.900000000000006</v>
      </c>
      <c r="N102" s="2">
        <f>Table1[[#This Row],[R1 Length (km)]]+Table1[[#This Row],[T1 Length (km)]]</f>
        <v>83.600000000000009</v>
      </c>
      <c r="O102" s="1">
        <v>230</v>
      </c>
      <c r="P102" s="1" t="s">
        <v>137</v>
      </c>
      <c r="Q102" s="3" t="s">
        <v>23</v>
      </c>
      <c r="R102" s="9" t="s">
        <v>23</v>
      </c>
      <c r="S102" s="9" t="s">
        <v>23</v>
      </c>
      <c r="T102" s="9">
        <v>24.81</v>
      </c>
      <c r="U102" s="20">
        <v>1287</v>
      </c>
      <c r="V102" s="20">
        <f>Table1[[#This Row],[Raw Terrestrial Score]]/Table1[[#This Row],[Summed Raw Scores]]</f>
        <v>0.41935483870967744</v>
      </c>
      <c r="W102" s="20">
        <v>1782</v>
      </c>
      <c r="X102" s="20">
        <f>Table1[[#This Row],[Raw Freshwater Score]]/Table1[[#This Row],[Summed Raw Scores]]</f>
        <v>0.58064516129032262</v>
      </c>
      <c r="Y102" s="20">
        <f>Table1[[#This Row],[Raw Terrestrial Score]]+Table1[[#This Row],[Raw Freshwater Score]]</f>
        <v>3069</v>
      </c>
      <c r="Z102" s="18">
        <f>Table1[[#This Row],[Terrestrial % of Summed Score]]*Table1[[#This Row],[Scaled Summed Score]]</f>
        <v>5.45760595838835E-2</v>
      </c>
      <c r="AA102" s="18">
        <f>Table1[[#This Row],[Freshwater % of Summed Score]]*Table1[[#This Row],[Scaled Summed Score]]</f>
        <v>7.5566851731531007E-2</v>
      </c>
      <c r="AB102" s="18">
        <f>(Table1[[#This Row],[Summed Raw Scores]]-MIN(Table1[Summed Raw Scores]))/(MAX(Table1[Summed Raw Scores])-MIN(Table1[Summed Raw Scores]))</f>
        <v>0.1301429113154145</v>
      </c>
      <c r="AC102" s="9"/>
    </row>
    <row r="103" spans="1:29" x14ac:dyDescent="0.3">
      <c r="A103" s="1" t="s">
        <v>201</v>
      </c>
      <c r="B103" s="1" t="s">
        <v>115</v>
      </c>
      <c r="C103" s="1" t="s">
        <v>26</v>
      </c>
      <c r="D103" s="2">
        <v>51.175719659999999</v>
      </c>
      <c r="E103" s="2">
        <v>-122.474124</v>
      </c>
      <c r="F103" s="2">
        <v>54</v>
      </c>
      <c r="G103" s="1" t="s">
        <v>23</v>
      </c>
      <c r="H103" s="2">
        <v>13.2</v>
      </c>
      <c r="I103" s="2">
        <v>160.05395999999999</v>
      </c>
      <c r="J103" s="2">
        <v>89.798275246286522</v>
      </c>
      <c r="K103" s="2" t="s">
        <v>23</v>
      </c>
      <c r="L103" s="2">
        <v>2.6</v>
      </c>
      <c r="M103" s="2">
        <v>38.5</v>
      </c>
      <c r="N103" s="2">
        <f>Table1[[#This Row],[R1 Length (km)]]+Table1[[#This Row],[T1 Length (km)]]</f>
        <v>41.1</v>
      </c>
      <c r="O103" s="1">
        <v>69</v>
      </c>
      <c r="P103" s="1" t="s">
        <v>137</v>
      </c>
      <c r="Q103" s="3" t="s">
        <v>23</v>
      </c>
      <c r="R103" s="9" t="s">
        <v>23</v>
      </c>
      <c r="S103" s="9" t="s">
        <v>23</v>
      </c>
      <c r="T103" s="9">
        <v>7</v>
      </c>
      <c r="U103" s="20">
        <v>1369</v>
      </c>
      <c r="V103" s="20">
        <f>Table1[[#This Row],[Raw Terrestrial Score]]/Table1[[#This Row],[Summed Raw Scores]]</f>
        <v>0.46001344086021506</v>
      </c>
      <c r="W103" s="20">
        <v>1607</v>
      </c>
      <c r="X103" s="20">
        <f>Table1[[#This Row],[Raw Freshwater Score]]/Table1[[#This Row],[Summed Raw Scores]]</f>
        <v>0.53998655913978499</v>
      </c>
      <c r="Y103" s="20">
        <f>Table1[[#This Row],[Raw Terrestrial Score]]+Table1[[#This Row],[Raw Freshwater Score]]</f>
        <v>2976</v>
      </c>
      <c r="Z103" s="18">
        <f>Table1[[#This Row],[Terrestrial % of Summed Score]]*Table1[[#This Row],[Scaled Summed Score]]</f>
        <v>5.8045008429680432E-2</v>
      </c>
      <c r="AA103" s="18">
        <f>Table1[[#This Row],[Freshwater % of Summed Score]]*Table1[[#This Row],[Scaled Summed Score]]</f>
        <v>6.8136105585461251E-2</v>
      </c>
      <c r="AB103" s="18">
        <f>(Table1[[#This Row],[Summed Raw Scores]]-MIN(Table1[Summed Raw Scores]))/(MAX(Table1[Summed Raw Scores])-MIN(Table1[Summed Raw Scores]))</f>
        <v>0.12618111401514168</v>
      </c>
      <c r="AC103" s="9"/>
    </row>
    <row r="104" spans="1:29" x14ac:dyDescent="0.3">
      <c r="A104" s="1" t="s">
        <v>141</v>
      </c>
      <c r="B104" s="1" t="s">
        <v>115</v>
      </c>
      <c r="C104" s="1" t="s">
        <v>60</v>
      </c>
      <c r="D104" s="2">
        <v>53.187641970000001</v>
      </c>
      <c r="E104" s="2">
        <v>-121.9923874</v>
      </c>
      <c r="F104" s="2">
        <v>75</v>
      </c>
      <c r="G104" s="1" t="s">
        <v>23</v>
      </c>
      <c r="H104" s="2">
        <v>18</v>
      </c>
      <c r="I104" s="2">
        <v>212.47380000000001</v>
      </c>
      <c r="J104" s="2">
        <v>98.4377501225039</v>
      </c>
      <c r="K104" s="2" t="s">
        <v>23</v>
      </c>
      <c r="L104" s="2">
        <v>1.8970565185499999</v>
      </c>
      <c r="M104" s="2">
        <v>36.525691406249997</v>
      </c>
      <c r="N104" s="2">
        <f>Table1[[#This Row],[R1 Length (km)]]+Table1[[#This Row],[T1 Length (km)]]</f>
        <v>38.422747924799999</v>
      </c>
      <c r="O104" s="1">
        <v>230</v>
      </c>
      <c r="P104" s="1" t="s">
        <v>137</v>
      </c>
      <c r="Q104" s="3" t="s">
        <v>23</v>
      </c>
      <c r="R104" s="9" t="s">
        <v>23</v>
      </c>
      <c r="S104" s="9" t="s">
        <v>23</v>
      </c>
      <c r="T104" s="9">
        <f>1110924/10000</f>
        <v>111.0924</v>
      </c>
      <c r="U104" s="20">
        <v>1342</v>
      </c>
      <c r="V104" s="20">
        <f>Table1[[#This Row],[Raw Terrestrial Score]]/Table1[[#This Row],[Summed Raw Scores]]</f>
        <v>0.45491525423728812</v>
      </c>
      <c r="W104" s="20">
        <v>1608</v>
      </c>
      <c r="X104" s="20">
        <f>Table1[[#This Row],[Raw Freshwater Score]]/Table1[[#This Row],[Summed Raw Scores]]</f>
        <v>0.54508474576271182</v>
      </c>
      <c r="Y104" s="20">
        <f>Table1[[#This Row],[Raw Terrestrial Score]]+Table1[[#This Row],[Raw Freshwater Score]]</f>
        <v>2950</v>
      </c>
      <c r="Z104" s="18">
        <f>Table1[[#This Row],[Terrestrial % of Summed Score]]*Table1[[#This Row],[Scaled Summed Score]]</f>
        <v>5.6897849769902129E-2</v>
      </c>
      <c r="AA104" s="18">
        <f>Table1[[#This Row],[Freshwater % of Summed Score]]*Table1[[#This Row],[Scaled Summed Score]]</f>
        <v>6.8175665000001953E-2</v>
      </c>
      <c r="AB104" s="18">
        <f>(Table1[[#This Row],[Summed Raw Scores]]-MIN(Table1[Summed Raw Scores]))/(MAX(Table1[Summed Raw Scores])-MIN(Table1[Summed Raw Scores]))</f>
        <v>0.12507351476990408</v>
      </c>
      <c r="AC104" s="9"/>
    </row>
    <row r="105" spans="1:29" x14ac:dyDescent="0.3">
      <c r="A105" s="1" t="s">
        <v>202</v>
      </c>
      <c r="B105" s="1" t="s">
        <v>115</v>
      </c>
      <c r="C105" s="1" t="s">
        <v>26</v>
      </c>
      <c r="D105" s="2">
        <v>51.025660500000001</v>
      </c>
      <c r="E105" s="2">
        <v>-122.15500520000001</v>
      </c>
      <c r="F105" s="2">
        <v>39</v>
      </c>
      <c r="G105" s="1" t="s">
        <v>23</v>
      </c>
      <c r="H105" s="2">
        <v>9.6</v>
      </c>
      <c r="I105" s="2">
        <v>124.21679999999999</v>
      </c>
      <c r="J105" s="2">
        <v>88.564118456528348</v>
      </c>
      <c r="K105" s="2" t="s">
        <v>23</v>
      </c>
      <c r="L105" s="2">
        <v>1.1000000000000001</v>
      </c>
      <c r="M105" s="2">
        <v>30</v>
      </c>
      <c r="N105" s="2">
        <f>Table1[[#This Row],[R1 Length (km)]]+Table1[[#This Row],[T1 Length (km)]]</f>
        <v>31.1</v>
      </c>
      <c r="O105" s="1">
        <v>69</v>
      </c>
      <c r="P105" s="1" t="s">
        <v>137</v>
      </c>
      <c r="Q105" s="3" t="s">
        <v>23</v>
      </c>
      <c r="R105" s="9" t="s">
        <v>23</v>
      </c>
      <c r="S105" s="9" t="s">
        <v>23</v>
      </c>
      <c r="T105" s="9">
        <v>5.09</v>
      </c>
      <c r="U105" s="20">
        <v>1426</v>
      </c>
      <c r="V105" s="20">
        <f>Table1[[#This Row],[Raw Terrestrial Score]]/Table1[[#This Row],[Summed Raw Scores]]</f>
        <v>0.49376731301939059</v>
      </c>
      <c r="W105" s="20">
        <v>1462</v>
      </c>
      <c r="X105" s="20">
        <f>Table1[[#This Row],[Raw Freshwater Score]]/Table1[[#This Row],[Summed Raw Scores]]</f>
        <v>0.50623268698060941</v>
      </c>
      <c r="Y105" s="20">
        <f>Table1[[#This Row],[Raw Terrestrial Score]]+Table1[[#This Row],[Raw Freshwater Score]]</f>
        <v>2888</v>
      </c>
      <c r="Z105" s="18">
        <f>Table1[[#This Row],[Terrestrial % of Summed Score]]*Table1[[#This Row],[Scaled Summed Score]]</f>
        <v>6.0453075979371142E-2</v>
      </c>
      <c r="AA105" s="18">
        <f>Table1[[#This Row],[Freshwater % of Summed Score]]*Table1[[#This Row],[Scaled Summed Score]]</f>
        <v>6.1979240590351058E-2</v>
      </c>
      <c r="AB105" s="18">
        <f>(Table1[[#This Row],[Summed Raw Scores]]-MIN(Table1[Summed Raw Scores]))/(MAX(Table1[Summed Raw Scores])-MIN(Table1[Summed Raw Scores]))</f>
        <v>0.1224323165697222</v>
      </c>
      <c r="AC105" s="9"/>
    </row>
    <row r="106" spans="1:29" x14ac:dyDescent="0.3">
      <c r="A106" s="1" t="s">
        <v>51</v>
      </c>
      <c r="B106" s="1" t="s">
        <v>43</v>
      </c>
      <c r="C106" s="1" t="s">
        <v>33</v>
      </c>
      <c r="D106" s="11">
        <v>49.755810000899999</v>
      </c>
      <c r="E106" s="11">
        <v>-123.601969999</v>
      </c>
      <c r="F106" s="2">
        <v>1000</v>
      </c>
      <c r="G106" s="2" t="s">
        <v>23</v>
      </c>
      <c r="H106" s="9">
        <v>495</v>
      </c>
      <c r="I106" s="2" t="s">
        <v>23</v>
      </c>
      <c r="J106" s="2" t="s">
        <v>23</v>
      </c>
      <c r="K106" s="13">
        <v>170.55434646464647</v>
      </c>
      <c r="L106" s="11">
        <v>0.42426406860400001</v>
      </c>
      <c r="M106" s="9">
        <v>31.430865786513319</v>
      </c>
      <c r="N106" s="9">
        <f>Table1[[#This Row],[R1 Length (km)]]+Table1[[#This Row],[T1 Length (km)]]</f>
        <v>31.855129855117319</v>
      </c>
      <c r="O106" s="3">
        <v>500</v>
      </c>
      <c r="P106" s="3" t="s">
        <v>23</v>
      </c>
      <c r="Q106" s="3" t="s">
        <v>23</v>
      </c>
      <c r="R106" s="9" t="s">
        <v>23</v>
      </c>
      <c r="S106" s="9" t="s">
        <v>23</v>
      </c>
      <c r="T106" s="9">
        <v>31.43</v>
      </c>
      <c r="U106" s="20">
        <v>1178</v>
      </c>
      <c r="V106" s="20">
        <f>Table1[[#This Row],[Raw Terrestrial Score]]/Table1[[#This Row],[Summed Raw Scores]]</f>
        <v>0.41102581995812981</v>
      </c>
      <c r="W106" s="20">
        <v>1688</v>
      </c>
      <c r="X106" s="20">
        <f>Table1[[#This Row],[Raw Freshwater Score]]/Table1[[#This Row],[Summed Raw Scores]]</f>
        <v>0.58897418004187019</v>
      </c>
      <c r="Y106" s="20">
        <f>Table1[[#This Row],[Raw Terrestrial Score]]+Table1[[#This Row],[Raw Freshwater Score]]</f>
        <v>2866</v>
      </c>
      <c r="Z106" s="18">
        <f>Table1[[#This Row],[Terrestrial % of Summed Score]]*Table1[[#This Row],[Scaled Summed Score]]</f>
        <v>4.9937630171478266E-2</v>
      </c>
      <c r="AA106" s="18">
        <f>Table1[[#This Row],[Freshwater % of Summed Score]]*Table1[[#This Row],[Scaled Summed Score]]</f>
        <v>7.155748703688905E-2</v>
      </c>
      <c r="AB106" s="18">
        <f>(Table1[[#This Row],[Summed Raw Scores]]-MIN(Table1[Summed Raw Scores]))/(MAX(Table1[Summed Raw Scores])-MIN(Table1[Summed Raw Scores]))</f>
        <v>0.12149511720836732</v>
      </c>
      <c r="AC106" s="9"/>
    </row>
    <row r="107" spans="1:29" x14ac:dyDescent="0.3">
      <c r="A107" s="1" t="s">
        <v>89</v>
      </c>
      <c r="B107" s="1" t="s">
        <v>59</v>
      </c>
      <c r="C107" s="1" t="s">
        <v>26</v>
      </c>
      <c r="D107" s="2">
        <v>49.898999539999998</v>
      </c>
      <c r="E107" s="2">
        <v>-120.7697282</v>
      </c>
      <c r="F107" s="2">
        <v>49.447384615399997</v>
      </c>
      <c r="G107" s="2" t="s">
        <v>23</v>
      </c>
      <c r="H107" s="2" t="s">
        <v>23</v>
      </c>
      <c r="I107" s="2">
        <v>89.402938088887296</v>
      </c>
      <c r="J107" s="2">
        <v>104.10619883880203</v>
      </c>
      <c r="K107" s="2" t="s">
        <v>23</v>
      </c>
      <c r="L107" s="2">
        <v>0</v>
      </c>
      <c r="M107" s="2">
        <v>25.5</v>
      </c>
      <c r="N107" s="2">
        <f>Table1[[#This Row],[R1 Length (km)]]+Table1[[#This Row],[T1 Length (km)]]</f>
        <v>25.5</v>
      </c>
      <c r="O107" s="1">
        <v>69</v>
      </c>
      <c r="P107" s="3" t="s">
        <v>23</v>
      </c>
      <c r="Q107" s="3" t="s">
        <v>23</v>
      </c>
      <c r="R107" s="2">
        <v>624.51</v>
      </c>
      <c r="S107" s="2">
        <v>249.804</v>
      </c>
      <c r="T107" s="2">
        <v>624.51</v>
      </c>
      <c r="U107" s="20">
        <v>1377</v>
      </c>
      <c r="V107" s="20">
        <f>Table1[[#This Row],[Raw Terrestrial Score]]/Table1[[#This Row],[Summed Raw Scores]]</f>
        <v>0.48708878669968164</v>
      </c>
      <c r="W107" s="20">
        <v>1450</v>
      </c>
      <c r="X107" s="20">
        <f>Table1[[#This Row],[Raw Freshwater Score]]/Table1[[#This Row],[Summed Raw Scores]]</f>
        <v>0.51291121330031841</v>
      </c>
      <c r="Y107" s="20">
        <f>Table1[[#This Row],[Raw Terrestrial Score]]+Table1[[#This Row],[Raw Freshwater Score]]</f>
        <v>2827</v>
      </c>
      <c r="Z107" s="18">
        <f>Table1[[#This Row],[Terrestrial % of Summed Score]]*Table1[[#This Row],[Scaled Summed Score]]</f>
        <v>5.8369660472190874E-2</v>
      </c>
      <c r="AA107" s="18">
        <f>Table1[[#This Row],[Freshwater % of Summed Score]]*Table1[[#This Row],[Scaled Summed Score]]</f>
        <v>6.1464057868320099E-2</v>
      </c>
      <c r="AB107" s="18">
        <f>(Table1[[#This Row],[Summed Raw Scores]]-MIN(Table1[Summed Raw Scores]))/(MAX(Table1[Summed Raw Scores])-MIN(Table1[Summed Raw Scores]))</f>
        <v>0.11983371834051097</v>
      </c>
      <c r="AC107" s="9"/>
    </row>
    <row r="108" spans="1:29" x14ac:dyDescent="0.3">
      <c r="A108" s="1" t="s">
        <v>174</v>
      </c>
      <c r="B108" s="1" t="s">
        <v>115</v>
      </c>
      <c r="C108" s="1" t="s">
        <v>28</v>
      </c>
      <c r="D108" s="2">
        <v>55.960574549999997</v>
      </c>
      <c r="E108" s="2">
        <v>-120.86637829999999</v>
      </c>
      <c r="F108" s="2">
        <v>171</v>
      </c>
      <c r="G108" s="1" t="s">
        <v>23</v>
      </c>
      <c r="H108" s="2">
        <v>42</v>
      </c>
      <c r="I108" s="2">
        <v>456.5274</v>
      </c>
      <c r="J108" s="2">
        <v>91.951307550862538</v>
      </c>
      <c r="K108" s="2" t="s">
        <v>23</v>
      </c>
      <c r="L108" s="2">
        <v>4.4041630859400005</v>
      </c>
      <c r="M108" s="2">
        <v>72.494023437500005</v>
      </c>
      <c r="N108" s="2">
        <f>Table1[[#This Row],[R1 Length (km)]]+Table1[[#This Row],[T1 Length (km)]]</f>
        <v>76.898186523440003</v>
      </c>
      <c r="O108" s="1">
        <v>230</v>
      </c>
      <c r="P108" s="1" t="s">
        <v>137</v>
      </c>
      <c r="Q108" s="3" t="s">
        <v>23</v>
      </c>
      <c r="R108" s="9" t="s">
        <v>23</v>
      </c>
      <c r="S108" s="9" t="s">
        <v>23</v>
      </c>
      <c r="T108" s="9">
        <v>22.27</v>
      </c>
      <c r="U108" s="20">
        <v>2326</v>
      </c>
      <c r="V108" s="20">
        <f>Table1[[#This Row],[Raw Terrestrial Score]]/Table1[[#This Row],[Summed Raw Scores]]</f>
        <v>0.8280526877892489</v>
      </c>
      <c r="W108" s="20">
        <v>483</v>
      </c>
      <c r="X108" s="20">
        <f>Table1[[#This Row],[Raw Freshwater Score]]/Table1[[#This Row],[Summed Raw Scores]]</f>
        <v>0.17194731221075116</v>
      </c>
      <c r="Y108" s="20">
        <f>Table1[[#This Row],[Raw Terrestrial Score]]+Table1[[#This Row],[Raw Freshwater Score]]</f>
        <v>2809</v>
      </c>
      <c r="Z108" s="18">
        <f>Table1[[#This Row],[Terrestrial % of Summed Score]]*Table1[[#This Row],[Scaled Summed Score]]</f>
        <v>9.8593682191323709E-2</v>
      </c>
      <c r="AA108" s="18">
        <f>Table1[[#This Row],[Freshwater % of Summed Score]]*Table1[[#This Row],[Scaled Summed Score]]</f>
        <v>2.0473236671715113E-2</v>
      </c>
      <c r="AB108" s="18">
        <f>(Table1[[#This Row],[Summed Raw Scores]]-MIN(Table1[Summed Raw Scores]))/(MAX(Table1[Summed Raw Scores])-MIN(Table1[Summed Raw Scores]))</f>
        <v>0.11906691886303881</v>
      </c>
      <c r="AC108" s="9"/>
    </row>
    <row r="109" spans="1:29" x14ac:dyDescent="0.3">
      <c r="A109" s="1" t="s">
        <v>188</v>
      </c>
      <c r="B109" s="1" t="s">
        <v>115</v>
      </c>
      <c r="C109" s="1" t="s">
        <v>26</v>
      </c>
      <c r="D109" s="2">
        <v>50.631984799999998</v>
      </c>
      <c r="E109" s="2">
        <v>-121.1327119</v>
      </c>
      <c r="F109" s="2">
        <v>96</v>
      </c>
      <c r="G109" s="1" t="s">
        <v>23</v>
      </c>
      <c r="H109" s="2">
        <v>24</v>
      </c>
      <c r="I109" s="2">
        <v>279.7944</v>
      </c>
      <c r="J109" s="2">
        <v>84.949897322398115</v>
      </c>
      <c r="K109" s="2" t="s">
        <v>23</v>
      </c>
      <c r="L109" s="2">
        <v>2.2000000000000002</v>
      </c>
      <c r="M109" s="2">
        <v>28.8</v>
      </c>
      <c r="N109" s="2">
        <f>Table1[[#This Row],[R1 Length (km)]]+Table1[[#This Row],[T1 Length (km)]]</f>
        <v>31</v>
      </c>
      <c r="O109" s="1">
        <v>130</v>
      </c>
      <c r="P109" s="1" t="s">
        <v>189</v>
      </c>
      <c r="Q109" s="1">
        <v>20</v>
      </c>
      <c r="R109" s="9" t="s">
        <v>23</v>
      </c>
      <c r="S109" s="9" t="s">
        <v>23</v>
      </c>
      <c r="T109" s="9">
        <f>((PI()*(45^2))*Table1[[#This Row],[Number of Turbines - WIND]])/10000</f>
        <v>12.723450247038663</v>
      </c>
      <c r="U109" s="20">
        <f>1381+103.0112</f>
        <v>1484.0111999999999</v>
      </c>
      <c r="V109" s="20">
        <f>Table1[[#This Row],[Raw Terrestrial Score]]/Table1[[#This Row],[Summed Raw Scores]]</f>
        <v>0.53157583176482637</v>
      </c>
      <c r="W109" s="20">
        <f>105.7094+1202</f>
        <v>1307.7094</v>
      </c>
      <c r="X109" s="20">
        <f>Table1[[#This Row],[Raw Freshwater Score]]/Table1[[#This Row],[Summed Raw Scores]]</f>
        <v>0.46842416823517374</v>
      </c>
      <c r="Y109" s="20">
        <f>Table1[[#This Row],[Raw Terrestrial Score]]+Table1[[#This Row],[Raw Freshwater Score]]</f>
        <v>2791.7205999999996</v>
      </c>
      <c r="Z109" s="18">
        <f>Table1[[#This Row],[Terrestrial % of Summed Score]]*Table1[[#This Row],[Scaled Summed Score]]</f>
        <v>6.2901802430131201E-2</v>
      </c>
      <c r="AA109" s="18">
        <f>Table1[[#This Row],[Freshwater % of Summed Score]]*Table1[[#This Row],[Scaled Summed Score]]</f>
        <v>5.5429014494516905E-2</v>
      </c>
      <c r="AB109" s="18">
        <f>(Table1[[#This Row],[Summed Raw Scores]]-MIN(Table1[Summed Raw Scores]))/(MAX(Table1[Summed Raw Scores])-MIN(Table1[Summed Raw Scores]))</f>
        <v>0.1183308169246481</v>
      </c>
      <c r="AC109" s="9"/>
    </row>
    <row r="110" spans="1:29" x14ac:dyDescent="0.3">
      <c r="A110" s="1" t="s">
        <v>123</v>
      </c>
      <c r="B110" s="1" t="s">
        <v>115</v>
      </c>
      <c r="C110" s="1" t="s">
        <v>31</v>
      </c>
      <c r="D110" s="2">
        <v>54.712200000000003</v>
      </c>
      <c r="E110" s="2">
        <v>-126.67100000000001</v>
      </c>
      <c r="F110" s="1">
        <v>170</v>
      </c>
      <c r="G110" s="1" t="s">
        <v>23</v>
      </c>
      <c r="H110" s="2">
        <v>40.799999999999997</v>
      </c>
      <c r="I110" s="2">
        <v>481.60728</v>
      </c>
      <c r="J110" s="2">
        <v>78.565597635227192</v>
      </c>
      <c r="K110" s="2" t="s">
        <v>23</v>
      </c>
      <c r="L110" s="2">
        <v>94.627750000000006</v>
      </c>
      <c r="M110" s="2">
        <v>535.23418749999996</v>
      </c>
      <c r="N110" s="2">
        <f>Table1[[#This Row],[R1 Length (km)]]+Table1[[#This Row],[T1 Length (km)]]</f>
        <v>629.86193749999995</v>
      </c>
      <c r="O110" s="1">
        <v>230</v>
      </c>
      <c r="P110" s="1" t="s">
        <v>116</v>
      </c>
      <c r="Q110" s="1">
        <v>73</v>
      </c>
      <c r="R110" s="9" t="s">
        <v>23</v>
      </c>
      <c r="S110" s="9" t="s">
        <v>23</v>
      </c>
      <c r="T110" s="9">
        <f>((PI()*(45^2))*Table1[[#This Row],[Number of Turbines - WIND]])/10000</f>
        <v>46.44059340169111</v>
      </c>
      <c r="U110" s="20">
        <f>1075+363.8152</f>
        <v>1438.8152</v>
      </c>
      <c r="V110" s="20">
        <f>Table1[[#This Row],[Raw Terrestrial Score]]/Table1[[#This Row],[Summed Raw Scores]]</f>
        <v>0.52418867649295098</v>
      </c>
      <c r="W110" s="20">
        <f>356.027+950</f>
        <v>1306.027</v>
      </c>
      <c r="X110" s="20">
        <f>Table1[[#This Row],[Raw Freshwater Score]]/Table1[[#This Row],[Summed Raw Scores]]</f>
        <v>0.47581132350704897</v>
      </c>
      <c r="Y110" s="20">
        <f>Table1[[#This Row],[Raw Terrestrial Score]]+Table1[[#This Row],[Raw Freshwater Score]]</f>
        <v>2744.8422</v>
      </c>
      <c r="Z110" s="18">
        <f>Table1[[#This Row],[Terrestrial % of Summed Score]]*Table1[[#This Row],[Scaled Summed Score]]</f>
        <v>6.098085983854247E-2</v>
      </c>
      <c r="AA110" s="18">
        <f>Table1[[#This Row],[Freshwater % of Summed Score]]*Table1[[#This Row],[Scaled Summed Score]]</f>
        <v>5.5352938606953915E-2</v>
      </c>
      <c r="AB110" s="18">
        <f>(Table1[[#This Row],[Summed Raw Scores]]-MIN(Table1[Summed Raw Scores]))/(MAX(Table1[Summed Raw Scores])-MIN(Table1[Summed Raw Scores]))</f>
        <v>0.11633379844549639</v>
      </c>
      <c r="AC110" s="9"/>
    </row>
    <row r="111" spans="1:29" x14ac:dyDescent="0.3">
      <c r="A111" s="1" t="s">
        <v>99</v>
      </c>
      <c r="B111" s="1" t="s">
        <v>98</v>
      </c>
      <c r="C111" s="1" t="s">
        <v>31</v>
      </c>
      <c r="D111" s="2">
        <v>57.26</v>
      </c>
      <c r="E111" s="2">
        <v>-130.32</v>
      </c>
      <c r="F111" s="2">
        <v>43.2</v>
      </c>
      <c r="G111" s="2">
        <v>40</v>
      </c>
      <c r="H111" s="2">
        <v>2</v>
      </c>
      <c r="I111" s="2">
        <v>46</v>
      </c>
      <c r="J111" s="2">
        <v>363.72</v>
      </c>
      <c r="K111" s="2" t="s">
        <v>23</v>
      </c>
      <c r="L111" s="2">
        <f>3797.0562748453/1000</f>
        <v>3.7970562748452998</v>
      </c>
      <c r="M111" s="2">
        <v>36.497100000000003</v>
      </c>
      <c r="N111" s="2">
        <f>Table1[[#This Row],[R1 Length (km)]]+Table1[[#This Row],[T1 Length (km)]]</f>
        <v>40.294156274845307</v>
      </c>
      <c r="O111" s="1">
        <v>69</v>
      </c>
      <c r="P111" s="3" t="s">
        <v>23</v>
      </c>
      <c r="Q111" s="3" t="s">
        <v>23</v>
      </c>
      <c r="R111" s="9" t="s">
        <v>23</v>
      </c>
      <c r="S111" s="9" t="s">
        <v>23</v>
      </c>
      <c r="T111" s="9">
        <v>139.30000000000001</v>
      </c>
      <c r="U111" s="20">
        <v>1185</v>
      </c>
      <c r="V111" s="20">
        <f>Table1[[#This Row],[Raw Terrestrial Score]]/Table1[[#This Row],[Summed Raw Scores]]</f>
        <v>0.43986636971046772</v>
      </c>
      <c r="W111" s="20">
        <v>1509</v>
      </c>
      <c r="X111" s="20">
        <f>Table1[[#This Row],[Raw Freshwater Score]]/Table1[[#This Row],[Summed Raw Scores]]</f>
        <v>0.56013363028953234</v>
      </c>
      <c r="Y111" s="20">
        <f>Table1[[#This Row],[Raw Terrestrial Score]]+Table1[[#This Row],[Raw Freshwater Score]]</f>
        <v>2694</v>
      </c>
      <c r="Z111" s="18">
        <f>Table1[[#This Row],[Terrestrial % of Summed Score]]*Table1[[#This Row],[Scaled Summed Score]]</f>
        <v>5.0218629476121802E-2</v>
      </c>
      <c r="AA111" s="18">
        <f>Table1[[#This Row],[Freshwater % of Summed Score]]*Table1[[#This Row],[Scaled Summed Score]]</f>
        <v>6.3949292725289292E-2</v>
      </c>
      <c r="AB111" s="18">
        <f>(Table1[[#This Row],[Summed Raw Scores]]-MIN(Table1[Summed Raw Scores]))/(MAX(Table1[Summed Raw Scores])-MIN(Table1[Summed Raw Scores]))</f>
        <v>0.11416792220141109</v>
      </c>
      <c r="AC111" s="9"/>
    </row>
    <row r="112" spans="1:29" x14ac:dyDescent="0.3">
      <c r="A112" s="1" t="s">
        <v>68</v>
      </c>
      <c r="B112" s="1" t="s">
        <v>59</v>
      </c>
      <c r="C112" s="1" t="s">
        <v>60</v>
      </c>
      <c r="D112" s="2">
        <v>53.768695370000003</v>
      </c>
      <c r="E112" s="2">
        <v>-122.8735674</v>
      </c>
      <c r="F112" s="2">
        <v>305.25784615399999</v>
      </c>
      <c r="G112" s="2" t="s">
        <v>23</v>
      </c>
      <c r="H112" s="2" t="s">
        <v>23</v>
      </c>
      <c r="I112" s="2">
        <v>485.659340765303</v>
      </c>
      <c r="J112" s="2">
        <v>101.00995459166877</v>
      </c>
      <c r="K112" s="2" t="s">
        <v>23</v>
      </c>
      <c r="L112" s="2">
        <v>0.6</v>
      </c>
      <c r="M112" s="2">
        <v>21.1</v>
      </c>
      <c r="N112" s="2">
        <f>Table1[[#This Row],[R1 Length (km)]]+Table1[[#This Row],[T1 Length (km)]]</f>
        <v>21.700000000000003</v>
      </c>
      <c r="O112" s="1">
        <v>230</v>
      </c>
      <c r="P112" s="3" t="s">
        <v>23</v>
      </c>
      <c r="Q112" s="3" t="s">
        <v>23</v>
      </c>
      <c r="R112" s="2">
        <v>328.05</v>
      </c>
      <c r="S112" s="2">
        <v>131.22</v>
      </c>
      <c r="T112" s="2">
        <v>328.05</v>
      </c>
      <c r="U112" s="20">
        <v>1460</v>
      </c>
      <c r="V112" s="20">
        <f>Table1[[#This Row],[Raw Terrestrial Score]]/Table1[[#This Row],[Summed Raw Scores]]</f>
        <v>0.557039297977871</v>
      </c>
      <c r="W112" s="20">
        <v>1161</v>
      </c>
      <c r="X112" s="20">
        <f>Table1[[#This Row],[Raw Freshwater Score]]/Table1[[#This Row],[Summed Raw Scores]]</f>
        <v>0.44296070202212895</v>
      </c>
      <c r="Y112" s="20">
        <f>Table1[[#This Row],[Raw Terrestrial Score]]+Table1[[#This Row],[Raw Freshwater Score]]</f>
        <v>2621</v>
      </c>
      <c r="Z112" s="18">
        <f>Table1[[#This Row],[Terrestrial % of Summed Score]]*Table1[[#This Row],[Scaled Summed Score]]</f>
        <v>6.1863739606259273E-2</v>
      </c>
      <c r="AA112" s="18">
        <f>Table1[[#This Row],[Freshwater % of Summed Score]]*Table1[[#This Row],[Scaled Summed Score]]</f>
        <v>4.919438471429248E-2</v>
      </c>
      <c r="AB112" s="18">
        <f>(Table1[[#This Row],[Summed Raw Scores]]-MIN(Table1[Summed Raw Scores]))/(MAX(Table1[Summed Raw Scores])-MIN(Table1[Summed Raw Scores]))</f>
        <v>0.11105812432055176</v>
      </c>
      <c r="AC112" s="9"/>
    </row>
    <row r="113" spans="1:29" x14ac:dyDescent="0.3">
      <c r="A113" s="1" t="s">
        <v>140</v>
      </c>
      <c r="B113" s="1" t="s">
        <v>115</v>
      </c>
      <c r="C113" s="1" t="s">
        <v>60</v>
      </c>
      <c r="D113" s="2">
        <v>53.603466359999999</v>
      </c>
      <c r="E113" s="2">
        <v>-122.39073879999999</v>
      </c>
      <c r="F113" s="2">
        <v>96</v>
      </c>
      <c r="G113" s="1" t="s">
        <v>23</v>
      </c>
      <c r="H113" s="2">
        <v>22.8</v>
      </c>
      <c r="I113" s="2">
        <v>300.25776000000002</v>
      </c>
      <c r="J113" s="2">
        <v>81.417215013863583</v>
      </c>
      <c r="K113" s="2" t="s">
        <v>23</v>
      </c>
      <c r="L113" s="2">
        <v>2.6384777831999999</v>
      </c>
      <c r="M113" s="2">
        <v>33.161730468750001</v>
      </c>
      <c r="N113" s="2">
        <f>Table1[[#This Row],[R1 Length (km)]]+Table1[[#This Row],[T1 Length (km)]]</f>
        <v>35.800208251950004</v>
      </c>
      <c r="O113" s="1">
        <v>230</v>
      </c>
      <c r="P113" s="1" t="s">
        <v>137</v>
      </c>
      <c r="Q113" s="3" t="s">
        <v>23</v>
      </c>
      <c r="R113" s="9" t="s">
        <v>23</v>
      </c>
      <c r="S113" s="9" t="s">
        <v>23</v>
      </c>
      <c r="T113" s="9">
        <v>12.09</v>
      </c>
      <c r="U113" s="20">
        <v>1224</v>
      </c>
      <c r="V113" s="20">
        <f>Table1[[#This Row],[Raw Terrestrial Score]]/Table1[[#This Row],[Summed Raw Scores]]</f>
        <v>0.47663551401869159</v>
      </c>
      <c r="W113" s="20">
        <v>1344</v>
      </c>
      <c r="X113" s="20">
        <f>Table1[[#This Row],[Raw Freshwater Score]]/Table1[[#This Row],[Summed Raw Scores]]</f>
        <v>0.52336448598130836</v>
      </c>
      <c r="Y113" s="20">
        <f>Table1[[#This Row],[Raw Terrestrial Score]]+Table1[[#This Row],[Raw Freshwater Score]]</f>
        <v>2568</v>
      </c>
      <c r="Z113" s="18">
        <f>Table1[[#This Row],[Terrestrial % of Summed Score]]*Table1[[#This Row],[Scaled Summed Score]]</f>
        <v>5.1858099241256103E-2</v>
      </c>
      <c r="AA113" s="18">
        <f>Table1[[#This Row],[Freshwater % of Summed Score]]*Table1[[#This Row],[Scaled Summed Score]]</f>
        <v>5.6942226617849832E-2</v>
      </c>
      <c r="AB113" s="18">
        <f>(Table1[[#This Row],[Summed Raw Scores]]-MIN(Table1[Summed Raw Scores]))/(MAX(Table1[Summed Raw Scores])-MIN(Table1[Summed Raw Scores]))</f>
        <v>0.10880032585910594</v>
      </c>
      <c r="AC113" s="9"/>
    </row>
    <row r="114" spans="1:29" x14ac:dyDescent="0.3">
      <c r="A114" s="1" t="s">
        <v>162</v>
      </c>
      <c r="B114" s="1" t="s">
        <v>115</v>
      </c>
      <c r="C114" s="1" t="s">
        <v>28</v>
      </c>
      <c r="D114" s="2">
        <v>54.783424879999998</v>
      </c>
      <c r="E114" s="2">
        <v>-120.28676</v>
      </c>
      <c r="F114" s="2">
        <v>156</v>
      </c>
      <c r="G114" s="1" t="s">
        <v>23</v>
      </c>
      <c r="H114" s="2">
        <v>38.4</v>
      </c>
      <c r="I114" s="9">
        <v>681.59807999999998</v>
      </c>
      <c r="J114" s="9">
        <v>53.877756587889799</v>
      </c>
      <c r="K114" s="2" t="s">
        <v>23</v>
      </c>
      <c r="L114" s="2">
        <v>7.3</v>
      </c>
      <c r="M114" s="2">
        <v>72.2</v>
      </c>
      <c r="N114" s="2">
        <f>Table1[[#This Row],[R1 Length (km)]]+Table1[[#This Row],[T1 Length (km)]]</f>
        <v>79.5</v>
      </c>
      <c r="O114" s="1">
        <v>230</v>
      </c>
      <c r="P114" s="1" t="s">
        <v>137</v>
      </c>
      <c r="Q114" s="3" t="s">
        <v>23</v>
      </c>
      <c r="R114" s="9" t="s">
        <v>23</v>
      </c>
      <c r="S114" s="9" t="s">
        <v>23</v>
      </c>
      <c r="T114" s="9">
        <v>20.36</v>
      </c>
      <c r="U114" s="20">
        <v>1744</v>
      </c>
      <c r="V114" s="20">
        <f>Table1[[#This Row],[Raw Terrestrial Score]]/Table1[[#This Row],[Summed Raw Scores]]</f>
        <v>0.68905570920584747</v>
      </c>
      <c r="W114" s="20">
        <v>787</v>
      </c>
      <c r="X114" s="20">
        <f>Table1[[#This Row],[Raw Freshwater Score]]/Table1[[#This Row],[Summed Raw Scores]]</f>
        <v>0.31094429079415253</v>
      </c>
      <c r="Y114" s="20">
        <f>Table1[[#This Row],[Raw Terrestrial Score]]+Table1[[#This Row],[Raw Freshwater Score]]</f>
        <v>2531</v>
      </c>
      <c r="Z114" s="18">
        <f>Table1[[#This Row],[Terrestrial % of Summed Score]]*Table1[[#This Row],[Scaled Summed Score]]</f>
        <v>7.3883396827927703E-2</v>
      </c>
      <c r="AA114" s="18">
        <f>Table1[[#This Row],[Freshwater % of Summed Score]]*Table1[[#This Row],[Scaled Summed Score]]</f>
        <v>3.3340730105263248E-2</v>
      </c>
      <c r="AB114" s="18">
        <f>(Table1[[#This Row],[Summed Raw Scores]]-MIN(Table1[Summed Raw Scores]))/(MAX(Table1[Summed Raw Scores])-MIN(Table1[Summed Raw Scores]))</f>
        <v>0.10722412693319094</v>
      </c>
      <c r="AC114" s="9"/>
    </row>
    <row r="115" spans="1:29" x14ac:dyDescent="0.3">
      <c r="A115" s="1" t="s">
        <v>65</v>
      </c>
      <c r="B115" s="1" t="s">
        <v>59</v>
      </c>
      <c r="C115" s="1" t="s">
        <v>60</v>
      </c>
      <c r="D115" s="2">
        <v>54.01498333</v>
      </c>
      <c r="E115" s="2">
        <v>-122.62469489999999</v>
      </c>
      <c r="F115" s="2">
        <v>290.70276923099999</v>
      </c>
      <c r="G115" s="2" t="s">
        <v>23</v>
      </c>
      <c r="H115" s="2" t="s">
        <v>23</v>
      </c>
      <c r="I115" s="2">
        <v>454.63551613398141</v>
      </c>
      <c r="J115" s="2">
        <v>102.89142068129254</v>
      </c>
      <c r="K115" s="2" t="s">
        <v>23</v>
      </c>
      <c r="L115" s="2">
        <v>0.4</v>
      </c>
      <c r="M115" s="2">
        <v>15</v>
      </c>
      <c r="N115" s="2">
        <f>Table1[[#This Row],[R1 Length (km)]]+Table1[[#This Row],[T1 Length (km)]]</f>
        <v>15.4</v>
      </c>
      <c r="O115" s="1">
        <v>230</v>
      </c>
      <c r="P115" s="3" t="s">
        <v>23</v>
      </c>
      <c r="Q115" s="3" t="s">
        <v>23</v>
      </c>
      <c r="R115" s="2">
        <v>464.94</v>
      </c>
      <c r="S115" s="2">
        <v>185.976</v>
      </c>
      <c r="T115" s="2">
        <v>464.94</v>
      </c>
      <c r="U115" s="20">
        <v>1249</v>
      </c>
      <c r="V115" s="20">
        <f>Table1[[#This Row],[Raw Terrestrial Score]]/Table1[[#This Row],[Summed Raw Scores]]</f>
        <v>0.49563492063492065</v>
      </c>
      <c r="W115" s="20">
        <v>1271</v>
      </c>
      <c r="X115" s="20">
        <f>Table1[[#This Row],[Raw Freshwater Score]]/Table1[[#This Row],[Summed Raw Scores]]</f>
        <v>0.50436507936507935</v>
      </c>
      <c r="Y115" s="20">
        <f>Table1[[#This Row],[Raw Terrestrial Score]]+Table1[[#This Row],[Raw Freshwater Score]]</f>
        <v>2520</v>
      </c>
      <c r="Z115" s="18">
        <f>Table1[[#This Row],[Terrestrial % of Summed Score]]*Table1[[#This Row],[Scaled Summed Score]]</f>
        <v>5.2911767277138644E-2</v>
      </c>
      <c r="AA115" s="18">
        <f>Table1[[#This Row],[Freshwater % of Summed Score]]*Table1[[#This Row],[Scaled Summed Score]]</f>
        <v>5.3843759975374869E-2</v>
      </c>
      <c r="AB115" s="18">
        <f>(Table1[[#This Row],[Summed Raw Scores]]-MIN(Table1[Summed Raw Scores]))/(MAX(Table1[Summed Raw Scores])-MIN(Table1[Summed Raw Scores]))</f>
        <v>0.10675552725251351</v>
      </c>
      <c r="AC115" s="9"/>
    </row>
    <row r="116" spans="1:29" x14ac:dyDescent="0.3">
      <c r="A116" s="1" t="s">
        <v>196</v>
      </c>
      <c r="B116" s="1" t="s">
        <v>115</v>
      </c>
      <c r="C116" s="1" t="s">
        <v>88</v>
      </c>
      <c r="D116" s="2">
        <v>50.342679080000003</v>
      </c>
      <c r="E116" s="2">
        <v>-119.65686049999999</v>
      </c>
      <c r="F116" s="2">
        <v>186</v>
      </c>
      <c r="G116" s="1" t="s">
        <v>23</v>
      </c>
      <c r="H116" s="2">
        <v>44.4</v>
      </c>
      <c r="I116" s="2">
        <v>583.90218000000004</v>
      </c>
      <c r="J116" s="2">
        <v>73.214955174331507</v>
      </c>
      <c r="K116" s="2" t="s">
        <v>23</v>
      </c>
      <c r="L116" s="2">
        <v>0.1</v>
      </c>
      <c r="M116" s="2">
        <v>51.7</v>
      </c>
      <c r="N116" s="2">
        <f>Table1[[#This Row],[R1 Length (km)]]+Table1[[#This Row],[T1 Length (km)]]</f>
        <v>51.800000000000004</v>
      </c>
      <c r="O116" s="1">
        <v>230</v>
      </c>
      <c r="P116" s="1" t="s">
        <v>116</v>
      </c>
      <c r="Q116" s="1">
        <v>37</v>
      </c>
      <c r="R116" s="9" t="s">
        <v>23</v>
      </c>
      <c r="S116" s="9" t="s">
        <v>23</v>
      </c>
      <c r="T116" s="9">
        <f>((PI()*(45^2))*Table1[[#This Row],[Number of Turbines - WIND]])/10000</f>
        <v>23.538382957021522</v>
      </c>
      <c r="U116" s="20">
        <f>1680+145.8431</f>
        <v>1825.8431</v>
      </c>
      <c r="V116" s="20">
        <f>Table1[[#This Row],[Raw Terrestrial Score]]/Table1[[#This Row],[Summed Raw Scores]]</f>
        <v>0.74534776890404775</v>
      </c>
      <c r="W116" s="20">
        <f>156.8095+467</f>
        <v>623.80950000000007</v>
      </c>
      <c r="X116" s="20">
        <f>Table1[[#This Row],[Raw Freshwater Score]]/Table1[[#This Row],[Summed Raw Scores]]</f>
        <v>0.25465223109595214</v>
      </c>
      <c r="Y116" s="20">
        <f>Table1[[#This Row],[Raw Terrestrial Score]]+Table1[[#This Row],[Raw Freshwater Score]]</f>
        <v>2449.6526000000003</v>
      </c>
      <c r="Z116" s="18">
        <f>Table1[[#This Row],[Terrestrial % of Summed Score]]*Table1[[#This Row],[Scaled Summed Score]]</f>
        <v>7.733633795055149E-2</v>
      </c>
      <c r="AA116" s="18">
        <f>Table1[[#This Row],[Freshwater % of Summed Score]]*Table1[[#This Row],[Scaled Summed Score]]</f>
        <v>2.6422392104099503E-2</v>
      </c>
      <c r="AB116" s="18">
        <f>(Table1[[#This Row],[Summed Raw Scores]]-MIN(Table1[Summed Raw Scores]))/(MAX(Table1[Summed Raw Scores])-MIN(Table1[Summed Raw Scores]))</f>
        <v>0.103758730054651</v>
      </c>
      <c r="AC116" s="9"/>
    </row>
    <row r="117" spans="1:29" x14ac:dyDescent="0.3">
      <c r="A117" s="1" t="s">
        <v>66</v>
      </c>
      <c r="B117" s="1" t="s">
        <v>59</v>
      </c>
      <c r="C117" s="1" t="s">
        <v>60</v>
      </c>
      <c r="D117" s="2">
        <v>53.891850929999997</v>
      </c>
      <c r="E117" s="2">
        <v>-122.7494279</v>
      </c>
      <c r="F117" s="2">
        <v>370.45661538500002</v>
      </c>
      <c r="G117" s="2" t="s">
        <v>23</v>
      </c>
      <c r="H117" s="2" t="s">
        <v>23</v>
      </c>
      <c r="I117" s="2">
        <v>580.13911071541554</v>
      </c>
      <c r="J117" s="2">
        <v>100.256598345669</v>
      </c>
      <c r="K117" s="2" t="s">
        <v>23</v>
      </c>
      <c r="L117" s="2">
        <v>0</v>
      </c>
      <c r="M117" s="2">
        <v>12.1</v>
      </c>
      <c r="N117" s="2">
        <f>Table1[[#This Row],[R1 Length (km)]]+Table1[[#This Row],[T1 Length (km)]]</f>
        <v>12.1</v>
      </c>
      <c r="O117" s="1">
        <v>230</v>
      </c>
      <c r="P117" s="3" t="s">
        <v>23</v>
      </c>
      <c r="Q117" s="3" t="s">
        <v>23</v>
      </c>
      <c r="R117" s="2">
        <v>329.67</v>
      </c>
      <c r="S117" s="2">
        <v>131.86800000000002</v>
      </c>
      <c r="T117" s="2">
        <v>329.67</v>
      </c>
      <c r="U117" s="20">
        <v>1238</v>
      </c>
      <c r="V117" s="20">
        <f>Table1[[#This Row],[Raw Terrestrial Score]]/Table1[[#This Row],[Summed Raw Scores]]</f>
        <v>0.51093685513825837</v>
      </c>
      <c r="W117" s="20">
        <v>1185</v>
      </c>
      <c r="X117" s="20">
        <f>Table1[[#This Row],[Raw Freshwater Score]]/Table1[[#This Row],[Summed Raw Scores]]</f>
        <v>0.48906314486174163</v>
      </c>
      <c r="Y117" s="20">
        <f>Table1[[#This Row],[Raw Terrestrial Score]]+Table1[[#This Row],[Raw Freshwater Score]]</f>
        <v>2423</v>
      </c>
      <c r="Z117" s="18">
        <f>Table1[[#This Row],[Terrestrial % of Summed Score]]*Table1[[#This Row],[Scaled Summed Score]]</f>
        <v>5.2434041528942286E-2</v>
      </c>
      <c r="AA117" s="18">
        <f>Table1[[#This Row],[Freshwater % of Summed Score]]*Table1[[#This Row],[Scaled Summed Score]]</f>
        <v>5.018928853941567E-2</v>
      </c>
      <c r="AB117" s="18">
        <f>(Table1[[#This Row],[Summed Raw Scores]]-MIN(Table1[Summed Raw Scores]))/(MAX(Table1[Summed Raw Scores])-MIN(Table1[Summed Raw Scores]))</f>
        <v>0.10262333006835796</v>
      </c>
      <c r="AC117" s="9"/>
    </row>
    <row r="118" spans="1:29" x14ac:dyDescent="0.3">
      <c r="A118" s="1" t="s">
        <v>157</v>
      </c>
      <c r="B118" s="1" t="s">
        <v>115</v>
      </c>
      <c r="C118" s="1" t="s">
        <v>28</v>
      </c>
      <c r="D118" s="2">
        <v>54.738847200000002</v>
      </c>
      <c r="E118" s="2">
        <v>-120.7330381</v>
      </c>
      <c r="F118" s="2">
        <v>108</v>
      </c>
      <c r="G118" s="1" t="s">
        <v>23</v>
      </c>
      <c r="H118" s="2">
        <v>26.4</v>
      </c>
      <c r="I118" s="9">
        <v>476.30748000000006</v>
      </c>
      <c r="J118" s="9">
        <v>62.376135598209594</v>
      </c>
      <c r="K118" s="2" t="s">
        <v>23</v>
      </c>
      <c r="L118" s="2">
        <v>13.4</v>
      </c>
      <c r="M118" s="2">
        <v>55.7</v>
      </c>
      <c r="N118" s="2">
        <f>Table1[[#This Row],[R1 Length (km)]]+Table1[[#This Row],[T1 Length (km)]]</f>
        <v>69.100000000000009</v>
      </c>
      <c r="O118" s="1">
        <v>230</v>
      </c>
      <c r="P118" s="1" t="s">
        <v>137</v>
      </c>
      <c r="Q118" s="3" t="s">
        <v>23</v>
      </c>
      <c r="R118" s="9" t="s">
        <v>23</v>
      </c>
      <c r="S118" s="9" t="s">
        <v>23</v>
      </c>
      <c r="T118" s="9">
        <v>14</v>
      </c>
      <c r="U118" s="20">
        <v>1352</v>
      </c>
      <c r="V118" s="20">
        <f>Table1[[#This Row],[Raw Terrestrial Score]]/Table1[[#This Row],[Summed Raw Scores]]</f>
        <v>0.56545378502718524</v>
      </c>
      <c r="W118" s="20">
        <v>1039</v>
      </c>
      <c r="X118" s="20">
        <f>Table1[[#This Row],[Raw Freshwater Score]]/Table1[[#This Row],[Summed Raw Scores]]</f>
        <v>0.4345462149728147</v>
      </c>
      <c r="Y118" s="20">
        <f>Table1[[#This Row],[Raw Terrestrial Score]]+Table1[[#This Row],[Raw Freshwater Score]]</f>
        <v>2391</v>
      </c>
      <c r="Z118" s="18">
        <f>Table1[[#This Row],[Terrestrial % of Summed Score]]*Table1[[#This Row],[Scaled Summed Score]]</f>
        <v>5.7257924344769819E-2</v>
      </c>
      <c r="AA118" s="18">
        <f>Table1[[#This Row],[Freshwater % of Summed Score]]*Table1[[#This Row],[Scaled Summed Score]]</f>
        <v>4.4002206652526507E-2</v>
      </c>
      <c r="AB118" s="18">
        <f>(Table1[[#This Row],[Summed Raw Scores]]-MIN(Table1[Summed Raw Scores]))/(MAX(Table1[Summed Raw Scores])-MIN(Table1[Summed Raw Scores]))</f>
        <v>0.10126013099729633</v>
      </c>
      <c r="AC118" s="9"/>
    </row>
    <row r="119" spans="1:29" x14ac:dyDescent="0.3">
      <c r="A119" s="1" t="s">
        <v>83</v>
      </c>
      <c r="B119" s="1" t="s">
        <v>59</v>
      </c>
      <c r="C119" s="1" t="s">
        <v>26</v>
      </c>
      <c r="D119" s="2">
        <v>50.031690019999999</v>
      </c>
      <c r="E119" s="2">
        <v>-120.5676775</v>
      </c>
      <c r="F119" s="2">
        <v>81.747692307700007</v>
      </c>
      <c r="G119" s="2" t="s">
        <v>23</v>
      </c>
      <c r="H119" s="2" t="s">
        <v>23</v>
      </c>
      <c r="I119" s="2">
        <v>146.55825003643776</v>
      </c>
      <c r="J119" s="2">
        <v>101.60956461488067</v>
      </c>
      <c r="K119" s="2" t="s">
        <v>23</v>
      </c>
      <c r="L119" s="2">
        <v>3.7</v>
      </c>
      <c r="M119" s="2">
        <v>22.1</v>
      </c>
      <c r="N119" s="2">
        <f>Table1[[#This Row],[R1 Length (km)]]+Table1[[#This Row],[T1 Length (km)]]</f>
        <v>25.8</v>
      </c>
      <c r="O119" s="1">
        <v>130</v>
      </c>
      <c r="P119" s="3" t="s">
        <v>23</v>
      </c>
      <c r="Q119" s="3" t="s">
        <v>23</v>
      </c>
      <c r="R119" s="2">
        <v>1180.98</v>
      </c>
      <c r="S119" s="2">
        <v>472.39200000000005</v>
      </c>
      <c r="T119" s="2">
        <v>1180.98</v>
      </c>
      <c r="U119" s="20">
        <v>1400</v>
      </c>
      <c r="V119" s="20">
        <f>Table1[[#This Row],[Raw Terrestrial Score]]/Table1[[#This Row],[Summed Raw Scores]]</f>
        <v>0.58724832214765099</v>
      </c>
      <c r="W119" s="20">
        <v>984</v>
      </c>
      <c r="X119" s="20">
        <f>Table1[[#This Row],[Raw Freshwater Score]]/Table1[[#This Row],[Summed Raw Scores]]</f>
        <v>0.41275167785234901</v>
      </c>
      <c r="Y119" s="20">
        <f>Table1[[#This Row],[Raw Terrestrial Score]]+Table1[[#This Row],[Raw Freshwater Score]]</f>
        <v>2384</v>
      </c>
      <c r="Z119" s="18">
        <f>Table1[[#This Row],[Terrestrial % of Summed Score]]*Table1[[#This Row],[Scaled Summed Score]]</f>
        <v>5.9289724698281143E-2</v>
      </c>
      <c r="AA119" s="18">
        <f>Table1[[#This Row],[Freshwater % of Summed Score]]*Table1[[#This Row],[Scaled Summed Score]]</f>
        <v>4.1672206502220463E-2</v>
      </c>
      <c r="AB119" s="18">
        <f>(Table1[[#This Row],[Summed Raw Scores]]-MIN(Table1[Summed Raw Scores]))/(MAX(Table1[Summed Raw Scores])-MIN(Table1[Summed Raw Scores]))</f>
        <v>0.10096193120050161</v>
      </c>
      <c r="AC119" s="9"/>
    </row>
    <row r="120" spans="1:29" x14ac:dyDescent="0.3">
      <c r="A120" s="1" t="s">
        <v>225</v>
      </c>
      <c r="B120" s="1" t="s">
        <v>115</v>
      </c>
      <c r="C120" s="1" t="s">
        <v>22</v>
      </c>
      <c r="D120" s="2">
        <v>50.563312949999997</v>
      </c>
      <c r="E120" s="2">
        <v>-127.93100939999999</v>
      </c>
      <c r="F120" s="2">
        <v>39</v>
      </c>
      <c r="G120" s="1" t="s">
        <v>23</v>
      </c>
      <c r="H120" s="2">
        <v>9.6</v>
      </c>
      <c r="I120" s="2">
        <v>131.15472</v>
      </c>
      <c r="J120" s="2">
        <v>103.77850274255869</v>
      </c>
      <c r="K120" s="2" t="s">
        <v>23</v>
      </c>
      <c r="L120" s="2">
        <v>0.44142135620099998</v>
      </c>
      <c r="M120" s="2">
        <v>37.785996093750001</v>
      </c>
      <c r="N120" s="2">
        <f>Table1[[#This Row],[R1 Length (km)]]+Table1[[#This Row],[T1 Length (km)]]</f>
        <v>38.227417449950998</v>
      </c>
      <c r="O120" s="1">
        <v>69</v>
      </c>
      <c r="P120" s="1" t="s">
        <v>137</v>
      </c>
      <c r="Q120" s="3" t="s">
        <v>23</v>
      </c>
      <c r="R120" s="9" t="s">
        <v>23</v>
      </c>
      <c r="S120" s="9" t="s">
        <v>23</v>
      </c>
      <c r="T120" s="9">
        <v>5.08</v>
      </c>
      <c r="U120" s="20">
        <v>1086</v>
      </c>
      <c r="V120" s="20">
        <f>Table1[[#This Row],[Raw Terrestrial Score]]/Table1[[#This Row],[Summed Raw Scores]]</f>
        <v>0.45939086294416243</v>
      </c>
      <c r="W120" s="20">
        <v>1278</v>
      </c>
      <c r="X120" s="20">
        <f>Table1[[#This Row],[Raw Freshwater Score]]/Table1[[#This Row],[Summed Raw Scores]]</f>
        <v>0.54060913705583757</v>
      </c>
      <c r="Y120" s="20">
        <f>Table1[[#This Row],[Raw Terrestrial Score]]+Table1[[#This Row],[Raw Freshwater Score]]</f>
        <v>2364</v>
      </c>
      <c r="Z120" s="18">
        <f>Table1[[#This Row],[Terrestrial % of Summed Score]]*Table1[[#This Row],[Scaled Summed Score]]</f>
        <v>4.5989587950195289E-2</v>
      </c>
      <c r="AA120" s="18">
        <f>Table1[[#This Row],[Freshwater % of Summed Score]]*Table1[[#This Row],[Scaled Summed Score]]</f>
        <v>5.4120343830892793E-2</v>
      </c>
      <c r="AB120" s="18">
        <f>(Table1[[#This Row],[Summed Raw Scores]]-MIN(Table1[Summed Raw Scores]))/(MAX(Table1[Summed Raw Scores])-MIN(Table1[Summed Raw Scores]))</f>
        <v>0.10010993178108808</v>
      </c>
      <c r="AC120" s="9"/>
    </row>
    <row r="121" spans="1:29" x14ac:dyDescent="0.3">
      <c r="A121" s="1" t="s">
        <v>75</v>
      </c>
      <c r="B121" s="1" t="s">
        <v>59</v>
      </c>
      <c r="C121" s="1" t="s">
        <v>26</v>
      </c>
      <c r="D121" s="2">
        <v>50.562687879999999</v>
      </c>
      <c r="E121" s="2">
        <v>-121.07955800000001</v>
      </c>
      <c r="F121" s="2">
        <v>52.238769230800003</v>
      </c>
      <c r="G121" s="2" t="s">
        <v>23</v>
      </c>
      <c r="H121" s="2" t="s">
        <v>23</v>
      </c>
      <c r="I121" s="2">
        <v>95.228300170561525</v>
      </c>
      <c r="J121" s="2">
        <v>101.3336327046222</v>
      </c>
      <c r="K121" s="2" t="s">
        <v>23</v>
      </c>
      <c r="L121" s="2">
        <v>0.3</v>
      </c>
      <c r="M121" s="2">
        <v>23.3</v>
      </c>
      <c r="N121" s="2">
        <f>Table1[[#This Row],[R1 Length (km)]]+Table1[[#This Row],[T1 Length (km)]]</f>
        <v>23.6</v>
      </c>
      <c r="O121" s="1">
        <v>69</v>
      </c>
      <c r="P121" s="3" t="s">
        <v>23</v>
      </c>
      <c r="Q121" s="3" t="s">
        <v>23</v>
      </c>
      <c r="R121" s="2">
        <v>1240.1099999999999</v>
      </c>
      <c r="S121" s="2">
        <v>496.04399999999998</v>
      </c>
      <c r="T121" s="2">
        <v>1240.1099999999999</v>
      </c>
      <c r="U121" s="20">
        <v>1305</v>
      </c>
      <c r="V121" s="20">
        <f>Table1[[#This Row],[Raw Terrestrial Score]]/Table1[[#This Row],[Summed Raw Scores]]</f>
        <v>0.55414012738853502</v>
      </c>
      <c r="W121" s="20">
        <v>1050</v>
      </c>
      <c r="X121" s="20">
        <f>Table1[[#This Row],[Raw Freshwater Score]]/Table1[[#This Row],[Summed Raw Scores]]</f>
        <v>0.44585987261146498</v>
      </c>
      <c r="Y121" s="20">
        <f>Table1[[#This Row],[Raw Terrestrial Score]]+Table1[[#This Row],[Raw Freshwater Score]]</f>
        <v>2355</v>
      </c>
      <c r="Z121" s="18">
        <f>Table1[[#This Row],[Terrestrial % of Summed Score]]*Table1[[#This Row],[Scaled Summed Score]]</f>
        <v>5.5262473169965756E-2</v>
      </c>
      <c r="AA121" s="18">
        <f>Table1[[#This Row],[Freshwater % of Summed Score]]*Table1[[#This Row],[Scaled Summed Score]]</f>
        <v>4.4464058872386247E-2</v>
      </c>
      <c r="AB121" s="18">
        <f>(Table1[[#This Row],[Summed Raw Scores]]-MIN(Table1[Summed Raw Scores]))/(MAX(Table1[Summed Raw Scores])-MIN(Table1[Summed Raw Scores]))</f>
        <v>9.9726532042352004E-2</v>
      </c>
      <c r="AC121" s="9"/>
    </row>
    <row r="122" spans="1:29" x14ac:dyDescent="0.3">
      <c r="A122" s="1" t="s">
        <v>42</v>
      </c>
      <c r="B122" s="1" t="s">
        <v>43</v>
      </c>
      <c r="C122" s="1" t="s">
        <v>22</v>
      </c>
      <c r="D122" s="11">
        <v>49.326725104700003</v>
      </c>
      <c r="E122" s="11">
        <v>-125.058627449</v>
      </c>
      <c r="F122" s="2">
        <v>1000</v>
      </c>
      <c r="G122" s="2" t="s">
        <v>23</v>
      </c>
      <c r="H122" s="9">
        <v>495</v>
      </c>
      <c r="I122" s="2" t="s">
        <v>23</v>
      </c>
      <c r="J122" s="2" t="s">
        <v>23</v>
      </c>
      <c r="K122" s="13">
        <v>181.76816646464647</v>
      </c>
      <c r="L122" s="2">
        <v>4.14558496094</v>
      </c>
      <c r="M122" s="2">
        <v>78.547015625</v>
      </c>
      <c r="N122" s="2">
        <f>Table1[[#This Row],[R1 Length (km)]]+Table1[[#This Row],[T1 Length (km)]]</f>
        <v>82.692600585939999</v>
      </c>
      <c r="O122" s="1">
        <v>230</v>
      </c>
      <c r="P122" s="3" t="s">
        <v>23</v>
      </c>
      <c r="Q122" s="3" t="s">
        <v>23</v>
      </c>
      <c r="R122" s="9" t="s">
        <v>23</v>
      </c>
      <c r="S122" s="9" t="s">
        <v>23</v>
      </c>
      <c r="T122" s="9">
        <v>46.3</v>
      </c>
      <c r="U122" s="20">
        <v>1052</v>
      </c>
      <c r="V122" s="20">
        <f>Table1[[#This Row],[Raw Terrestrial Score]]/Table1[[#This Row],[Summed Raw Scores]]</f>
        <v>0.4486140724946695</v>
      </c>
      <c r="W122" s="20">
        <v>1293</v>
      </c>
      <c r="X122" s="20">
        <f>Table1[[#This Row],[Raw Freshwater Score]]/Table1[[#This Row],[Summed Raw Scores]]</f>
        <v>0.55138592750533044</v>
      </c>
      <c r="Y122" s="20">
        <f>Table1[[#This Row],[Raw Terrestrial Score]]+Table1[[#This Row],[Raw Freshwater Score]]</f>
        <v>2345</v>
      </c>
      <c r="Z122" s="18">
        <f>Table1[[#This Row],[Terrestrial % of Summed Score]]*Table1[[#This Row],[Scaled Summed Score]]</f>
        <v>4.4547616210636583E-2</v>
      </c>
      <c r="AA122" s="18">
        <f>Table1[[#This Row],[Freshwater % of Summed Score]]*Table1[[#This Row],[Scaled Summed Score]]</f>
        <v>5.4752916122008652E-2</v>
      </c>
      <c r="AB122" s="18">
        <f>(Table1[[#This Row],[Summed Raw Scores]]-MIN(Table1[Summed Raw Scores]))/(MAX(Table1[Summed Raw Scores])-MIN(Table1[Summed Raw Scores]))</f>
        <v>9.9300532332645242E-2</v>
      </c>
      <c r="AC122" s="9"/>
    </row>
    <row r="123" spans="1:29" x14ac:dyDescent="0.3">
      <c r="A123" s="1" t="s">
        <v>181</v>
      </c>
      <c r="B123" s="1" t="s">
        <v>115</v>
      </c>
      <c r="C123" s="1" t="s">
        <v>28</v>
      </c>
      <c r="D123" s="2">
        <v>54.702274119999998</v>
      </c>
      <c r="E123" s="2">
        <v>-120.40647</v>
      </c>
      <c r="F123" s="2">
        <v>39</v>
      </c>
      <c r="G123" s="1" t="s">
        <v>23</v>
      </c>
      <c r="H123" s="2">
        <v>9.6</v>
      </c>
      <c r="I123" s="2">
        <v>151.23263999999998</v>
      </c>
      <c r="J123" s="2">
        <v>107.36558583383237</v>
      </c>
      <c r="K123" s="2" t="s">
        <v>23</v>
      </c>
      <c r="L123" s="2">
        <v>2.1384777831999999</v>
      </c>
      <c r="M123" s="2">
        <v>69.236664062499997</v>
      </c>
      <c r="N123" s="2">
        <f>Table1[[#This Row],[R1 Length (km)]]+Table1[[#This Row],[T1 Length (km)]]</f>
        <v>71.3751418457</v>
      </c>
      <c r="O123" s="1">
        <v>230</v>
      </c>
      <c r="P123" s="1" t="s">
        <v>137</v>
      </c>
      <c r="Q123" s="3" t="s">
        <v>23</v>
      </c>
      <c r="R123" s="9" t="s">
        <v>23</v>
      </c>
      <c r="S123" s="9" t="s">
        <v>23</v>
      </c>
      <c r="T123" s="9">
        <f>607232.1/10000</f>
        <v>60.723209999999995</v>
      </c>
      <c r="U123" s="20">
        <v>1490</v>
      </c>
      <c r="V123" s="20">
        <f>Table1[[#This Row],[Raw Terrestrial Score]]/Table1[[#This Row],[Summed Raw Scores]]</f>
        <v>0.64224137931034486</v>
      </c>
      <c r="W123" s="20">
        <v>830</v>
      </c>
      <c r="X123" s="20">
        <f>Table1[[#This Row],[Raw Freshwater Score]]/Table1[[#This Row],[Summed Raw Scores]]</f>
        <v>0.35775862068965519</v>
      </c>
      <c r="Y123" s="20">
        <f>Table1[[#This Row],[Raw Terrestrial Score]]+Table1[[#This Row],[Raw Freshwater Score]]</f>
        <v>2320</v>
      </c>
      <c r="Z123" s="18">
        <f>Table1[[#This Row],[Terrestrial % of Summed Score]]*Table1[[#This Row],[Scaled Summed Score]]</f>
        <v>6.3090924248699901E-2</v>
      </c>
      <c r="AA123" s="18">
        <f>Table1[[#This Row],[Freshwater % of Summed Score]]*Table1[[#This Row],[Scaled Summed Score]]</f>
        <v>3.5144608809678464E-2</v>
      </c>
      <c r="AB123" s="18">
        <f>(Table1[[#This Row],[Summed Raw Scores]]-MIN(Table1[Summed Raw Scores]))/(MAX(Table1[Summed Raw Scores])-MIN(Table1[Summed Raw Scores]))</f>
        <v>9.8235533058378358E-2</v>
      </c>
      <c r="AC123" s="9"/>
    </row>
    <row r="124" spans="1:29" x14ac:dyDescent="0.3">
      <c r="A124" s="1" t="s">
        <v>91</v>
      </c>
      <c r="B124" s="1" t="s">
        <v>59</v>
      </c>
      <c r="C124" s="1" t="s">
        <v>41</v>
      </c>
      <c r="D124" s="2">
        <v>50.001386070000002</v>
      </c>
      <c r="E124" s="2">
        <v>-119.4152191</v>
      </c>
      <c r="F124" s="2">
        <v>126.011076923</v>
      </c>
      <c r="G124" s="2" t="s">
        <v>23</v>
      </c>
      <c r="H124" s="2" t="s">
        <v>23</v>
      </c>
      <c r="I124" s="2">
        <v>213.88440531431118</v>
      </c>
      <c r="J124" s="2">
        <v>104.06496196270399</v>
      </c>
      <c r="K124" s="2" t="s">
        <v>23</v>
      </c>
      <c r="L124" s="2">
        <v>0.3</v>
      </c>
      <c r="M124" s="2">
        <v>25.9</v>
      </c>
      <c r="N124" s="2">
        <f>Table1[[#This Row],[R1 Length (km)]]+Table1[[#This Row],[T1 Length (km)]]</f>
        <v>26.2</v>
      </c>
      <c r="O124" s="1">
        <v>130</v>
      </c>
      <c r="P124" s="3" t="s">
        <v>23</v>
      </c>
      <c r="Q124" s="3" t="s">
        <v>23</v>
      </c>
      <c r="R124" s="2">
        <v>333.72</v>
      </c>
      <c r="S124" s="2">
        <v>133.48800000000003</v>
      </c>
      <c r="T124" s="2">
        <v>333.72</v>
      </c>
      <c r="U124" s="20">
        <v>1900</v>
      </c>
      <c r="V124" s="20">
        <f>Table1[[#This Row],[Raw Terrestrial Score]]/Table1[[#This Row],[Summed Raw Scores]]</f>
        <v>0.81931867184131091</v>
      </c>
      <c r="W124" s="20">
        <v>419</v>
      </c>
      <c r="X124" s="20">
        <f>Table1[[#This Row],[Raw Freshwater Score]]/Table1[[#This Row],[Summed Raw Scores]]</f>
        <v>0.18068132815868909</v>
      </c>
      <c r="Y124" s="20">
        <f>Table1[[#This Row],[Raw Terrestrial Score]]+Table1[[#This Row],[Raw Freshwater Score]]</f>
        <v>2319</v>
      </c>
      <c r="Z124" s="18">
        <f>Table1[[#This Row],[Terrestrial % of Summed Score]]*Table1[[#This Row],[Scaled Summed Score]]</f>
        <v>8.0451303521377568E-2</v>
      </c>
      <c r="AA124" s="18">
        <f>Table1[[#This Row],[Freshwater % of Summed Score]]*Table1[[#This Row],[Scaled Summed Score]]</f>
        <v>1.7741629566030107E-2</v>
      </c>
      <c r="AB124" s="18">
        <f>(Table1[[#This Row],[Summed Raw Scores]]-MIN(Table1[Summed Raw Scores]))/(MAX(Table1[Summed Raw Scores])-MIN(Table1[Summed Raw Scores]))</f>
        <v>9.8192933087407674E-2</v>
      </c>
      <c r="AC124" s="9"/>
    </row>
    <row r="125" spans="1:29" x14ac:dyDescent="0.3">
      <c r="A125" s="1" t="s">
        <v>191</v>
      </c>
      <c r="B125" s="1" t="s">
        <v>115</v>
      </c>
      <c r="C125" s="1" t="s">
        <v>26</v>
      </c>
      <c r="D125" s="2">
        <v>50.438525319999997</v>
      </c>
      <c r="E125" s="2">
        <v>-121.0431569</v>
      </c>
      <c r="F125" s="2">
        <v>129</v>
      </c>
      <c r="G125" s="1" t="s">
        <v>23</v>
      </c>
      <c r="H125" s="2">
        <v>31.2</v>
      </c>
      <c r="I125" s="2">
        <v>320.00280000000004</v>
      </c>
      <c r="J125" s="2">
        <v>89.222821877244428</v>
      </c>
      <c r="K125" s="2" t="s">
        <v>23</v>
      </c>
      <c r="L125" s="2">
        <v>1.6899497070299998</v>
      </c>
      <c r="M125" s="2">
        <v>17.96984765625</v>
      </c>
      <c r="N125" s="2">
        <f>Table1[[#This Row],[R1 Length (km)]]+Table1[[#This Row],[T1 Length (km)]]</f>
        <v>19.659797363279999</v>
      </c>
      <c r="O125" s="1">
        <v>130</v>
      </c>
      <c r="P125" s="1" t="s">
        <v>116</v>
      </c>
      <c r="Q125" s="1">
        <v>26</v>
      </c>
      <c r="R125" s="9" t="s">
        <v>23</v>
      </c>
      <c r="S125" s="9" t="s">
        <v>23</v>
      </c>
      <c r="T125" s="9">
        <f>((PI()*(45^2))*Table1[[#This Row],[Number of Turbines - WIND]])/10000</f>
        <v>16.54048532115026</v>
      </c>
      <c r="U125" s="20">
        <f>965+204.5007</f>
        <v>1169.5007000000001</v>
      </c>
      <c r="V125" s="20">
        <f>Table1[[#This Row],[Raw Terrestrial Score]]/Table1[[#This Row],[Summed Raw Scores]]</f>
        <v>0.5094752094826196</v>
      </c>
      <c r="W125" s="20">
        <f>211+915</f>
        <v>1126</v>
      </c>
      <c r="X125" s="20">
        <f>Table1[[#This Row],[Raw Freshwater Score]]/Table1[[#This Row],[Summed Raw Scores]]</f>
        <v>0.49052479051738035</v>
      </c>
      <c r="Y125" s="20">
        <f>Table1[[#This Row],[Raw Terrestrial Score]]+Table1[[#This Row],[Raw Freshwater Score]]</f>
        <v>2295.5007000000001</v>
      </c>
      <c r="Z125" s="18">
        <f>Table1[[#This Row],[Terrestrial % of Summed Score]]*Table1[[#This Row],[Scaled Summed Score]]</f>
        <v>4.9516845062305664E-2</v>
      </c>
      <c r="AA125" s="18">
        <f>Table1[[#This Row],[Freshwater % of Summed Score]]*Table1[[#This Row],[Scaled Summed Score]]</f>
        <v>4.767501852727081E-2</v>
      </c>
      <c r="AB125" s="18">
        <f>(Table1[[#This Row],[Summed Raw Scores]]-MIN(Table1[Summed Raw Scores]))/(MAX(Table1[Summed Raw Scores])-MIN(Table1[Summed Raw Scores]))</f>
        <v>9.7191863589576474E-2</v>
      </c>
      <c r="AC125" s="9"/>
    </row>
    <row r="126" spans="1:29" x14ac:dyDescent="0.3">
      <c r="A126" s="1" t="s">
        <v>193</v>
      </c>
      <c r="B126" s="1" t="s">
        <v>115</v>
      </c>
      <c r="C126" s="1" t="s">
        <v>26</v>
      </c>
      <c r="D126" s="2">
        <v>50.337349539999998</v>
      </c>
      <c r="E126" s="2">
        <v>-120.2431879</v>
      </c>
      <c r="F126" s="2">
        <v>96</v>
      </c>
      <c r="G126" s="1" t="s">
        <v>23</v>
      </c>
      <c r="H126" s="2">
        <v>22.8</v>
      </c>
      <c r="I126" s="2">
        <v>233.51532</v>
      </c>
      <c r="J126" s="2">
        <v>95.607254920173048</v>
      </c>
      <c r="K126" s="2" t="s">
        <v>23</v>
      </c>
      <c r="L126" s="2">
        <v>0.66568542480500004</v>
      </c>
      <c r="M126" s="2">
        <v>22.027921875000001</v>
      </c>
      <c r="N126" s="2">
        <f>Table1[[#This Row],[R1 Length (km)]]+Table1[[#This Row],[T1 Length (km)]]</f>
        <v>22.693607299805002</v>
      </c>
      <c r="O126" s="1">
        <v>130</v>
      </c>
      <c r="P126" s="1" t="s">
        <v>116</v>
      </c>
      <c r="Q126" s="1">
        <v>19</v>
      </c>
      <c r="R126" s="9" t="s">
        <v>23</v>
      </c>
      <c r="S126" s="9" t="s">
        <v>23</v>
      </c>
      <c r="T126" s="9">
        <f>((PI()*(45^2))*Table1[[#This Row],[Number of Turbines - WIND]])/10000</f>
        <v>12.087277734686728</v>
      </c>
      <c r="U126" s="20">
        <f>1179+101.4239</f>
        <v>1280.4239</v>
      </c>
      <c r="V126" s="20">
        <f>Table1[[#This Row],[Raw Terrestrial Score]]/Table1[[#This Row],[Summed Raw Scores]]</f>
        <v>0.56034967828043225</v>
      </c>
      <c r="W126" s="20">
        <f>98.62051+906</f>
        <v>1004.62051</v>
      </c>
      <c r="X126" s="20">
        <f>Table1[[#This Row],[Raw Freshwater Score]]/Table1[[#This Row],[Summed Raw Scores]]</f>
        <v>0.4396503217195678</v>
      </c>
      <c r="Y126" s="20">
        <f>Table1[[#This Row],[Raw Terrestrial Score]]+Table1[[#This Row],[Raw Freshwater Score]]</f>
        <v>2285.04441</v>
      </c>
      <c r="Z126" s="18">
        <f>Table1[[#This Row],[Terrestrial % of Summed Score]]*Table1[[#This Row],[Scaled Summed Score]]</f>
        <v>5.4211828649765037E-2</v>
      </c>
      <c r="AA126" s="18">
        <f>Table1[[#This Row],[Freshwater % of Summed Score]]*Table1[[#This Row],[Scaled Summed Score]]</f>
        <v>4.2534597289350475E-2</v>
      </c>
      <c r="AB126" s="18">
        <f>(Table1[[#This Row],[Summed Raw Scores]]-MIN(Table1[Summed Raw Scores]))/(MAX(Table1[Summed Raw Scores])-MIN(Table1[Summed Raw Scores]))</f>
        <v>9.6746425939115505E-2</v>
      </c>
      <c r="AC126" s="9"/>
    </row>
    <row r="127" spans="1:29" x14ac:dyDescent="0.3">
      <c r="A127" s="1" t="s">
        <v>72</v>
      </c>
      <c r="B127" s="1" t="s">
        <v>59</v>
      </c>
      <c r="C127" s="1" t="s">
        <v>60</v>
      </c>
      <c r="D127" s="2">
        <v>53.810181309999997</v>
      </c>
      <c r="E127" s="2">
        <v>-122.61122469999999</v>
      </c>
      <c r="F127" s="2">
        <v>490.08738461500002</v>
      </c>
      <c r="G127" s="2" t="s">
        <v>23</v>
      </c>
      <c r="H127" s="2" t="s">
        <v>23</v>
      </c>
      <c r="I127" s="2">
        <v>754.37483183767301</v>
      </c>
      <c r="J127" s="2">
        <v>100.03668615824678</v>
      </c>
      <c r="K127" s="2" t="s">
        <v>23</v>
      </c>
      <c r="L127" s="2">
        <v>0.3</v>
      </c>
      <c r="M127" s="2">
        <v>4.2</v>
      </c>
      <c r="N127" s="2">
        <f>Table1[[#This Row],[R1 Length (km)]]+Table1[[#This Row],[T1 Length (km)]]</f>
        <v>4.5</v>
      </c>
      <c r="O127" s="1">
        <v>230</v>
      </c>
      <c r="P127" s="3" t="s">
        <v>23</v>
      </c>
      <c r="Q127" s="3" t="s">
        <v>23</v>
      </c>
      <c r="R127" s="2">
        <v>1504.98</v>
      </c>
      <c r="S127" s="2">
        <v>601.99200000000008</v>
      </c>
      <c r="T127" s="2">
        <v>1504.98</v>
      </c>
      <c r="U127" s="20">
        <v>1273</v>
      </c>
      <c r="V127" s="20">
        <f>Table1[[#This Row],[Raw Terrestrial Score]]/Table1[[#This Row],[Summed Raw Scores]]</f>
        <v>0.59934086629001881</v>
      </c>
      <c r="W127" s="20">
        <v>851</v>
      </c>
      <c r="X127" s="20">
        <f>Table1[[#This Row],[Raw Freshwater Score]]/Table1[[#This Row],[Summed Raw Scores]]</f>
        <v>0.40065913370998119</v>
      </c>
      <c r="Y127" s="20">
        <f>Table1[[#This Row],[Raw Terrestrial Score]]+Table1[[#This Row],[Raw Freshwater Score]]</f>
        <v>2124</v>
      </c>
      <c r="Z127" s="18">
        <f>Table1[[#This Row],[Terrestrial % of Summed Score]]*Table1[[#This Row],[Scaled Summed Score]]</f>
        <v>5.3872316396593345E-2</v>
      </c>
      <c r="AA127" s="18">
        <f>Table1[[#This Row],[Freshwater % of Summed Score]]*Table1[[#This Row],[Scaled Summed Score]]</f>
        <v>3.6013622351532548E-2</v>
      </c>
      <c r="AB127" s="18">
        <f>(Table1[[#This Row],[Summed Raw Scores]]-MIN(Table1[Summed Raw Scores]))/(MAX(Table1[Summed Raw Scores])-MIN(Table1[Summed Raw Scores]))</f>
        <v>8.9885938748125893E-2</v>
      </c>
      <c r="AC127" s="9"/>
    </row>
    <row r="128" spans="1:29" x14ac:dyDescent="0.3">
      <c r="A128" s="1" t="s">
        <v>63</v>
      </c>
      <c r="B128" s="1" t="s">
        <v>59</v>
      </c>
      <c r="C128" s="1" t="s">
        <v>60</v>
      </c>
      <c r="D128" s="2">
        <v>53.987330720000003</v>
      </c>
      <c r="E128" s="2">
        <v>-122.8003246</v>
      </c>
      <c r="F128" s="2">
        <v>153.725538462</v>
      </c>
      <c r="G128" s="2" t="s">
        <v>23</v>
      </c>
      <c r="H128" s="2" t="s">
        <v>23</v>
      </c>
      <c r="I128" s="2">
        <v>246.20021132315097</v>
      </c>
      <c r="J128" s="2">
        <v>103.56327708214516</v>
      </c>
      <c r="K128" s="2" t="s">
        <v>23</v>
      </c>
      <c r="L128" s="2">
        <v>0</v>
      </c>
      <c r="M128" s="2">
        <v>22.5</v>
      </c>
      <c r="N128" s="2">
        <f>Table1[[#This Row],[R1 Length (km)]]+Table1[[#This Row],[T1 Length (km)]]</f>
        <v>22.5</v>
      </c>
      <c r="O128" s="1">
        <v>130</v>
      </c>
      <c r="P128" s="3" t="s">
        <v>23</v>
      </c>
      <c r="Q128" s="3" t="s">
        <v>23</v>
      </c>
      <c r="R128" s="2">
        <v>495.72</v>
      </c>
      <c r="S128" s="2">
        <v>198.28800000000001</v>
      </c>
      <c r="T128" s="2">
        <v>495.72</v>
      </c>
      <c r="U128" s="20">
        <v>1065</v>
      </c>
      <c r="V128" s="20">
        <f>Table1[[#This Row],[Raw Terrestrial Score]]/Table1[[#This Row],[Summed Raw Scores]]</f>
        <v>0.52257114818449457</v>
      </c>
      <c r="W128" s="20">
        <v>973</v>
      </c>
      <c r="X128" s="20">
        <f>Table1[[#This Row],[Raw Freshwater Score]]/Table1[[#This Row],[Summed Raw Scores]]</f>
        <v>0.47742885181550537</v>
      </c>
      <c r="Y128" s="20">
        <f>Table1[[#This Row],[Raw Terrestrial Score]]+Table1[[#This Row],[Raw Freshwater Score]]</f>
        <v>2038</v>
      </c>
      <c r="Z128" s="18">
        <f>Table1[[#This Row],[Terrestrial % of Summed Score]]*Table1[[#This Row],[Scaled Summed Score]]</f>
        <v>4.5057307863370893E-2</v>
      </c>
      <c r="AA128" s="18">
        <f>Table1[[#This Row],[Freshwater % of Summed Score]]*Table1[[#This Row],[Scaled Summed Score]]</f>
        <v>4.1165033381276882E-2</v>
      </c>
      <c r="AB128" s="18">
        <f>(Table1[[#This Row],[Summed Raw Scores]]-MIN(Table1[Summed Raw Scores]))/(MAX(Table1[Summed Raw Scores])-MIN(Table1[Summed Raw Scores]))</f>
        <v>8.6222341244647782E-2</v>
      </c>
      <c r="AC128" s="9"/>
    </row>
    <row r="129" spans="1:29" x14ac:dyDescent="0.3">
      <c r="A129" s="1" t="s">
        <v>85</v>
      </c>
      <c r="B129" s="1" t="s">
        <v>59</v>
      </c>
      <c r="C129" s="1" t="s">
        <v>26</v>
      </c>
      <c r="D129" s="2">
        <v>50.044244480000003</v>
      </c>
      <c r="E129" s="2">
        <v>-120.485651</v>
      </c>
      <c r="F129" s="2">
        <v>122.023384615</v>
      </c>
      <c r="G129" s="2" t="s">
        <v>23</v>
      </c>
      <c r="H129" s="2" t="s">
        <v>23</v>
      </c>
      <c r="I129" s="2">
        <v>217.64253245828661</v>
      </c>
      <c r="J129" s="2">
        <v>95.003592068529755</v>
      </c>
      <c r="K129" s="2" t="s">
        <v>23</v>
      </c>
      <c r="L129" s="2">
        <v>2.6</v>
      </c>
      <c r="M129" s="2">
        <v>18</v>
      </c>
      <c r="N129" s="2">
        <f>Table1[[#This Row],[R1 Length (km)]]+Table1[[#This Row],[T1 Length (km)]]</f>
        <v>20.6</v>
      </c>
      <c r="O129" s="1">
        <v>130</v>
      </c>
      <c r="P129" s="3" t="s">
        <v>23</v>
      </c>
      <c r="Q129" s="3" t="s">
        <v>23</v>
      </c>
      <c r="R129" s="2">
        <v>1018.17</v>
      </c>
      <c r="S129" s="2">
        <v>407.26800000000003</v>
      </c>
      <c r="T129" s="2">
        <v>1018.17</v>
      </c>
      <c r="U129" s="20">
        <v>1205</v>
      </c>
      <c r="V129" s="20">
        <f>Table1[[#This Row],[Raw Terrestrial Score]]/Table1[[#This Row],[Summed Raw Scores]]</f>
        <v>0.60522350577599193</v>
      </c>
      <c r="W129" s="20">
        <v>786</v>
      </c>
      <c r="X129" s="20">
        <f>Table1[[#This Row],[Raw Freshwater Score]]/Table1[[#This Row],[Summed Raw Scores]]</f>
        <v>0.39477649422400801</v>
      </c>
      <c r="Y129" s="20">
        <f>Table1[[#This Row],[Raw Terrestrial Score]]+Table1[[#This Row],[Raw Freshwater Score]]</f>
        <v>1991</v>
      </c>
      <c r="Z129" s="18">
        <f>Table1[[#This Row],[Terrestrial % of Summed Score]]*Table1[[#This Row],[Scaled Summed Score]]</f>
        <v>5.0972009966788724E-2</v>
      </c>
      <c r="AA129" s="18">
        <f>Table1[[#This Row],[Freshwater % of Summed Score]]*Table1[[#This Row],[Scaled Summed Score]]</f>
        <v>3.3248132642237291E-2</v>
      </c>
      <c r="AB129" s="18">
        <f>(Table1[[#This Row],[Summed Raw Scores]]-MIN(Table1[Summed Raw Scores]))/(MAX(Table1[Summed Raw Scores])-MIN(Table1[Summed Raw Scores]))</f>
        <v>8.4220142609026022E-2</v>
      </c>
      <c r="AC129" s="9"/>
    </row>
    <row r="130" spans="1:29" x14ac:dyDescent="0.3">
      <c r="A130" s="1" t="s">
        <v>64</v>
      </c>
      <c r="B130" s="1" t="s">
        <v>59</v>
      </c>
      <c r="C130" s="1" t="s">
        <v>60</v>
      </c>
      <c r="D130" s="2">
        <v>54.076540960000003</v>
      </c>
      <c r="E130" s="2">
        <v>-122.56210470000001</v>
      </c>
      <c r="F130" s="2">
        <v>250.626461538</v>
      </c>
      <c r="G130" s="2" t="s">
        <v>23</v>
      </c>
      <c r="H130" s="2" t="s">
        <v>23</v>
      </c>
      <c r="I130" s="2">
        <v>389.13790936218737</v>
      </c>
      <c r="J130" s="2">
        <v>103.23340136967143</v>
      </c>
      <c r="K130" s="2" t="s">
        <v>23</v>
      </c>
      <c r="L130" s="2">
        <v>0.8</v>
      </c>
      <c r="M130" s="2">
        <v>9.6</v>
      </c>
      <c r="N130" s="2">
        <f>Table1[[#This Row],[R1 Length (km)]]+Table1[[#This Row],[T1 Length (km)]]</f>
        <v>10.4</v>
      </c>
      <c r="O130" s="1">
        <v>230</v>
      </c>
      <c r="P130" s="3" t="s">
        <v>23</v>
      </c>
      <c r="Q130" s="3" t="s">
        <v>23</v>
      </c>
      <c r="R130" s="2">
        <v>384.75</v>
      </c>
      <c r="S130" s="2">
        <v>153.9</v>
      </c>
      <c r="T130" s="2">
        <v>384.75</v>
      </c>
      <c r="U130" s="20">
        <v>995</v>
      </c>
      <c r="V130" s="20">
        <f>Table1[[#This Row],[Raw Terrestrial Score]]/Table1[[#This Row],[Summed Raw Scores]]</f>
        <v>0.50151209677419351</v>
      </c>
      <c r="W130" s="20">
        <v>989</v>
      </c>
      <c r="X130" s="20">
        <f>Table1[[#This Row],[Raw Freshwater Score]]/Table1[[#This Row],[Summed Raw Scores]]</f>
        <v>0.49848790322580644</v>
      </c>
      <c r="Y130" s="20">
        <f>Table1[[#This Row],[Raw Terrestrial Score]]+Table1[[#This Row],[Raw Freshwater Score]]</f>
        <v>1984</v>
      </c>
      <c r="Z130" s="18">
        <f>Table1[[#This Row],[Terrestrial % of Summed Score]]*Table1[[#This Row],[Scaled Summed Score]]</f>
        <v>4.2087869505126073E-2</v>
      </c>
      <c r="AA130" s="18">
        <f>Table1[[#This Row],[Freshwater % of Summed Score]]*Table1[[#This Row],[Scaled Summed Score]]</f>
        <v>4.1834073307105216E-2</v>
      </c>
      <c r="AB130" s="18">
        <f>(Table1[[#This Row],[Summed Raw Scores]]-MIN(Table1[Summed Raw Scores]))/(MAX(Table1[Summed Raw Scores])-MIN(Table1[Summed Raw Scores]))</f>
        <v>8.3921942812231295E-2</v>
      </c>
      <c r="AC130" s="9"/>
    </row>
    <row r="131" spans="1:29" x14ac:dyDescent="0.3">
      <c r="A131" s="1" t="s">
        <v>70</v>
      </c>
      <c r="B131" s="1" t="s">
        <v>59</v>
      </c>
      <c r="C131" s="1" t="s">
        <v>60</v>
      </c>
      <c r="D131" s="2">
        <v>53.857921349999998</v>
      </c>
      <c r="E131" s="2">
        <v>-122.6364816</v>
      </c>
      <c r="F131" s="2">
        <v>587.18769230800001</v>
      </c>
      <c r="G131" s="2" t="s">
        <v>23</v>
      </c>
      <c r="H131" s="2" t="s">
        <v>23</v>
      </c>
      <c r="I131" s="2">
        <v>908.36290450179092</v>
      </c>
      <c r="J131" s="2">
        <v>103.28156857498674</v>
      </c>
      <c r="K131" s="2" t="s">
        <v>23</v>
      </c>
      <c r="L131" s="2">
        <v>0.3</v>
      </c>
      <c r="M131" s="2">
        <v>0</v>
      </c>
      <c r="N131" s="2">
        <f>Table1[[#This Row],[R1 Length (km)]]+Table1[[#This Row],[T1 Length (km)]]</f>
        <v>0.3</v>
      </c>
      <c r="O131" s="1">
        <v>500</v>
      </c>
      <c r="P131" s="3" t="s">
        <v>23</v>
      </c>
      <c r="Q131" s="3" t="s">
        <v>23</v>
      </c>
      <c r="R131" s="2">
        <v>447.93</v>
      </c>
      <c r="S131" s="2">
        <v>179.17200000000003</v>
      </c>
      <c r="T131" s="2">
        <v>447.93</v>
      </c>
      <c r="U131" s="20">
        <v>1305</v>
      </c>
      <c r="V131" s="20">
        <f>Table1[[#This Row],[Raw Terrestrial Score]]/Table1[[#This Row],[Summed Raw Scores]]</f>
        <v>0.66378433367243128</v>
      </c>
      <c r="W131" s="20">
        <v>661</v>
      </c>
      <c r="X131" s="20">
        <f>Table1[[#This Row],[Raw Freshwater Score]]/Table1[[#This Row],[Summed Raw Scores]]</f>
        <v>0.33621566632756866</v>
      </c>
      <c r="Y131" s="20">
        <f>Table1[[#This Row],[Raw Terrestrial Score]]+Table1[[#This Row],[Raw Freshwater Score]]</f>
        <v>1966</v>
      </c>
      <c r="Z131" s="18">
        <f>Table1[[#This Row],[Terrestrial % of Summed Score]]*Table1[[#This Row],[Scaled Summed Score]]</f>
        <v>5.5197081409898603E-2</v>
      </c>
      <c r="AA131" s="18">
        <f>Table1[[#This Row],[Freshwater % of Summed Score]]*Table1[[#This Row],[Scaled Summed Score]]</f>
        <v>2.7958061924860517E-2</v>
      </c>
      <c r="AB131" s="18">
        <f>(Table1[[#This Row],[Summed Raw Scores]]-MIN(Table1[Summed Raw Scores]))/(MAX(Table1[Summed Raw Scores])-MIN(Table1[Summed Raw Scores]))</f>
        <v>8.3155143334759124E-2</v>
      </c>
      <c r="AC131" s="9"/>
    </row>
    <row r="132" spans="1:29" x14ac:dyDescent="0.3">
      <c r="A132" s="1" t="s">
        <v>212</v>
      </c>
      <c r="B132" s="1" t="s">
        <v>115</v>
      </c>
      <c r="C132" s="1" t="s">
        <v>96</v>
      </c>
      <c r="D132" s="2">
        <v>49.342589940000003</v>
      </c>
      <c r="E132" s="2">
        <v>-115.73614329999999</v>
      </c>
      <c r="F132" s="2">
        <v>102</v>
      </c>
      <c r="G132" s="1" t="s">
        <v>23</v>
      </c>
      <c r="H132" s="2">
        <v>25.2</v>
      </c>
      <c r="I132" s="2">
        <v>263.98259999999999</v>
      </c>
      <c r="J132" s="2">
        <v>96.934119051467661</v>
      </c>
      <c r="K132" s="2" t="s">
        <v>23</v>
      </c>
      <c r="L132" s="2">
        <v>0.76568542480500001</v>
      </c>
      <c r="M132" s="2">
        <v>22.679394531250001</v>
      </c>
      <c r="N132" s="2">
        <f>Table1[[#This Row],[R1 Length (km)]]+Table1[[#This Row],[T1 Length (km)]]</f>
        <v>23.445079956055</v>
      </c>
      <c r="O132" s="1">
        <v>230</v>
      </c>
      <c r="P132" s="1" t="s">
        <v>189</v>
      </c>
      <c r="Q132" s="1">
        <v>21</v>
      </c>
      <c r="R132" s="9" t="s">
        <v>23</v>
      </c>
      <c r="S132" s="9" t="s">
        <v>23</v>
      </c>
      <c r="T132" s="9">
        <f>((PI()*(45^2))*Table1[[#This Row],[Number of Turbines - WIND]])/10000</f>
        <v>13.359622759390593</v>
      </c>
      <c r="U132" s="20">
        <f>1351+71.81525</f>
        <v>1422.8152500000001</v>
      </c>
      <c r="V132" s="20">
        <f>Table1[[#This Row],[Raw Terrestrial Score]]/Table1[[#This Row],[Summed Raw Scores]]</f>
        <v>0.7393402815990574</v>
      </c>
      <c r="W132" s="20">
        <f>54.62372+447</f>
        <v>501.62371999999999</v>
      </c>
      <c r="X132" s="20">
        <f>Table1[[#This Row],[Raw Freshwater Score]]/Table1[[#This Row],[Summed Raw Scores]]</f>
        <v>0.26065971840094254</v>
      </c>
      <c r="Y132" s="20">
        <f>Table1[[#This Row],[Raw Terrestrial Score]]+Table1[[#This Row],[Raw Freshwater Score]]</f>
        <v>1924.4389700000002</v>
      </c>
      <c r="Z132" s="18">
        <f>Table1[[#This Row],[Terrestrial % of Summed Score]]*Table1[[#This Row],[Scaled Summed Score]]</f>
        <v>6.0170946103164806E-2</v>
      </c>
      <c r="AA132" s="18">
        <f>Table1[[#This Row],[Freshwater % of Summed Score]]*Table1[[#This Row],[Scaled Summed Score]]</f>
        <v>2.1213698560082928E-2</v>
      </c>
      <c r="AB132" s="18">
        <f>(Table1[[#This Row],[Summed Raw Scores]]-MIN(Table1[Summed Raw Scores]))/(MAX(Table1[Summed Raw Scores])-MIN(Table1[Summed Raw Scores]))</f>
        <v>8.138464466324774E-2</v>
      </c>
      <c r="AC132" s="9"/>
    </row>
    <row r="133" spans="1:29" x14ac:dyDescent="0.3">
      <c r="A133" s="1" t="s">
        <v>192</v>
      </c>
      <c r="B133" s="1" t="s">
        <v>115</v>
      </c>
      <c r="C133" s="1" t="s">
        <v>26</v>
      </c>
      <c r="D133" s="2">
        <v>50.360553060000001</v>
      </c>
      <c r="E133" s="2">
        <v>-120.57558160000001</v>
      </c>
      <c r="F133" s="2">
        <v>117</v>
      </c>
      <c r="G133" s="1" t="s">
        <v>23</v>
      </c>
      <c r="H133" s="2">
        <v>28.799999999999997</v>
      </c>
      <c r="I133" s="2">
        <v>291.07727999999997</v>
      </c>
      <c r="J133" s="2">
        <v>92.450222284973009</v>
      </c>
      <c r="K133" s="2" t="s">
        <v>23</v>
      </c>
      <c r="L133" s="2">
        <v>2.3071069335900001</v>
      </c>
      <c r="M133" s="2">
        <v>18.539697265625001</v>
      </c>
      <c r="N133" s="2">
        <f>Table1[[#This Row],[R1 Length (km)]]+Table1[[#This Row],[T1 Length (km)]]</f>
        <v>20.846804199215001</v>
      </c>
      <c r="O133" s="1">
        <v>130</v>
      </c>
      <c r="P133" s="1" t="s">
        <v>116</v>
      </c>
      <c r="Q133" s="1">
        <v>24</v>
      </c>
      <c r="R133" s="9" t="s">
        <v>23</v>
      </c>
      <c r="S133" s="9" t="s">
        <v>23</v>
      </c>
      <c r="T133" s="9">
        <f>((PI()*(45^2))*Table1[[#This Row],[Number of Turbines - WIND]])/10000</f>
        <v>15.268140296446392</v>
      </c>
      <c r="U133" s="20">
        <f>890+140</f>
        <v>1030</v>
      </c>
      <c r="V133" s="20">
        <f>Table1[[#This Row],[Raw Terrestrial Score]]/Table1[[#This Row],[Summed Raw Scores]]</f>
        <v>0.54150385187987526</v>
      </c>
      <c r="W133" s="20">
        <f>129.1102+743</f>
        <v>872.11019999999996</v>
      </c>
      <c r="X133" s="20">
        <f>Table1[[#This Row],[Raw Freshwater Score]]/Table1[[#This Row],[Summed Raw Scores]]</f>
        <v>0.45849614812012468</v>
      </c>
      <c r="Y133" s="20">
        <f>Table1[[#This Row],[Raw Terrestrial Score]]+Table1[[#This Row],[Raw Freshwater Score]]</f>
        <v>1902.1102000000001</v>
      </c>
      <c r="Z133" s="18">
        <f>Table1[[#This Row],[Terrestrial % of Summed Score]]*Table1[[#This Row],[Scaled Summed Score]]</f>
        <v>4.355501742260777E-2</v>
      </c>
      <c r="AA133" s="18">
        <f>Table1[[#This Row],[Freshwater % of Summed Score]]*Table1[[#This Row],[Scaled Summed Score]]</f>
        <v>3.6878422286829075E-2</v>
      </c>
      <c r="AB133" s="18">
        <f>(Table1[[#This Row],[Summed Raw Scores]]-MIN(Table1[Summed Raw Scores]))/(MAX(Table1[Summed Raw Scores])-MIN(Table1[Summed Raw Scores]))</f>
        <v>8.0433439709436852E-2</v>
      </c>
      <c r="AC133" s="9"/>
    </row>
    <row r="134" spans="1:29" x14ac:dyDescent="0.3">
      <c r="A134" s="1" t="s">
        <v>73</v>
      </c>
      <c r="B134" s="1" t="s">
        <v>59</v>
      </c>
      <c r="C134" s="1" t="s">
        <v>60</v>
      </c>
      <c r="D134" s="2">
        <v>53.762447399999999</v>
      </c>
      <c r="E134" s="2">
        <v>-122.5860143</v>
      </c>
      <c r="F134" s="2">
        <v>267.77353846199998</v>
      </c>
      <c r="G134" s="2" t="s">
        <v>23</v>
      </c>
      <c r="H134" s="2" t="s">
        <v>23</v>
      </c>
      <c r="I134" s="2">
        <v>417.37455832924564</v>
      </c>
      <c r="J134" s="2">
        <v>102.45902931533188</v>
      </c>
      <c r="K134" s="2" t="s">
        <v>23</v>
      </c>
      <c r="L134" s="2">
        <v>0.3</v>
      </c>
      <c r="M134" s="2">
        <v>10.3</v>
      </c>
      <c r="N134" s="2">
        <f>Table1[[#This Row],[R1 Length (km)]]+Table1[[#This Row],[T1 Length (km)]]</f>
        <v>10.600000000000001</v>
      </c>
      <c r="O134" s="1">
        <v>230</v>
      </c>
      <c r="P134" s="3" t="s">
        <v>23</v>
      </c>
      <c r="Q134" s="3" t="s">
        <v>23</v>
      </c>
      <c r="R134" s="2">
        <v>378.27000000000004</v>
      </c>
      <c r="S134" s="2">
        <v>151.30800000000002</v>
      </c>
      <c r="T134" s="2">
        <v>378.27000000000004</v>
      </c>
      <c r="U134" s="20">
        <v>1099</v>
      </c>
      <c r="V134" s="20">
        <f>Table1[[#This Row],[Raw Terrestrial Score]]/Table1[[#This Row],[Summed Raw Scores]]</f>
        <v>0.58364312267657992</v>
      </c>
      <c r="W134" s="20">
        <v>784</v>
      </c>
      <c r="X134" s="20">
        <f>Table1[[#This Row],[Raw Freshwater Score]]/Table1[[#This Row],[Summed Raw Scores]]</f>
        <v>0.41635687732342008</v>
      </c>
      <c r="Y134" s="20">
        <f>Table1[[#This Row],[Raw Terrestrial Score]]+Table1[[#This Row],[Raw Freshwater Score]]</f>
        <v>1883</v>
      </c>
      <c r="Z134" s="18">
        <f>Table1[[#This Row],[Terrestrial % of Summed Score]]*Table1[[#This Row],[Scaled Summed Score]]</f>
        <v>4.646928357560709E-2</v>
      </c>
      <c r="AA134" s="18">
        <f>Table1[[#This Row],[Freshwater % of Summed Score]]*Table1[[#This Row],[Scaled Summed Score]]</f>
        <v>3.3150062168585945E-2</v>
      </c>
      <c r="AB134" s="18">
        <f>(Table1[[#This Row],[Summed Raw Scores]]-MIN(Table1[Summed Raw Scores]))/(MAX(Table1[Summed Raw Scores])-MIN(Table1[Summed Raw Scores]))</f>
        <v>7.9619345744193035E-2</v>
      </c>
      <c r="AC134" s="9"/>
    </row>
    <row r="135" spans="1:29" x14ac:dyDescent="0.3">
      <c r="A135" s="1" t="s">
        <v>104</v>
      </c>
      <c r="B135" s="1" t="s">
        <v>98</v>
      </c>
      <c r="C135" s="1" t="s">
        <v>31</v>
      </c>
      <c r="D135" s="2">
        <v>57.03</v>
      </c>
      <c r="E135" s="2">
        <v>-130.38</v>
      </c>
      <c r="F135" s="2">
        <v>76.599999999999994</v>
      </c>
      <c r="G135" s="2">
        <v>40</v>
      </c>
      <c r="H135" s="2">
        <v>3</v>
      </c>
      <c r="I135" s="2">
        <v>152</v>
      </c>
      <c r="J135" s="2">
        <v>154.71</v>
      </c>
      <c r="K135" s="2" t="s">
        <v>23</v>
      </c>
      <c r="L135" s="2">
        <f>3621.32034355755/1000</f>
        <v>3.6213203435575503</v>
      </c>
      <c r="M135" s="2">
        <v>13.109500000000001</v>
      </c>
      <c r="N135" s="2">
        <f>Table1[[#This Row],[R1 Length (km)]]+Table1[[#This Row],[T1 Length (km)]]</f>
        <v>16.73082034355755</v>
      </c>
      <c r="O135" s="1">
        <v>230</v>
      </c>
      <c r="P135" s="3" t="s">
        <v>23</v>
      </c>
      <c r="Q135" s="3" t="s">
        <v>23</v>
      </c>
      <c r="R135" s="9" t="s">
        <v>23</v>
      </c>
      <c r="S135" s="9" t="s">
        <v>23</v>
      </c>
      <c r="T135" s="9">
        <v>660.1</v>
      </c>
      <c r="U135" s="20">
        <v>832</v>
      </c>
      <c r="V135" s="20">
        <f>Table1[[#This Row],[Raw Terrestrial Score]]/Table1[[#This Row],[Summed Raw Scores]]</f>
        <v>0.44373333333333331</v>
      </c>
      <c r="W135" s="20">
        <v>1043</v>
      </c>
      <c r="X135" s="20">
        <f>Table1[[#This Row],[Raw Freshwater Score]]/Table1[[#This Row],[Summed Raw Scores]]</f>
        <v>0.55626666666666669</v>
      </c>
      <c r="Y135" s="20">
        <f>Table1[[#This Row],[Raw Terrestrial Score]]+Table1[[#This Row],[Raw Freshwater Score]]</f>
        <v>1875</v>
      </c>
      <c r="Z135" s="18">
        <f>Table1[[#This Row],[Terrestrial % of Summed Score]]*Table1[[#This Row],[Scaled Summed Score]]</f>
        <v>3.517853346794015E-2</v>
      </c>
      <c r="AA135" s="18">
        <f>Table1[[#This Row],[Freshwater % of Summed Score]]*Table1[[#This Row],[Scaled Summed Score]]</f>
        <v>4.4100012508487475E-2</v>
      </c>
      <c r="AB135" s="18">
        <f>(Table1[[#This Row],[Summed Raw Scores]]-MIN(Table1[Summed Raw Scores]))/(MAX(Table1[Summed Raw Scores])-MIN(Table1[Summed Raw Scores]))</f>
        <v>7.9278545976427625E-2</v>
      </c>
      <c r="AC135" s="9"/>
    </row>
    <row r="136" spans="1:29" x14ac:dyDescent="0.3">
      <c r="A136" s="1" t="s">
        <v>69</v>
      </c>
      <c r="B136" s="1" t="s">
        <v>59</v>
      </c>
      <c r="C136" s="1" t="s">
        <v>60</v>
      </c>
      <c r="D136" s="2">
        <v>53.844120330000003</v>
      </c>
      <c r="E136" s="2">
        <v>-122.72405000000001</v>
      </c>
      <c r="F136" s="2">
        <v>323.60123076899998</v>
      </c>
      <c r="G136" s="2" t="s">
        <v>23</v>
      </c>
      <c r="H136" s="2" t="s">
        <v>23</v>
      </c>
      <c r="I136" s="2">
        <v>502.62833385978621</v>
      </c>
      <c r="J136" s="2">
        <v>101.2851055941847</v>
      </c>
      <c r="K136" s="2" t="s">
        <v>23</v>
      </c>
      <c r="L136" s="2">
        <v>0</v>
      </c>
      <c r="M136" s="2">
        <v>7.9</v>
      </c>
      <c r="N136" s="2">
        <f>Table1[[#This Row],[R1 Length (km)]]+Table1[[#This Row],[T1 Length (km)]]</f>
        <v>7.9</v>
      </c>
      <c r="O136" s="1">
        <v>230</v>
      </c>
      <c r="P136" s="3" t="s">
        <v>23</v>
      </c>
      <c r="Q136" s="3" t="s">
        <v>23</v>
      </c>
      <c r="R136" s="2">
        <v>430.11</v>
      </c>
      <c r="S136" s="2">
        <v>172.04400000000001</v>
      </c>
      <c r="T136" s="2">
        <v>430.11</v>
      </c>
      <c r="U136" s="20">
        <v>1051</v>
      </c>
      <c r="V136" s="20">
        <f>Table1[[#This Row],[Raw Terrestrial Score]]/Table1[[#This Row],[Summed Raw Scores]]</f>
        <v>0.56566200215285256</v>
      </c>
      <c r="W136" s="20">
        <v>807</v>
      </c>
      <c r="X136" s="20">
        <f>Table1[[#This Row],[Raw Freshwater Score]]/Table1[[#This Row],[Summed Raw Scores]]</f>
        <v>0.43433799784714749</v>
      </c>
      <c r="Y136" s="20">
        <f>Table1[[#This Row],[Raw Terrestrial Score]]+Table1[[#This Row],[Raw Freshwater Score]]</f>
        <v>1858</v>
      </c>
      <c r="Z136" s="18">
        <f>Table1[[#This Row],[Terrestrial % of Summed Score]]*Table1[[#This Row],[Scaled Summed Score]]</f>
        <v>4.4435208901987287E-2</v>
      </c>
      <c r="AA136" s="18">
        <f>Table1[[#This Row],[Freshwater % of Summed Score]]*Table1[[#This Row],[Scaled Summed Score]]</f>
        <v>3.4119137567938856E-2</v>
      </c>
      <c r="AB136" s="18">
        <f>(Table1[[#This Row],[Summed Raw Scores]]-MIN(Table1[Summed Raw Scores]))/(MAX(Table1[Summed Raw Scores])-MIN(Table1[Summed Raw Scores]))</f>
        <v>7.8554346469926137E-2</v>
      </c>
      <c r="AC136" s="9"/>
    </row>
    <row r="137" spans="1:29" x14ac:dyDescent="0.3">
      <c r="A137" s="1" t="s">
        <v>173</v>
      </c>
      <c r="B137" s="1" t="s">
        <v>115</v>
      </c>
      <c r="C137" s="1" t="s">
        <v>28</v>
      </c>
      <c r="D137" s="2">
        <v>55.548454599999999</v>
      </c>
      <c r="E137" s="2">
        <v>-120.7554162</v>
      </c>
      <c r="F137" s="2">
        <v>351</v>
      </c>
      <c r="G137" s="1" t="s">
        <v>23</v>
      </c>
      <c r="H137" s="2">
        <v>84</v>
      </c>
      <c r="I137" s="2">
        <v>952.91280000000006</v>
      </c>
      <c r="J137" s="2">
        <v>77.43051985602311</v>
      </c>
      <c r="K137" s="2" t="s">
        <v>23</v>
      </c>
      <c r="L137" s="2">
        <v>1.4</v>
      </c>
      <c r="M137" s="2">
        <v>54.8</v>
      </c>
      <c r="N137" s="2">
        <f>Table1[[#This Row],[R1 Length (km)]]+Table1[[#This Row],[T1 Length (km)]]</f>
        <v>56.199999999999996</v>
      </c>
      <c r="O137" s="1">
        <v>230</v>
      </c>
      <c r="P137" s="1" t="s">
        <v>137</v>
      </c>
      <c r="Q137" s="3" t="s">
        <v>23</v>
      </c>
      <c r="R137" s="9" t="s">
        <v>23</v>
      </c>
      <c r="S137" s="9" t="s">
        <v>23</v>
      </c>
      <c r="T137" s="9">
        <v>44.53</v>
      </c>
      <c r="U137" s="20">
        <v>1079</v>
      </c>
      <c r="V137" s="20">
        <f>Table1[[#This Row],[Raw Terrestrial Score]]/Table1[[#This Row],[Summed Raw Scores]]</f>
        <v>0.59220636663007686</v>
      </c>
      <c r="W137" s="20">
        <v>743</v>
      </c>
      <c r="X137" s="20">
        <f>Table1[[#This Row],[Raw Freshwater Score]]/Table1[[#This Row],[Summed Raw Scores]]</f>
        <v>0.40779363336992314</v>
      </c>
      <c r="Y137" s="20">
        <f>Table1[[#This Row],[Raw Terrestrial Score]]+Table1[[#This Row],[Raw Freshwater Score]]</f>
        <v>1822</v>
      </c>
      <c r="Z137" s="18">
        <f>Table1[[#This Row],[Terrestrial % of Summed Score]]*Table1[[#This Row],[Scaled Summed Score]]</f>
        <v>4.5612177040979897E-2</v>
      </c>
      <c r="AA137" s="18">
        <f>Table1[[#This Row],[Freshwater % of Summed Score]]*Table1[[#This Row],[Scaled Summed Score]]</f>
        <v>3.1408570474001911E-2</v>
      </c>
      <c r="AB137" s="18">
        <f>(Table1[[#This Row],[Summed Raw Scores]]-MIN(Table1[Summed Raw Scores]))/(MAX(Table1[Summed Raw Scores])-MIN(Table1[Summed Raw Scores]))</f>
        <v>7.7020747514981808E-2</v>
      </c>
      <c r="AC137" s="9"/>
    </row>
    <row r="138" spans="1:29" x14ac:dyDescent="0.3">
      <c r="A138" s="1" t="s">
        <v>109</v>
      </c>
      <c r="B138" s="1" t="s">
        <v>98</v>
      </c>
      <c r="C138" s="1" t="s">
        <v>33</v>
      </c>
      <c r="D138" s="12">
        <v>49.58</v>
      </c>
      <c r="E138" s="12">
        <v>-121.35</v>
      </c>
      <c r="F138" s="2">
        <v>41.5</v>
      </c>
      <c r="G138" s="2">
        <v>40</v>
      </c>
      <c r="H138" s="2">
        <v>4</v>
      </c>
      <c r="I138" s="13">
        <v>61.7</v>
      </c>
      <c r="J138" s="13">
        <v>145.349752283105</v>
      </c>
      <c r="K138" s="2" t="s">
        <v>23</v>
      </c>
      <c r="L138" s="12">
        <v>0.72426406871269999</v>
      </c>
      <c r="M138" s="9">
        <v>14.961017305525326</v>
      </c>
      <c r="N138" s="9">
        <f>Table1[[#This Row],[R1 Length (km)]]+Table1[[#This Row],[T1 Length (km)]]</f>
        <v>15.685281374238025</v>
      </c>
      <c r="O138" s="3">
        <v>69</v>
      </c>
      <c r="P138" s="3" t="s">
        <v>23</v>
      </c>
      <c r="Q138" s="3" t="s">
        <v>23</v>
      </c>
      <c r="R138" s="9" t="s">
        <v>23</v>
      </c>
      <c r="S138" s="9" t="s">
        <v>23</v>
      </c>
      <c r="T138" s="9">
        <v>14.96</v>
      </c>
      <c r="U138" s="20">
        <v>904</v>
      </c>
      <c r="V138" s="20">
        <f>Table1[[#This Row],[Raw Terrestrial Score]]/Table1[[#This Row],[Summed Raw Scores]]</f>
        <v>0.50222222222222224</v>
      </c>
      <c r="W138" s="20">
        <v>896</v>
      </c>
      <c r="X138" s="20">
        <f>Table1[[#This Row],[Raw Freshwater Score]]/Table1[[#This Row],[Summed Raw Scores]]</f>
        <v>0.49777777777777776</v>
      </c>
      <c r="Y138" s="20">
        <f>Table1[[#This Row],[Raw Terrestrial Score]]+Table1[[#This Row],[Raw Freshwater Score]]</f>
        <v>1800</v>
      </c>
      <c r="Z138" s="18">
        <f>Table1[[#This Row],[Terrestrial % of Summed Score]]*Table1[[#This Row],[Scaled Summed Score]]</f>
        <v>3.821084862826598E-2</v>
      </c>
      <c r="AA138" s="18">
        <f>Table1[[#This Row],[Freshwater % of Summed Score]]*Table1[[#This Row],[Scaled Summed Score]]</f>
        <v>3.7872699525360966E-2</v>
      </c>
      <c r="AB138" s="18">
        <f>(Table1[[#This Row],[Summed Raw Scores]]-MIN(Table1[Summed Raw Scores]))/(MAX(Table1[Summed Raw Scores])-MIN(Table1[Summed Raw Scores]))</f>
        <v>7.6083548153626945E-2</v>
      </c>
      <c r="AC138" s="9"/>
    </row>
    <row r="139" spans="1:29" x14ac:dyDescent="0.3">
      <c r="A139" s="1" t="s">
        <v>195</v>
      </c>
      <c r="B139" s="1" t="s">
        <v>115</v>
      </c>
      <c r="C139" s="1" t="s">
        <v>88</v>
      </c>
      <c r="D139" s="2">
        <v>50.614013720000003</v>
      </c>
      <c r="E139" s="2">
        <v>-119.4703877</v>
      </c>
      <c r="F139" s="2">
        <v>138</v>
      </c>
      <c r="G139" s="1" t="s">
        <v>23</v>
      </c>
      <c r="H139" s="2">
        <v>33.6</v>
      </c>
      <c r="I139" s="2">
        <v>366.44832000000002</v>
      </c>
      <c r="J139" s="2">
        <v>83.191183022405298</v>
      </c>
      <c r="K139" s="2" t="s">
        <v>23</v>
      </c>
      <c r="L139" s="2">
        <v>0.2</v>
      </c>
      <c r="M139" s="2">
        <v>18.899999999999999</v>
      </c>
      <c r="N139" s="2">
        <f>Table1[[#This Row],[R1 Length (km)]]+Table1[[#This Row],[T1 Length (km)]]</f>
        <v>19.099999999999998</v>
      </c>
      <c r="O139" s="1">
        <v>130</v>
      </c>
      <c r="P139" s="1" t="s">
        <v>116</v>
      </c>
      <c r="Q139" s="1">
        <v>28</v>
      </c>
      <c r="R139" s="9" t="s">
        <v>23</v>
      </c>
      <c r="S139" s="9" t="s">
        <v>23</v>
      </c>
      <c r="T139" s="9">
        <f>((PI()*(45^2))*Table1[[#This Row],[Number of Turbines - WIND]])/10000</f>
        <v>17.812830345854124</v>
      </c>
      <c r="U139" s="20">
        <f>553+186</f>
        <v>739</v>
      </c>
      <c r="V139" s="20">
        <f>Table1[[#This Row],[Raw Terrestrial Score]]/Table1[[#This Row],[Summed Raw Scores]]</f>
        <v>0.42233209841675184</v>
      </c>
      <c r="W139" s="20">
        <f>190.8078+820</f>
        <v>1010.8078</v>
      </c>
      <c r="X139" s="20">
        <f>Table1[[#This Row],[Raw Freshwater Score]]/Table1[[#This Row],[Summed Raw Scores]]</f>
        <v>0.57766790158324821</v>
      </c>
      <c r="Y139" s="20">
        <f>Table1[[#This Row],[Raw Terrestrial Score]]+Table1[[#This Row],[Raw Freshwater Score]]</f>
        <v>1749.8078</v>
      </c>
      <c r="Z139" s="18">
        <f>Table1[[#This Row],[Terrestrial % of Summed Score]]*Table1[[#This Row],[Scaled Summed Score]]</f>
        <v>3.122949985547387E-2</v>
      </c>
      <c r="AA139" s="18">
        <f>Table1[[#This Row],[Freshwater % of Summed Score]]*Table1[[#This Row],[Scaled Summed Score]]</f>
        <v>4.2715862035198726E-2</v>
      </c>
      <c r="AB139" s="18">
        <f>(Table1[[#This Row],[Summed Raw Scores]]-MIN(Table1[Summed Raw Scores]))/(MAX(Table1[Summed Raw Scores])-MIN(Table1[Summed Raw Scores]))</f>
        <v>7.3945361890672592E-2</v>
      </c>
      <c r="AC139" s="9"/>
    </row>
    <row r="140" spans="1:29" x14ac:dyDescent="0.3">
      <c r="A140" s="1" t="s">
        <v>86</v>
      </c>
      <c r="B140" s="1" t="s">
        <v>59</v>
      </c>
      <c r="C140" s="1" t="s">
        <v>26</v>
      </c>
      <c r="D140" s="2">
        <v>50.069231299999998</v>
      </c>
      <c r="E140" s="2">
        <v>-120.3214856</v>
      </c>
      <c r="F140" s="2">
        <v>177.45230769200001</v>
      </c>
      <c r="G140" s="2" t="s">
        <v>23</v>
      </c>
      <c r="H140" s="2" t="s">
        <v>23</v>
      </c>
      <c r="I140" s="2">
        <v>316.16702664000769</v>
      </c>
      <c r="J140" s="2">
        <v>93.790560276161614</v>
      </c>
      <c r="K140" s="2" t="s">
        <v>23</v>
      </c>
      <c r="L140" s="2">
        <v>1.6</v>
      </c>
      <c r="M140" s="2">
        <v>14.5</v>
      </c>
      <c r="N140" s="2">
        <f>Table1[[#This Row],[R1 Length (km)]]+Table1[[#This Row],[T1 Length (km)]]</f>
        <v>16.100000000000001</v>
      </c>
      <c r="O140" s="1">
        <v>230</v>
      </c>
      <c r="P140" s="3" t="s">
        <v>23</v>
      </c>
      <c r="Q140" s="3" t="s">
        <v>23</v>
      </c>
      <c r="R140" s="2">
        <v>2385.4500000000003</v>
      </c>
      <c r="S140" s="2">
        <v>954.18000000000018</v>
      </c>
      <c r="T140" s="2">
        <v>2385.4500000000003</v>
      </c>
      <c r="U140" s="20">
        <v>1063</v>
      </c>
      <c r="V140" s="20">
        <f>Table1[[#This Row],[Raw Terrestrial Score]]/Table1[[#This Row],[Summed Raw Scores]]</f>
        <v>0.62382629107981225</v>
      </c>
      <c r="W140" s="20">
        <v>641</v>
      </c>
      <c r="X140" s="20">
        <f>Table1[[#This Row],[Raw Freshwater Score]]/Table1[[#This Row],[Summed Raw Scores]]</f>
        <v>0.37617370892018781</v>
      </c>
      <c r="Y140" s="20">
        <f>Table1[[#This Row],[Raw Terrestrial Score]]+Table1[[#This Row],[Raw Freshwater Score]]</f>
        <v>1704</v>
      </c>
      <c r="Z140" s="18">
        <f>Table1[[#This Row],[Terrestrial % of Summed Score]]*Table1[[#This Row],[Scaled Summed Score]]</f>
        <v>4.4911719395357937E-2</v>
      </c>
      <c r="AA140" s="18">
        <f>Table1[[#This Row],[Freshwater % of Summed Score]]*Table1[[#This Row],[Scaled Summed Score]]</f>
        <v>2.7082231545084139E-2</v>
      </c>
      <c r="AB140" s="18">
        <f>(Table1[[#This Row],[Summed Raw Scores]]-MIN(Table1[Summed Raw Scores]))/(MAX(Table1[Summed Raw Scores])-MIN(Table1[Summed Raw Scores]))</f>
        <v>7.1993950940442072E-2</v>
      </c>
      <c r="AC140" s="9"/>
    </row>
    <row r="141" spans="1:29" x14ac:dyDescent="0.3">
      <c r="A141" s="1" t="s">
        <v>67</v>
      </c>
      <c r="B141" s="1" t="s">
        <v>59</v>
      </c>
      <c r="C141" s="1" t="s">
        <v>60</v>
      </c>
      <c r="D141" s="2">
        <v>53.905667559999998</v>
      </c>
      <c r="E141" s="2">
        <v>-122.66178530000001</v>
      </c>
      <c r="F141" s="2">
        <v>382.61907692300002</v>
      </c>
      <c r="G141" s="2" t="s">
        <v>23</v>
      </c>
      <c r="H141" s="2" t="s">
        <v>23</v>
      </c>
      <c r="I141" s="2">
        <v>593.97001973886643</v>
      </c>
      <c r="J141" s="2">
        <v>100.52005295582235</v>
      </c>
      <c r="K141" s="2" t="s">
        <v>23</v>
      </c>
      <c r="L141" s="2">
        <v>0.3</v>
      </c>
      <c r="M141" s="2">
        <v>7.9</v>
      </c>
      <c r="N141" s="2">
        <f>Table1[[#This Row],[R1 Length (km)]]+Table1[[#This Row],[T1 Length (km)]]</f>
        <v>8.2000000000000011</v>
      </c>
      <c r="O141" s="1">
        <v>230</v>
      </c>
      <c r="P141" s="3" t="s">
        <v>23</v>
      </c>
      <c r="Q141" s="3" t="s">
        <v>23</v>
      </c>
      <c r="R141" s="2">
        <v>357.21</v>
      </c>
      <c r="S141" s="2">
        <v>142.88399999999999</v>
      </c>
      <c r="T141" s="2">
        <v>357.21</v>
      </c>
      <c r="U141" s="20">
        <v>875</v>
      </c>
      <c r="V141" s="20">
        <f>Table1[[#This Row],[Raw Terrestrial Score]]/Table1[[#This Row],[Summed Raw Scores]]</f>
        <v>0.54045707226683137</v>
      </c>
      <c r="W141" s="20">
        <v>744</v>
      </c>
      <c r="X141" s="20">
        <f>Table1[[#This Row],[Raw Freshwater Score]]/Table1[[#This Row],[Summed Raw Scores]]</f>
        <v>0.45954292773316863</v>
      </c>
      <c r="Y141" s="20">
        <f>Table1[[#This Row],[Raw Terrestrial Score]]+Table1[[#This Row],[Raw Freshwater Score]]</f>
        <v>1619</v>
      </c>
      <c r="Z141" s="18">
        <f>Table1[[#This Row],[Terrestrial % of Summed Score]]*Table1[[#This Row],[Scaled Summed Score]]</f>
        <v>3.695264622108882E-2</v>
      </c>
      <c r="AA141" s="18">
        <f>Table1[[#This Row],[Freshwater % of Summed Score]]*Table1[[#This Row],[Scaled Summed Score]]</f>
        <v>3.1420307186845811E-2</v>
      </c>
      <c r="AB141" s="18">
        <f>(Table1[[#This Row],[Summed Raw Scores]]-MIN(Table1[Summed Raw Scores]))/(MAX(Table1[Summed Raw Scores])-MIN(Table1[Summed Raw Scores]))</f>
        <v>6.8372953407934631E-2</v>
      </c>
      <c r="AC141" s="9"/>
    </row>
    <row r="142" spans="1:29" x14ac:dyDescent="0.3">
      <c r="A142" s="1" t="s">
        <v>184</v>
      </c>
      <c r="B142" s="1" t="s">
        <v>115</v>
      </c>
      <c r="C142" s="1" t="s">
        <v>28</v>
      </c>
      <c r="D142" s="2">
        <v>54.960041250000003</v>
      </c>
      <c r="E142" s="2">
        <v>-120.59689109999999</v>
      </c>
      <c r="F142" s="2">
        <v>150</v>
      </c>
      <c r="G142" s="1" t="s">
        <v>23</v>
      </c>
      <c r="H142" s="2">
        <v>36</v>
      </c>
      <c r="I142" s="2">
        <v>569.35620000000006</v>
      </c>
      <c r="J142" s="2">
        <v>62.193665264181391</v>
      </c>
      <c r="K142" s="2" t="s">
        <v>23</v>
      </c>
      <c r="L142" s="2">
        <v>0.2</v>
      </c>
      <c r="M142" s="2">
        <v>43.3</v>
      </c>
      <c r="N142" s="2">
        <f>Table1[[#This Row],[R1 Length (km)]]+Table1[[#This Row],[T1 Length (km)]]</f>
        <v>43.5</v>
      </c>
      <c r="O142" s="1">
        <v>230</v>
      </c>
      <c r="P142" s="1" t="s">
        <v>137</v>
      </c>
      <c r="Q142" s="3" t="s">
        <v>23</v>
      </c>
      <c r="R142" s="9" t="s">
        <v>23</v>
      </c>
      <c r="S142" s="9" t="s">
        <v>23</v>
      </c>
      <c r="T142" s="9">
        <v>19.09</v>
      </c>
      <c r="U142" s="20">
        <v>1176</v>
      </c>
      <c r="V142" s="20">
        <f>Table1[[#This Row],[Raw Terrestrial Score]]/Table1[[#This Row],[Summed Raw Scores]]</f>
        <v>0.74477517416086125</v>
      </c>
      <c r="W142" s="20">
        <v>403</v>
      </c>
      <c r="X142" s="20">
        <f>Table1[[#This Row],[Raw Freshwater Score]]/Table1[[#This Row],[Summed Raw Scores]]</f>
        <v>0.25522482583913869</v>
      </c>
      <c r="Y142" s="20">
        <f>Table1[[#This Row],[Raw Terrestrial Score]]+Table1[[#This Row],[Raw Freshwater Score]]</f>
        <v>1579</v>
      </c>
      <c r="Z142" s="18">
        <f>Table1[[#This Row],[Terrestrial % of Summed Score]]*Table1[[#This Row],[Scaled Summed Score]]</f>
        <v>4.9653382250329656E-2</v>
      </c>
      <c r="AA142" s="18">
        <f>Table1[[#This Row],[Freshwater % of Summed Score]]*Table1[[#This Row],[Scaled Summed Score]]</f>
        <v>1.7015572318777938E-2</v>
      </c>
      <c r="AB142" s="18">
        <f>(Table1[[#This Row],[Summed Raw Scores]]-MIN(Table1[Summed Raw Scores]))/(MAX(Table1[Summed Raw Scores])-MIN(Table1[Summed Raw Scores]))</f>
        <v>6.6668954569107597E-2</v>
      </c>
      <c r="AC142" s="9"/>
    </row>
    <row r="143" spans="1:29" x14ac:dyDescent="0.3">
      <c r="A143" s="1" t="s">
        <v>58</v>
      </c>
      <c r="B143" s="1" t="s">
        <v>59</v>
      </c>
      <c r="C143" s="1" t="s">
        <v>60</v>
      </c>
      <c r="D143" s="2">
        <v>54.144493179999998</v>
      </c>
      <c r="E143" s="2">
        <v>-122.7890088</v>
      </c>
      <c r="F143" s="2">
        <v>215.933538462</v>
      </c>
      <c r="G143" s="2" t="s">
        <v>23</v>
      </c>
      <c r="H143" s="2" t="s">
        <v>23</v>
      </c>
      <c r="I143" s="2">
        <v>341.24863688479297</v>
      </c>
      <c r="J143" s="2">
        <v>102.9148728582885</v>
      </c>
      <c r="K143" s="2" t="s">
        <v>23</v>
      </c>
      <c r="L143" s="2">
        <v>0.6</v>
      </c>
      <c r="M143" s="2">
        <v>11.3</v>
      </c>
      <c r="N143" s="2">
        <f>Table1[[#This Row],[R1 Length (km)]]+Table1[[#This Row],[T1 Length (km)]]</f>
        <v>11.9</v>
      </c>
      <c r="O143" s="1">
        <v>230</v>
      </c>
      <c r="P143" s="3" t="s">
        <v>23</v>
      </c>
      <c r="Q143" s="3" t="s">
        <v>23</v>
      </c>
      <c r="R143" s="2">
        <v>720.9</v>
      </c>
      <c r="S143" s="2">
        <v>288.36</v>
      </c>
      <c r="T143" s="2">
        <v>720.9</v>
      </c>
      <c r="U143" s="20">
        <v>756</v>
      </c>
      <c r="V143" s="20">
        <f>Table1[[#This Row],[Raw Terrestrial Score]]/Table1[[#This Row],[Summed Raw Scores]]</f>
        <v>0.48</v>
      </c>
      <c r="W143" s="20">
        <v>819</v>
      </c>
      <c r="X143" s="20">
        <f>Table1[[#This Row],[Raw Freshwater Score]]/Table1[[#This Row],[Summed Raw Scores]]</f>
        <v>0.52</v>
      </c>
      <c r="Y143" s="20">
        <f>Table1[[#This Row],[Raw Terrestrial Score]]+Table1[[#This Row],[Raw Freshwater Score]]</f>
        <v>1575</v>
      </c>
      <c r="Z143" s="18">
        <f>Table1[[#This Row],[Terrestrial % of Summed Score]]*Table1[[#This Row],[Scaled Summed Score]]</f>
        <v>3.1919306248907944E-2</v>
      </c>
      <c r="AA143" s="18">
        <f>Table1[[#This Row],[Freshwater % of Summed Score]]*Table1[[#This Row],[Scaled Summed Score]]</f>
        <v>3.4579248436316948E-2</v>
      </c>
      <c r="AB143" s="18">
        <f>(Table1[[#This Row],[Summed Raw Scores]]-MIN(Table1[Summed Raw Scores]))/(MAX(Table1[Summed Raw Scores])-MIN(Table1[Summed Raw Scores]))</f>
        <v>6.6498554685224892E-2</v>
      </c>
      <c r="AC143" s="9"/>
    </row>
    <row r="144" spans="1:29" x14ac:dyDescent="0.3">
      <c r="A144" s="1" t="s">
        <v>71</v>
      </c>
      <c r="B144" s="1" t="s">
        <v>59</v>
      </c>
      <c r="C144" s="1" t="s">
        <v>60</v>
      </c>
      <c r="D144" s="2">
        <v>53.796395869999998</v>
      </c>
      <c r="E144" s="2">
        <v>-122.698719</v>
      </c>
      <c r="F144" s="2">
        <v>208.15753846199999</v>
      </c>
      <c r="G144" s="2" t="s">
        <v>23</v>
      </c>
      <c r="H144" s="2" t="s">
        <v>23</v>
      </c>
      <c r="I144" s="2">
        <v>322.65399598024555</v>
      </c>
      <c r="J144" s="2">
        <v>104.7992600895695</v>
      </c>
      <c r="K144" s="2" t="s">
        <v>23</v>
      </c>
      <c r="L144" s="2">
        <v>0.3</v>
      </c>
      <c r="M144" s="2">
        <v>9.1999999999999993</v>
      </c>
      <c r="N144" s="2">
        <f>Table1[[#This Row],[R1 Length (km)]]+Table1[[#This Row],[T1 Length (km)]]</f>
        <v>9.5</v>
      </c>
      <c r="O144" s="1">
        <v>230</v>
      </c>
      <c r="P144" s="3" t="s">
        <v>23</v>
      </c>
      <c r="Q144" s="3" t="s">
        <v>23</v>
      </c>
      <c r="R144" s="2">
        <v>1990.98</v>
      </c>
      <c r="S144" s="2">
        <v>796.39200000000005</v>
      </c>
      <c r="T144" s="2">
        <v>1990.98</v>
      </c>
      <c r="U144" s="20">
        <v>908</v>
      </c>
      <c r="V144" s="20">
        <f>Table1[[#This Row],[Raw Terrestrial Score]]/Table1[[#This Row],[Summed Raw Scores]]</f>
        <v>0.58732212160413977</v>
      </c>
      <c r="W144" s="20">
        <v>638</v>
      </c>
      <c r="X144" s="20">
        <f>Table1[[#This Row],[Raw Freshwater Score]]/Table1[[#This Row],[Summed Raw Scores]]</f>
        <v>0.41267787839586029</v>
      </c>
      <c r="Y144" s="20">
        <f>Table1[[#This Row],[Raw Terrestrial Score]]+Table1[[#This Row],[Raw Freshwater Score]]</f>
        <v>1546</v>
      </c>
      <c r="Z144" s="18">
        <f>Table1[[#This Row],[Terrestrial % of Summed Score]]*Table1[[#This Row],[Scaled Summed Score]]</f>
        <v>3.833049496674281E-2</v>
      </c>
      <c r="AA144" s="18">
        <f>Table1[[#This Row],[Freshwater % of Summed Score]]*Table1[[#This Row],[Scaled Summed Score]]</f>
        <v>2.69326605603325E-2</v>
      </c>
      <c r="AB144" s="18">
        <f>(Table1[[#This Row],[Summed Raw Scores]]-MIN(Table1[Summed Raw Scores]))/(MAX(Table1[Summed Raw Scores])-MIN(Table1[Summed Raw Scores]))</f>
        <v>6.5263155527075303E-2</v>
      </c>
      <c r="AC144" s="9"/>
    </row>
    <row r="145" spans="1:29" x14ac:dyDescent="0.3">
      <c r="A145" s="1" t="s">
        <v>190</v>
      </c>
      <c r="B145" s="1" t="s">
        <v>115</v>
      </c>
      <c r="C145" s="1" t="s">
        <v>26</v>
      </c>
      <c r="D145" s="2">
        <v>50.597885300000002</v>
      </c>
      <c r="E145" s="2">
        <v>-120.67581060000001</v>
      </c>
      <c r="F145" s="2">
        <v>144</v>
      </c>
      <c r="G145" s="1" t="s">
        <v>23</v>
      </c>
      <c r="H145" s="2">
        <v>34.799999999999997</v>
      </c>
      <c r="I145" s="2">
        <v>388.55417999999997</v>
      </c>
      <c r="J145" s="2">
        <v>81.42411060961723</v>
      </c>
      <c r="K145" s="2" t="s">
        <v>23</v>
      </c>
      <c r="L145" s="2">
        <v>0.3</v>
      </c>
      <c r="M145" s="2">
        <v>21</v>
      </c>
      <c r="N145" s="2">
        <f>Table1[[#This Row],[R1 Length (km)]]+Table1[[#This Row],[T1 Length (km)]]</f>
        <v>21.3</v>
      </c>
      <c r="O145" s="1">
        <v>130</v>
      </c>
      <c r="P145" s="1" t="s">
        <v>189</v>
      </c>
      <c r="Q145" s="1">
        <v>29</v>
      </c>
      <c r="R145" s="9" t="s">
        <v>23</v>
      </c>
      <c r="S145" s="9" t="s">
        <v>23</v>
      </c>
      <c r="T145" s="9">
        <f>((PI()*(45^2))*Table1[[#This Row],[Number of Turbines - WIND]])/10000</f>
        <v>18.449002858206061</v>
      </c>
      <c r="U145" s="20">
        <f>642+165.7229</f>
        <v>807.72289999999998</v>
      </c>
      <c r="V145" s="20">
        <f>Table1[[#This Row],[Raw Terrestrial Score]]/Table1[[#This Row],[Summed Raw Scores]]</f>
        <v>0.5314935374073787</v>
      </c>
      <c r="W145" s="20">
        <f>196+516</f>
        <v>712</v>
      </c>
      <c r="X145" s="20">
        <f>Table1[[#This Row],[Raw Freshwater Score]]/Table1[[#This Row],[Summed Raw Scores]]</f>
        <v>0.46850646259262135</v>
      </c>
      <c r="Y145" s="20">
        <f>Table1[[#This Row],[Raw Terrestrial Score]]+Table1[[#This Row],[Raw Freshwater Score]]</f>
        <v>1519.7229</v>
      </c>
      <c r="Z145" s="18">
        <f>Table1[[#This Row],[Terrestrial % of Summed Score]]*Table1[[#This Row],[Scaled Summed Score]]</f>
        <v>3.4091989562644871E-2</v>
      </c>
      <c r="AA145" s="18">
        <f>Table1[[#This Row],[Freshwater % of Summed Score]]*Table1[[#This Row],[Scaled Summed Score]]</f>
        <v>3.0051762267236881E-2</v>
      </c>
      <c r="AB145" s="18">
        <f>(Table1[[#This Row],[Summed Raw Scores]]-MIN(Table1[Summed Raw Scores]))/(MAX(Table1[Summed Raw Scores])-MIN(Table1[Summed Raw Scores]))</f>
        <v>6.4143751829881746E-2</v>
      </c>
      <c r="AC145" s="9"/>
    </row>
    <row r="146" spans="1:29" x14ac:dyDescent="0.3">
      <c r="A146" s="1" t="s">
        <v>102</v>
      </c>
      <c r="B146" s="1" t="s">
        <v>98</v>
      </c>
      <c r="C146" s="1" t="s">
        <v>33</v>
      </c>
      <c r="D146" s="11">
        <v>49.95</v>
      </c>
      <c r="E146" s="11">
        <v>-124.23</v>
      </c>
      <c r="F146" s="2">
        <v>40.1</v>
      </c>
      <c r="G146" s="2">
        <v>40</v>
      </c>
      <c r="H146" s="2">
        <v>16</v>
      </c>
      <c r="I146" s="13">
        <v>172.2</v>
      </c>
      <c r="J146" s="13">
        <v>79.419958709065014</v>
      </c>
      <c r="K146" s="2" t="s">
        <v>23</v>
      </c>
      <c r="L146" s="11">
        <v>0</v>
      </c>
      <c r="M146" s="9">
        <v>21.230865786513867</v>
      </c>
      <c r="N146" s="9">
        <f>Table1[[#This Row],[R1 Length (km)]]+Table1[[#This Row],[T1 Length (km)]]</f>
        <v>21.230865786513867</v>
      </c>
      <c r="O146" s="3">
        <v>130</v>
      </c>
      <c r="P146" s="3" t="s">
        <v>23</v>
      </c>
      <c r="Q146" s="3" t="s">
        <v>23</v>
      </c>
      <c r="R146" s="9" t="s">
        <v>23</v>
      </c>
      <c r="S146" s="9" t="s">
        <v>23</v>
      </c>
      <c r="T146" s="9">
        <v>21.23</v>
      </c>
      <c r="U146" s="20">
        <v>557</v>
      </c>
      <c r="V146" s="20">
        <f>Table1[[#This Row],[Raw Terrestrial Score]]/Table1[[#This Row],[Summed Raw Scores]]</f>
        <v>0.37158105403602404</v>
      </c>
      <c r="W146" s="20">
        <v>942</v>
      </c>
      <c r="X146" s="20">
        <f>Table1[[#This Row],[Raw Freshwater Score]]/Table1[[#This Row],[Summed Raw Scores]]</f>
        <v>0.62841894596397596</v>
      </c>
      <c r="Y146" s="20">
        <f>Table1[[#This Row],[Raw Terrestrial Score]]+Table1[[#This Row],[Raw Freshwater Score]]</f>
        <v>1499</v>
      </c>
      <c r="Z146" s="18">
        <f>Table1[[#This Row],[Terrestrial % of Summed Score]]*Table1[[#This Row],[Scaled Summed Score]]</f>
        <v>2.3506573041053781E-2</v>
      </c>
      <c r="AA146" s="18">
        <f>Table1[[#This Row],[Freshwater % of Summed Score]]*Table1[[#This Row],[Scaled Summed Score]]</f>
        <v>3.9754383850399748E-2</v>
      </c>
      <c r="AB146" s="18">
        <f>(Table1[[#This Row],[Summed Raw Scores]]-MIN(Table1[Summed Raw Scores]))/(MAX(Table1[Summed Raw Scores])-MIN(Table1[Summed Raw Scores]))</f>
        <v>6.3260956891453529E-2</v>
      </c>
      <c r="AC146" s="9"/>
    </row>
    <row r="147" spans="1:29" x14ac:dyDescent="0.3">
      <c r="A147" s="1" t="s">
        <v>218</v>
      </c>
      <c r="B147" s="1" t="s">
        <v>115</v>
      </c>
      <c r="C147" s="1" t="s">
        <v>22</v>
      </c>
      <c r="D147" s="2">
        <v>50.655786939999999</v>
      </c>
      <c r="E147" s="2">
        <v>-127.75765079999999</v>
      </c>
      <c r="F147" s="2">
        <v>39</v>
      </c>
      <c r="G147" s="1" t="s">
        <v>23</v>
      </c>
      <c r="H147" s="2">
        <v>9.6</v>
      </c>
      <c r="I147" s="2">
        <v>119.73168000000001</v>
      </c>
      <c r="J147" s="2">
        <v>108.76961582803685</v>
      </c>
      <c r="K147" s="2" t="s">
        <v>23</v>
      </c>
      <c r="L147" s="2">
        <v>1.2242640380900001</v>
      </c>
      <c r="M147" s="2">
        <v>21.085281250000001</v>
      </c>
      <c r="N147" s="2">
        <f>Table1[[#This Row],[R1 Length (km)]]+Table1[[#This Row],[T1 Length (km)]]</f>
        <v>22.30954528809</v>
      </c>
      <c r="O147" s="1">
        <v>69</v>
      </c>
      <c r="P147" s="1" t="s">
        <v>116</v>
      </c>
      <c r="Q147" s="1">
        <v>8</v>
      </c>
      <c r="R147" s="9" t="s">
        <v>23</v>
      </c>
      <c r="S147" s="9" t="s">
        <v>23</v>
      </c>
      <c r="T147" s="9">
        <f>((PI()*(45^2))*Table1[[#This Row],[Number of Turbines - WIND]])/10000</f>
        <v>5.0893800988154645</v>
      </c>
      <c r="U147" s="20">
        <f>524+34</f>
        <v>558</v>
      </c>
      <c r="V147" s="20">
        <f>Table1[[#This Row],[Raw Terrestrial Score]]/Table1[[#This Row],[Summed Raw Scores]]</f>
        <v>0.3722481654436291</v>
      </c>
      <c r="W147" s="20">
        <f>34+907</f>
        <v>941</v>
      </c>
      <c r="X147" s="20">
        <f>Table1[[#This Row],[Raw Freshwater Score]]/Table1[[#This Row],[Summed Raw Scores]]</f>
        <v>0.62775183455637096</v>
      </c>
      <c r="Y147" s="20">
        <f>Table1[[#This Row],[Raw Terrestrial Score]]+Table1[[#This Row],[Raw Freshwater Score]]</f>
        <v>1499</v>
      </c>
      <c r="Z147" s="18">
        <f>Table1[[#This Row],[Terrestrial % of Summed Score]]*Table1[[#This Row],[Scaled Summed Score]]</f>
        <v>2.3548775147052083E-2</v>
      </c>
      <c r="AA147" s="18">
        <f>Table1[[#This Row],[Freshwater % of Summed Score]]*Table1[[#This Row],[Scaled Summed Score]]</f>
        <v>3.9712181744401449E-2</v>
      </c>
      <c r="AB147" s="18">
        <f>(Table1[[#This Row],[Summed Raw Scores]]-MIN(Table1[Summed Raw Scores]))/(MAX(Table1[Summed Raw Scores])-MIN(Table1[Summed Raw Scores]))</f>
        <v>6.3260956891453529E-2</v>
      </c>
      <c r="AC147" s="9"/>
    </row>
    <row r="148" spans="1:29" x14ac:dyDescent="0.3">
      <c r="A148" s="1" t="s">
        <v>30</v>
      </c>
      <c r="B148" s="1" t="s">
        <v>25</v>
      </c>
      <c r="C148" s="1" t="s">
        <v>31</v>
      </c>
      <c r="D148" s="2">
        <v>54.322493000000001</v>
      </c>
      <c r="E148" s="2">
        <v>-128.539906</v>
      </c>
      <c r="F148" s="2">
        <v>19.600000000000001</v>
      </c>
      <c r="G148" s="2">
        <v>17</v>
      </c>
      <c r="H148" s="2" t="s">
        <v>23</v>
      </c>
      <c r="I148" s="2">
        <v>130</v>
      </c>
      <c r="J148" s="2">
        <v>163.18</v>
      </c>
      <c r="K148" s="2" t="s">
        <v>23</v>
      </c>
      <c r="L148" s="2">
        <f>1145.3743238/1000</f>
        <v>1.1453743238</v>
      </c>
      <c r="M148" s="2">
        <f>18393.3047631/1000</f>
        <v>18.393304763100002</v>
      </c>
      <c r="N148" s="2">
        <f>Table1[[#This Row],[R1 Length (km)]]+Table1[[#This Row],[T1 Length (km)]]</f>
        <v>19.5386790869</v>
      </c>
      <c r="O148" s="1">
        <v>25</v>
      </c>
      <c r="P148" s="3" t="s">
        <v>23</v>
      </c>
      <c r="Q148" s="3" t="s">
        <v>23</v>
      </c>
      <c r="R148" s="9" t="s">
        <v>23</v>
      </c>
      <c r="S148" s="9" t="s">
        <v>23</v>
      </c>
      <c r="T148" s="9">
        <v>5.2</v>
      </c>
      <c r="U148" s="20">
        <v>594</v>
      </c>
      <c r="V148" s="20">
        <f>Table1[[#This Row],[Raw Terrestrial Score]]/Table1[[#This Row],[Summed Raw Scores]]</f>
        <v>0.40216655382532157</v>
      </c>
      <c r="W148" s="20">
        <v>883</v>
      </c>
      <c r="X148" s="20">
        <f>Table1[[#This Row],[Raw Freshwater Score]]/Table1[[#This Row],[Summed Raw Scores]]</f>
        <v>0.59783344617467837</v>
      </c>
      <c r="Y148" s="20">
        <f>Table1[[#This Row],[Raw Terrestrial Score]]+Table1[[#This Row],[Raw Freshwater Score]]</f>
        <v>1477</v>
      </c>
      <c r="Z148" s="18">
        <f>Table1[[#This Row],[Terrestrial % of Summed Score]]*Table1[[#This Row],[Scaled Summed Score]]</f>
        <v>2.5064530787324717E-2</v>
      </c>
      <c r="AA148" s="18">
        <f>Table1[[#This Row],[Freshwater % of Summed Score]]*Table1[[#This Row],[Scaled Summed Score]]</f>
        <v>3.7259226742773946E-2</v>
      </c>
      <c r="AB148" s="18">
        <f>(Table1[[#This Row],[Summed Raw Scores]]-MIN(Table1[Summed Raw Scores]))/(MAX(Table1[Summed Raw Scores])-MIN(Table1[Summed Raw Scores]))</f>
        <v>6.2323757530098667E-2</v>
      </c>
      <c r="AC148" s="9"/>
    </row>
    <row r="149" spans="1:29" x14ac:dyDescent="0.3">
      <c r="A149" s="1" t="s">
        <v>78</v>
      </c>
      <c r="B149" s="1" t="s">
        <v>59</v>
      </c>
      <c r="C149" s="1" t="s">
        <v>26</v>
      </c>
      <c r="D149" s="2">
        <v>50.271603509999998</v>
      </c>
      <c r="E149" s="2">
        <v>-120.3255542</v>
      </c>
      <c r="F149" s="2">
        <v>109.063384615</v>
      </c>
      <c r="G149" s="2" t="s">
        <v>23</v>
      </c>
      <c r="H149" s="2" t="s">
        <v>23</v>
      </c>
      <c r="I149" s="2">
        <v>193.898406513547</v>
      </c>
      <c r="J149" s="2">
        <v>94.756406942562222</v>
      </c>
      <c r="K149" s="2" t="s">
        <v>23</v>
      </c>
      <c r="L149" s="2">
        <v>0.6</v>
      </c>
      <c r="M149" s="2">
        <v>12.1</v>
      </c>
      <c r="N149" s="2">
        <f>Table1[[#This Row],[R1 Length (km)]]+Table1[[#This Row],[T1 Length (km)]]</f>
        <v>12.7</v>
      </c>
      <c r="O149" s="1">
        <v>130</v>
      </c>
      <c r="P149" s="3" t="s">
        <v>23</v>
      </c>
      <c r="Q149" s="3" t="s">
        <v>23</v>
      </c>
      <c r="R149" s="2">
        <v>220.32</v>
      </c>
      <c r="S149" s="2">
        <v>88.128</v>
      </c>
      <c r="T149" s="2">
        <v>220.32</v>
      </c>
      <c r="U149" s="20">
        <v>911</v>
      </c>
      <c r="V149" s="20">
        <f>Table1[[#This Row],[Raw Terrestrial Score]]/Table1[[#This Row],[Summed Raw Scores]]</f>
        <v>0.6291436464088398</v>
      </c>
      <c r="W149" s="20">
        <v>537</v>
      </c>
      <c r="X149" s="20">
        <f>Table1[[#This Row],[Raw Freshwater Score]]/Table1[[#This Row],[Summed Raw Scores]]</f>
        <v>0.3708563535911602</v>
      </c>
      <c r="Y149" s="20">
        <f>Table1[[#This Row],[Raw Terrestrial Score]]+Table1[[#This Row],[Raw Freshwater Score]]</f>
        <v>1448</v>
      </c>
      <c r="Z149" s="18">
        <f>Table1[[#This Row],[Terrestrial % of Summed Score]]*Table1[[#This Row],[Scaled Summed Score]]</f>
        <v>3.8433352539258017E-2</v>
      </c>
      <c r="AA149" s="18">
        <f>Table1[[#This Row],[Freshwater % of Summed Score]]*Table1[[#This Row],[Scaled Summed Score]]</f>
        <v>2.2655005832691057E-2</v>
      </c>
      <c r="AB149" s="18">
        <f>(Table1[[#This Row],[Summed Raw Scores]]-MIN(Table1[Summed Raw Scores]))/(MAX(Table1[Summed Raw Scores])-MIN(Table1[Summed Raw Scores]))</f>
        <v>6.1088358371949071E-2</v>
      </c>
      <c r="AC149" s="9"/>
    </row>
    <row r="150" spans="1:29" x14ac:dyDescent="0.3">
      <c r="A150" s="1" t="s">
        <v>40</v>
      </c>
      <c r="B150" s="1" t="s">
        <v>238</v>
      </c>
      <c r="C150" s="1" t="s">
        <v>41</v>
      </c>
      <c r="D150" s="2">
        <v>49.944439000000003</v>
      </c>
      <c r="E150" s="2">
        <v>-119.422766</v>
      </c>
      <c r="F150" s="2">
        <v>13.5</v>
      </c>
      <c r="G150" s="2">
        <v>14</v>
      </c>
      <c r="H150" s="2" t="s">
        <v>23</v>
      </c>
      <c r="I150" s="2">
        <v>118</v>
      </c>
      <c r="J150" s="2">
        <v>226.48</v>
      </c>
      <c r="K150" s="2" t="s">
        <v>23</v>
      </c>
      <c r="L150" s="2">
        <v>0</v>
      </c>
      <c r="M150" s="2">
        <v>19.576499999999999</v>
      </c>
      <c r="N150" s="2">
        <f>Table1[[#This Row],[R1 Length (km)]]+Table1[[#This Row],[T1 Length (km)]]</f>
        <v>19.576499999999999</v>
      </c>
      <c r="O150" s="1">
        <v>25</v>
      </c>
      <c r="P150" s="3" t="s">
        <v>23</v>
      </c>
      <c r="Q150" s="3" t="s">
        <v>23</v>
      </c>
      <c r="R150" s="9" t="s">
        <v>23</v>
      </c>
      <c r="S150" s="9" t="s">
        <v>23</v>
      </c>
      <c r="T150" s="9">
        <v>4</v>
      </c>
      <c r="U150" s="20">
        <v>1210</v>
      </c>
      <c r="V150" s="20">
        <f>Table1[[#This Row],[Raw Terrestrial Score]]/Table1[[#This Row],[Summed Raw Scores]]</f>
        <v>0.84086170952050032</v>
      </c>
      <c r="W150" s="20">
        <v>229</v>
      </c>
      <c r="X150" s="20">
        <f>Table1[[#This Row],[Raw Freshwater Score]]/Table1[[#This Row],[Summed Raw Scores]]</f>
        <v>0.15913829047949965</v>
      </c>
      <c r="Y150" s="20">
        <f>Table1[[#This Row],[Raw Terrestrial Score]]+Table1[[#This Row],[Raw Freshwater Score]]</f>
        <v>1439</v>
      </c>
      <c r="Z150" s="18">
        <f>Table1[[#This Row],[Terrestrial % of Summed Score]]*Table1[[#This Row],[Scaled Summed Score]]</f>
        <v>5.1044475292694728E-2</v>
      </c>
      <c r="AA150" s="18">
        <f>Table1[[#This Row],[Freshwater % of Summed Score]]*Table1[[#This Row],[Scaled Summed Score]]</f>
        <v>9.6604833405182586E-3</v>
      </c>
      <c r="AB150" s="18">
        <f>(Table1[[#This Row],[Summed Raw Scores]]-MIN(Table1[Summed Raw Scores]))/(MAX(Table1[Summed Raw Scores])-MIN(Table1[Summed Raw Scores]))</f>
        <v>6.0704958633212985E-2</v>
      </c>
      <c r="AC150" s="9"/>
    </row>
    <row r="151" spans="1:29" x14ac:dyDescent="0.3">
      <c r="A151" s="1" t="s">
        <v>94</v>
      </c>
      <c r="B151" s="1" t="s">
        <v>59</v>
      </c>
      <c r="C151" s="1" t="s">
        <v>22</v>
      </c>
      <c r="D151" s="2">
        <v>48.544412629999997</v>
      </c>
      <c r="E151" s="2">
        <v>-123.41815510000001</v>
      </c>
      <c r="F151" s="2">
        <v>114.446769231</v>
      </c>
      <c r="G151" s="2" t="s">
        <v>23</v>
      </c>
      <c r="H151" s="2" t="s">
        <v>23</v>
      </c>
      <c r="I151" s="2">
        <v>197.7440004716037</v>
      </c>
      <c r="J151" s="2">
        <v>96.517860072475429</v>
      </c>
      <c r="K151" s="2" t="s">
        <v>23</v>
      </c>
      <c r="L151" s="2">
        <v>0</v>
      </c>
      <c r="M151" s="2">
        <v>6.7</v>
      </c>
      <c r="N151" s="2">
        <f>Table1[[#This Row],[R1 Length (km)]]+Table1[[#This Row],[T1 Length (km)]]</f>
        <v>6.7</v>
      </c>
      <c r="O151" s="1">
        <v>130</v>
      </c>
      <c r="P151" s="3" t="s">
        <v>23</v>
      </c>
      <c r="Q151" s="3" t="s">
        <v>23</v>
      </c>
      <c r="R151" s="2">
        <v>221.93999999999997</v>
      </c>
      <c r="S151" s="2">
        <v>88.775999999999996</v>
      </c>
      <c r="T151" s="2">
        <v>221.93999999999997</v>
      </c>
      <c r="U151" s="20">
        <v>850</v>
      </c>
      <c r="V151" s="20">
        <f>Table1[[#This Row],[Raw Terrestrial Score]]/Table1[[#This Row],[Summed Raw Scores]]</f>
        <v>0.59109874826147424</v>
      </c>
      <c r="W151" s="20">
        <v>588</v>
      </c>
      <c r="X151" s="20">
        <f>Table1[[#This Row],[Raw Freshwater Score]]/Table1[[#This Row],[Summed Raw Scores]]</f>
        <v>0.40890125173852571</v>
      </c>
      <c r="Y151" s="20">
        <f>Table1[[#This Row],[Raw Terrestrial Score]]+Table1[[#This Row],[Raw Freshwater Score]]</f>
        <v>1438</v>
      </c>
      <c r="Z151" s="18">
        <f>Table1[[#This Row],[Terrestrial % of Summed Score]]*Table1[[#This Row],[Scaled Summed Score]]</f>
        <v>3.5857444271840025E-2</v>
      </c>
      <c r="AA151" s="18">
        <f>Table1[[#This Row],[Freshwater % of Summed Score]]*Table1[[#This Row],[Scaled Summed Score]]</f>
        <v>2.4804914390402277E-2</v>
      </c>
      <c r="AB151" s="18">
        <f>(Table1[[#This Row],[Summed Raw Scores]]-MIN(Table1[Summed Raw Scores]))/(MAX(Table1[Summed Raw Scores])-MIN(Table1[Summed Raw Scores]))</f>
        <v>6.0662358662242309E-2</v>
      </c>
      <c r="AC151" s="9"/>
    </row>
    <row r="152" spans="1:29" x14ac:dyDescent="0.3">
      <c r="A152" s="1" t="s">
        <v>179</v>
      </c>
      <c r="B152" s="1" t="s">
        <v>115</v>
      </c>
      <c r="C152" s="1" t="s">
        <v>28</v>
      </c>
      <c r="D152" s="12">
        <v>55.162438520000002</v>
      </c>
      <c r="E152" s="12">
        <v>-121.5944693</v>
      </c>
      <c r="F152" s="2">
        <v>45</v>
      </c>
      <c r="G152" s="1" t="s">
        <v>23</v>
      </c>
      <c r="H152" s="9">
        <v>10.799999999999999</v>
      </c>
      <c r="I152" s="9">
        <v>196.35101999999998</v>
      </c>
      <c r="J152" s="9">
        <v>62.521940881479459</v>
      </c>
      <c r="K152" s="2" t="s">
        <v>23</v>
      </c>
      <c r="L152" s="12">
        <v>3.1798994140599999</v>
      </c>
      <c r="M152" s="9">
        <v>30.518376953124999</v>
      </c>
      <c r="N152" s="9">
        <f>Table1[[#This Row],[R1 Length (km)]]+Table1[[#This Row],[T1 Length (km)]]</f>
        <v>33.698276367185002</v>
      </c>
      <c r="O152" s="5">
        <v>69</v>
      </c>
      <c r="P152" s="5" t="s">
        <v>137</v>
      </c>
      <c r="Q152" s="3" t="s">
        <v>23</v>
      </c>
      <c r="R152" s="9" t="s">
        <v>23</v>
      </c>
      <c r="S152" s="9" t="s">
        <v>23</v>
      </c>
      <c r="T152" s="9">
        <v>5.73</v>
      </c>
      <c r="U152" s="20">
        <v>743</v>
      </c>
      <c r="V152" s="20">
        <f>Table1[[#This Row],[Raw Terrestrial Score]]/Table1[[#This Row],[Summed Raw Scores]]</f>
        <v>0.5174094707520891</v>
      </c>
      <c r="W152" s="20">
        <v>693</v>
      </c>
      <c r="X152" s="20">
        <f>Table1[[#This Row],[Raw Freshwater Score]]/Table1[[#This Row],[Summed Raw Scores]]</f>
        <v>0.48259052924791085</v>
      </c>
      <c r="Y152" s="20">
        <f>Table1[[#This Row],[Raw Terrestrial Score]]+Table1[[#This Row],[Raw Freshwater Score]]</f>
        <v>1436</v>
      </c>
      <c r="Z152" s="18">
        <f>Table1[[#This Row],[Terrestrial % of Summed Score]]*Table1[[#This Row],[Scaled Summed Score]]</f>
        <v>3.1343195633136221E-2</v>
      </c>
      <c r="AA152" s="18">
        <f>Table1[[#This Row],[Freshwater % of Summed Score]]*Table1[[#This Row],[Scaled Summed Score]]</f>
        <v>2.9233963087164739E-2</v>
      </c>
      <c r="AB152" s="18">
        <f>(Table1[[#This Row],[Summed Raw Scores]]-MIN(Table1[Summed Raw Scores]))/(MAX(Table1[Summed Raw Scores])-MIN(Table1[Summed Raw Scores]))</f>
        <v>6.0577158720300964E-2</v>
      </c>
      <c r="AC152" s="9"/>
    </row>
    <row r="153" spans="1:29" x14ac:dyDescent="0.3">
      <c r="A153" s="1" t="s">
        <v>180</v>
      </c>
      <c r="B153" s="1" t="s">
        <v>115</v>
      </c>
      <c r="C153" s="1" t="s">
        <v>28</v>
      </c>
      <c r="D153" s="2">
        <v>55.351133089999998</v>
      </c>
      <c r="E153" s="2">
        <v>-121.08614369999999</v>
      </c>
      <c r="F153" s="2">
        <v>63</v>
      </c>
      <c r="G153" s="1" t="s">
        <v>23</v>
      </c>
      <c r="H153" s="2">
        <v>15.6</v>
      </c>
      <c r="I153" s="2">
        <v>275.98818</v>
      </c>
      <c r="J153" s="2">
        <v>65.30162752178073</v>
      </c>
      <c r="K153" s="2" t="s">
        <v>23</v>
      </c>
      <c r="L153" s="2">
        <v>1.8</v>
      </c>
      <c r="M153" s="2">
        <v>23.4</v>
      </c>
      <c r="N153" s="2">
        <f>Table1[[#This Row],[R1 Length (km)]]+Table1[[#This Row],[T1 Length (km)]]</f>
        <v>25.2</v>
      </c>
      <c r="O153" s="1">
        <v>230</v>
      </c>
      <c r="P153" s="1" t="s">
        <v>137</v>
      </c>
      <c r="Q153" s="3" t="s">
        <v>23</v>
      </c>
      <c r="R153" s="9" t="s">
        <v>23</v>
      </c>
      <c r="S153" s="9" t="s">
        <v>23</v>
      </c>
      <c r="T153" s="9">
        <v>8.27</v>
      </c>
      <c r="U153" s="20">
        <v>827</v>
      </c>
      <c r="V153" s="20">
        <f>Table1[[#This Row],[Raw Terrestrial Score]]/Table1[[#This Row],[Summed Raw Scores]]</f>
        <v>0.59711191335740077</v>
      </c>
      <c r="W153" s="20">
        <v>558</v>
      </c>
      <c r="X153" s="20">
        <f>Table1[[#This Row],[Raw Freshwater Score]]/Table1[[#This Row],[Summed Raw Scores]]</f>
        <v>0.40288808664259929</v>
      </c>
      <c r="Y153" s="20">
        <f>Table1[[#This Row],[Raw Terrestrial Score]]+Table1[[#This Row],[Raw Freshwater Score]]</f>
        <v>1385</v>
      </c>
      <c r="Z153" s="18">
        <f>Table1[[#This Row],[Terrestrial % of Summed Score]]*Table1[[#This Row],[Scaled Summed Score]]</f>
        <v>3.4874058690295098E-2</v>
      </c>
      <c r="AA153" s="18">
        <f>Table1[[#This Row],[Freshwater % of Summed Score]]*Table1[[#This Row],[Scaled Summed Score]]</f>
        <v>2.3530501510501407E-2</v>
      </c>
      <c r="AB153" s="18">
        <f>(Table1[[#This Row],[Summed Raw Scores]]-MIN(Table1[Summed Raw Scores]))/(MAX(Table1[Summed Raw Scores])-MIN(Table1[Summed Raw Scores]))</f>
        <v>5.8404560200796499E-2</v>
      </c>
      <c r="AC153" s="9"/>
    </row>
    <row r="154" spans="1:29" x14ac:dyDescent="0.3">
      <c r="A154" s="1" t="s">
        <v>178</v>
      </c>
      <c r="B154" s="1" t="s">
        <v>115</v>
      </c>
      <c r="C154" s="1" t="s">
        <v>28</v>
      </c>
      <c r="D154" s="2">
        <v>55.229832969999997</v>
      </c>
      <c r="E154" s="2">
        <v>-121.17872</v>
      </c>
      <c r="F154" s="2">
        <v>117</v>
      </c>
      <c r="G154" s="1" t="s">
        <v>23</v>
      </c>
      <c r="H154" s="2">
        <v>28.799999999999997</v>
      </c>
      <c r="I154" s="2">
        <v>417.64176000000003</v>
      </c>
      <c r="J154" s="2">
        <v>74.026330439887317</v>
      </c>
      <c r="K154" s="2" t="s">
        <v>23</v>
      </c>
      <c r="L154" s="2">
        <v>1.2</v>
      </c>
      <c r="M154" s="2">
        <v>10.5</v>
      </c>
      <c r="N154" s="2">
        <f>Table1[[#This Row],[R1 Length (km)]]+Table1[[#This Row],[T1 Length (km)]]</f>
        <v>11.7</v>
      </c>
      <c r="O154" s="1">
        <v>230</v>
      </c>
      <c r="P154" s="1" t="s">
        <v>137</v>
      </c>
      <c r="Q154" s="3" t="s">
        <v>23</v>
      </c>
      <c r="R154" s="9" t="s">
        <v>23</v>
      </c>
      <c r="S154" s="9" t="s">
        <v>23</v>
      </c>
      <c r="T154" s="9">
        <v>15.27</v>
      </c>
      <c r="U154" s="20">
        <v>836</v>
      </c>
      <c r="V154" s="20">
        <f>Table1[[#This Row],[Raw Terrestrial Score]]/Table1[[#This Row],[Summed Raw Scores]]</f>
        <v>0.60492040520984081</v>
      </c>
      <c r="W154" s="20">
        <v>546</v>
      </c>
      <c r="X154" s="20">
        <f>Table1[[#This Row],[Raw Freshwater Score]]/Table1[[#This Row],[Summed Raw Scores]]</f>
        <v>0.39507959479015919</v>
      </c>
      <c r="Y154" s="20">
        <f>Table1[[#This Row],[Raw Terrestrial Score]]+Table1[[#This Row],[Raw Freshwater Score]]</f>
        <v>1382</v>
      </c>
      <c r="Z154" s="18">
        <f>Table1[[#This Row],[Terrestrial % of Summed Score]]*Table1[[#This Row],[Scaled Summed Score]]</f>
        <v>3.525280144766383E-2</v>
      </c>
      <c r="AA154" s="18">
        <f>Table1[[#This Row],[Freshwater % of Summed Score]]*Table1[[#This Row],[Scaled Summed Score]]</f>
        <v>2.3023958840220637E-2</v>
      </c>
      <c r="AB154" s="18">
        <f>(Table1[[#This Row],[Summed Raw Scores]]-MIN(Table1[Summed Raw Scores]))/(MAX(Table1[Summed Raw Scores])-MIN(Table1[Summed Raw Scores]))</f>
        <v>5.827676028788447E-2</v>
      </c>
      <c r="AC154" s="9"/>
    </row>
    <row r="155" spans="1:29" x14ac:dyDescent="0.3">
      <c r="A155" s="1" t="s">
        <v>108</v>
      </c>
      <c r="B155" s="1" t="s">
        <v>98</v>
      </c>
      <c r="C155" s="1" t="s">
        <v>33</v>
      </c>
      <c r="D155" s="11">
        <v>49.29</v>
      </c>
      <c r="E155" s="11">
        <v>-121.4</v>
      </c>
      <c r="F155" s="2">
        <v>51.1</v>
      </c>
      <c r="G155" s="2">
        <v>40</v>
      </c>
      <c r="H155" s="2">
        <v>19</v>
      </c>
      <c r="I155" s="13">
        <v>251.3</v>
      </c>
      <c r="J155" s="13">
        <v>80.156438495857245</v>
      </c>
      <c r="K155" s="2" t="s">
        <v>23</v>
      </c>
      <c r="L155" s="11">
        <v>0</v>
      </c>
      <c r="M155" s="9">
        <v>13.058073580375128</v>
      </c>
      <c r="N155" s="9">
        <f>Table1[[#This Row],[R1 Length (km)]]+Table1[[#This Row],[T1 Length (km)]]</f>
        <v>13.058073580375128</v>
      </c>
      <c r="O155" s="3">
        <v>230</v>
      </c>
      <c r="P155" s="3" t="s">
        <v>23</v>
      </c>
      <c r="Q155" s="3" t="s">
        <v>23</v>
      </c>
      <c r="R155" s="9" t="s">
        <v>23</v>
      </c>
      <c r="S155" s="9" t="s">
        <v>23</v>
      </c>
      <c r="T155" s="9">
        <v>13.06</v>
      </c>
      <c r="U155" s="20">
        <v>611</v>
      </c>
      <c r="V155" s="20">
        <f>Table1[[#This Row],[Raw Terrestrial Score]]/Table1[[#This Row],[Summed Raw Scores]]</f>
        <v>0.45292809488510005</v>
      </c>
      <c r="W155" s="20">
        <v>738</v>
      </c>
      <c r="X155" s="20">
        <f>Table1[[#This Row],[Raw Freshwater Score]]/Table1[[#This Row],[Summed Raw Scores]]</f>
        <v>0.54707190511489989</v>
      </c>
      <c r="Y155" s="20">
        <f>Table1[[#This Row],[Raw Terrestrial Score]]+Table1[[#This Row],[Raw Freshwater Score]]</f>
        <v>1349</v>
      </c>
      <c r="Z155" s="18">
        <f>Table1[[#This Row],[Terrestrial % of Summed Score]]*Table1[[#This Row],[Scaled Summed Score]]</f>
        <v>2.5758456131368179E-2</v>
      </c>
      <c r="AA155" s="18">
        <f>Table1[[#This Row],[Freshwater % of Summed Score]]*Table1[[#This Row],[Scaled Summed Score]]</f>
        <v>3.1112505114483987E-2</v>
      </c>
      <c r="AB155" s="18">
        <f>(Table1[[#This Row],[Summed Raw Scores]]-MIN(Table1[Summed Raw Scores]))/(MAX(Table1[Summed Raw Scores])-MIN(Table1[Summed Raw Scores]))</f>
        <v>5.687096124585217E-2</v>
      </c>
      <c r="AC155" s="9"/>
    </row>
    <row r="156" spans="1:29" x14ac:dyDescent="0.3">
      <c r="A156" s="1" t="s">
        <v>84</v>
      </c>
      <c r="B156" s="1" t="s">
        <v>59</v>
      </c>
      <c r="C156" s="1" t="s">
        <v>26</v>
      </c>
      <c r="D156" s="2">
        <v>50.104214900000002</v>
      </c>
      <c r="E156" s="2">
        <v>-120.4252154</v>
      </c>
      <c r="F156" s="2">
        <v>87.928615384599993</v>
      </c>
      <c r="G156" s="2" t="s">
        <v>23</v>
      </c>
      <c r="H156" s="2" t="s">
        <v>23</v>
      </c>
      <c r="I156" s="2">
        <v>157.00427919694422</v>
      </c>
      <c r="J156" s="2">
        <v>97.074474887304504</v>
      </c>
      <c r="K156" s="2" t="s">
        <v>23</v>
      </c>
      <c r="L156" s="2">
        <v>2.4</v>
      </c>
      <c r="M156" s="2">
        <v>9.4</v>
      </c>
      <c r="N156" s="2">
        <f>Table1[[#This Row],[R1 Length (km)]]+Table1[[#This Row],[T1 Length (km)]]</f>
        <v>11.8</v>
      </c>
      <c r="O156" s="1">
        <v>130</v>
      </c>
      <c r="P156" s="3" t="s">
        <v>23</v>
      </c>
      <c r="Q156" s="3" t="s">
        <v>23</v>
      </c>
      <c r="R156" s="2">
        <v>877.2299999999999</v>
      </c>
      <c r="S156" s="2">
        <v>350.892</v>
      </c>
      <c r="T156" s="2">
        <v>877.2299999999999</v>
      </c>
      <c r="U156" s="20">
        <v>798</v>
      </c>
      <c r="V156" s="20">
        <f>Table1[[#This Row],[Raw Terrestrial Score]]/Table1[[#This Row],[Summed Raw Scores]]</f>
        <v>0.60500379075056865</v>
      </c>
      <c r="W156" s="20">
        <v>521</v>
      </c>
      <c r="X156" s="20">
        <f>Table1[[#This Row],[Raw Freshwater Score]]/Table1[[#This Row],[Summed Raw Scores]]</f>
        <v>0.39499620924943141</v>
      </c>
      <c r="Y156" s="20">
        <f>Table1[[#This Row],[Raw Terrestrial Score]]+Table1[[#This Row],[Raw Freshwater Score]]</f>
        <v>1319</v>
      </c>
      <c r="Z156" s="18">
        <f>Table1[[#This Row],[Terrestrial % of Summed Score]]*Table1[[#This Row],[Scaled Summed Score]]</f>
        <v>3.3633952819675558E-2</v>
      </c>
      <c r="AA156" s="18">
        <f>Table1[[#This Row],[Freshwater % of Summed Score]]*Table1[[#This Row],[Scaled Summed Score]]</f>
        <v>2.1959009297056346E-2</v>
      </c>
      <c r="AB156" s="18">
        <f>(Table1[[#This Row],[Summed Raw Scores]]-MIN(Table1[Summed Raw Scores]))/(MAX(Table1[Summed Raw Scores])-MIN(Table1[Summed Raw Scores]))</f>
        <v>5.5592962116731898E-2</v>
      </c>
      <c r="AC156" s="9"/>
    </row>
    <row r="157" spans="1:29" x14ac:dyDescent="0.3">
      <c r="A157" s="1" t="s">
        <v>80</v>
      </c>
      <c r="B157" s="1" t="s">
        <v>59</v>
      </c>
      <c r="C157" s="1" t="s">
        <v>26</v>
      </c>
      <c r="D157" s="2">
        <v>50.139135750000001</v>
      </c>
      <c r="E157" s="2">
        <v>-120.52907759999999</v>
      </c>
      <c r="F157" s="2">
        <v>80.750769230800003</v>
      </c>
      <c r="G157" s="2" t="s">
        <v>23</v>
      </c>
      <c r="H157" s="2" t="s">
        <v>23</v>
      </c>
      <c r="I157" s="2">
        <v>143.20395404186112</v>
      </c>
      <c r="J157" s="2">
        <v>99.189509910556936</v>
      </c>
      <c r="K157" s="2" t="s">
        <v>23</v>
      </c>
      <c r="L157" s="2">
        <v>1.4</v>
      </c>
      <c r="M157" s="2">
        <v>11.8</v>
      </c>
      <c r="N157" s="2">
        <f>Table1[[#This Row],[R1 Length (km)]]+Table1[[#This Row],[T1 Length (km)]]</f>
        <v>13.200000000000001</v>
      </c>
      <c r="O157" s="1">
        <v>130</v>
      </c>
      <c r="P157" s="3" t="s">
        <v>23</v>
      </c>
      <c r="Q157" s="3" t="s">
        <v>23</v>
      </c>
      <c r="R157" s="2">
        <v>1087.83</v>
      </c>
      <c r="S157" s="2">
        <v>435.13200000000001</v>
      </c>
      <c r="T157" s="2">
        <v>1087.83</v>
      </c>
      <c r="U157" s="20">
        <v>794</v>
      </c>
      <c r="V157" s="20">
        <f>Table1[[#This Row],[Raw Terrestrial Score]]/Table1[[#This Row],[Summed Raw Scores]]</f>
        <v>0.60889570552147243</v>
      </c>
      <c r="W157" s="20">
        <v>510</v>
      </c>
      <c r="X157" s="20">
        <f>Table1[[#This Row],[Raw Freshwater Score]]/Table1[[#This Row],[Summed Raw Scores]]</f>
        <v>0.39110429447852763</v>
      </c>
      <c r="Y157" s="20">
        <f>Table1[[#This Row],[Raw Terrestrial Score]]+Table1[[#This Row],[Raw Freshwater Score]]</f>
        <v>1304</v>
      </c>
      <c r="Z157" s="18">
        <f>Table1[[#This Row],[Terrestrial % of Summed Score]]*Table1[[#This Row],[Scaled Summed Score]]</f>
        <v>3.3461231799405196E-2</v>
      </c>
      <c r="AA157" s="18">
        <f>Table1[[#This Row],[Freshwater % of Summed Score]]*Table1[[#This Row],[Scaled Summed Score]]</f>
        <v>2.1492730752766562E-2</v>
      </c>
      <c r="AB157" s="18">
        <f>(Table1[[#This Row],[Summed Raw Scores]]-MIN(Table1[Summed Raw Scores]))/(MAX(Table1[Summed Raw Scores])-MIN(Table1[Summed Raw Scores]))</f>
        <v>5.4953962552171755E-2</v>
      </c>
      <c r="AC157" s="9"/>
    </row>
    <row r="158" spans="1:29" x14ac:dyDescent="0.3">
      <c r="A158" s="1" t="s">
        <v>113</v>
      </c>
      <c r="B158" s="1" t="s">
        <v>98</v>
      </c>
      <c r="C158" s="1" t="s">
        <v>31</v>
      </c>
      <c r="D158" s="11">
        <v>54.5</v>
      </c>
      <c r="E158" s="11">
        <v>-128.35</v>
      </c>
      <c r="F158" s="2">
        <v>51.2</v>
      </c>
      <c r="G158" s="2">
        <v>40</v>
      </c>
      <c r="H158" s="2">
        <v>8</v>
      </c>
      <c r="I158" s="13">
        <v>208.4</v>
      </c>
      <c r="J158" s="13">
        <v>81.381647398843924</v>
      </c>
      <c r="K158" s="2" t="s">
        <v>23</v>
      </c>
      <c r="L158" s="11">
        <v>0</v>
      </c>
      <c r="M158" s="9">
        <v>16.482337649085515</v>
      </c>
      <c r="N158" s="9">
        <f>Table1[[#This Row],[R1 Length (km)]]+Table1[[#This Row],[T1 Length (km)]]</f>
        <v>16.482337649085515</v>
      </c>
      <c r="O158" s="3">
        <v>69</v>
      </c>
      <c r="P158" s="3" t="s">
        <v>23</v>
      </c>
      <c r="Q158" s="3" t="s">
        <v>23</v>
      </c>
      <c r="R158" s="9" t="s">
        <v>23</v>
      </c>
      <c r="S158" s="9" t="s">
        <v>23</v>
      </c>
      <c r="T158" s="9">
        <v>16.48</v>
      </c>
      <c r="U158" s="20">
        <v>352</v>
      </c>
      <c r="V158" s="20">
        <f>Table1[[#This Row],[Raw Terrestrial Score]]/Table1[[#This Row],[Summed Raw Scores]]</f>
        <v>0.27958697378872122</v>
      </c>
      <c r="W158" s="20">
        <v>907</v>
      </c>
      <c r="X158" s="20">
        <f>Table1[[#This Row],[Raw Freshwater Score]]/Table1[[#This Row],[Summed Raw Scores]]</f>
        <v>0.72041302621127878</v>
      </c>
      <c r="Y158" s="20">
        <f>Table1[[#This Row],[Raw Terrestrial Score]]+Table1[[#This Row],[Raw Freshwater Score]]</f>
        <v>1259</v>
      </c>
      <c r="Z158" s="18">
        <f>Table1[[#This Row],[Terrestrial % of Summed Score]]*Table1[[#This Row],[Scaled Summed Score]]</f>
        <v>1.4828444224137375E-2</v>
      </c>
      <c r="AA158" s="18">
        <f>Table1[[#This Row],[Freshwater % of Summed Score]]*Table1[[#This Row],[Scaled Summed Score]]</f>
        <v>3.8208519634353975E-2</v>
      </c>
      <c r="AB158" s="18">
        <f>(Table1[[#This Row],[Summed Raw Scores]]-MIN(Table1[Summed Raw Scores]))/(MAX(Table1[Summed Raw Scores])-MIN(Table1[Summed Raw Scores]))</f>
        <v>5.3036963858491347E-2</v>
      </c>
      <c r="AC158" s="9"/>
    </row>
    <row r="159" spans="1:29" x14ac:dyDescent="0.3">
      <c r="A159" s="1" t="s">
        <v>176</v>
      </c>
      <c r="B159" s="1" t="s">
        <v>115</v>
      </c>
      <c r="C159" s="1" t="s">
        <v>28</v>
      </c>
      <c r="D159" s="2">
        <v>55.866821960000003</v>
      </c>
      <c r="E159" s="2">
        <v>-121.7623816</v>
      </c>
      <c r="F159" s="2">
        <v>129</v>
      </c>
      <c r="G159" s="1" t="s">
        <v>23</v>
      </c>
      <c r="H159" s="2">
        <v>31.2</v>
      </c>
      <c r="I159" s="2">
        <v>344.60088000000002</v>
      </c>
      <c r="J159" s="2">
        <v>84.35861942811421</v>
      </c>
      <c r="K159" s="2" t="s">
        <v>23</v>
      </c>
      <c r="L159" s="2">
        <v>3.9213208007799998</v>
      </c>
      <c r="M159" s="2">
        <v>23.785281250000001</v>
      </c>
      <c r="N159" s="2">
        <f>Table1[[#This Row],[R1 Length (km)]]+Table1[[#This Row],[T1 Length (km)]]</f>
        <v>27.706602050779999</v>
      </c>
      <c r="O159" s="1">
        <v>130</v>
      </c>
      <c r="P159" s="1" t="s">
        <v>137</v>
      </c>
      <c r="Q159" s="3" t="s">
        <v>23</v>
      </c>
      <c r="R159" s="9" t="s">
        <v>23</v>
      </c>
      <c r="S159" s="9" t="s">
        <v>23</v>
      </c>
      <c r="T159" s="9">
        <v>16.54</v>
      </c>
      <c r="U159" s="20">
        <v>624</v>
      </c>
      <c r="V159" s="20">
        <f>Table1[[#This Row],[Raw Terrestrial Score]]/Table1[[#This Row],[Summed Raw Scores]]</f>
        <v>0.51570247933884295</v>
      </c>
      <c r="W159" s="20">
        <v>586</v>
      </c>
      <c r="X159" s="20">
        <f>Table1[[#This Row],[Raw Freshwater Score]]/Table1[[#This Row],[Summed Raw Scores]]</f>
        <v>0.484297520661157</v>
      </c>
      <c r="Y159" s="20">
        <f>Table1[[#This Row],[Raw Terrestrial Score]]+Table1[[#This Row],[Raw Freshwater Score]]</f>
        <v>1210</v>
      </c>
      <c r="Z159" s="18">
        <f>Table1[[#This Row],[Terrestrial % of Summed Score]]*Table1[[#This Row],[Scaled Summed Score]]</f>
        <v>2.6274817136610923E-2</v>
      </c>
      <c r="AA159" s="18">
        <f>Table1[[#This Row],[Freshwater % of Summed Score]]*Table1[[#This Row],[Scaled Summed Score]]</f>
        <v>2.4674748144317308E-2</v>
      </c>
      <c r="AB159" s="18">
        <f>(Table1[[#This Row],[Summed Raw Scores]]-MIN(Table1[Summed Raw Scores]))/(MAX(Table1[Summed Raw Scores])-MIN(Table1[Summed Raw Scores]))</f>
        <v>5.0949565280928234E-2</v>
      </c>
      <c r="AC159" s="9"/>
    </row>
    <row r="160" spans="1:29" x14ac:dyDescent="0.3">
      <c r="A160" s="1" t="s">
        <v>211</v>
      </c>
      <c r="B160" s="1" t="s">
        <v>115</v>
      </c>
      <c r="C160" s="1" t="s">
        <v>96</v>
      </c>
      <c r="D160" s="2">
        <v>49.338748189999997</v>
      </c>
      <c r="E160" s="2">
        <v>-115.9994731</v>
      </c>
      <c r="F160" s="2">
        <v>33</v>
      </c>
      <c r="G160" s="1" t="s">
        <v>23</v>
      </c>
      <c r="H160" s="2">
        <v>8.4</v>
      </c>
      <c r="I160" s="2">
        <v>97.314840000000018</v>
      </c>
      <c r="J160" s="2">
        <v>97.013018779307032</v>
      </c>
      <c r="K160" s="2" t="s">
        <v>23</v>
      </c>
      <c r="L160" s="2">
        <v>1.2656854248</v>
      </c>
      <c r="M160" s="2">
        <v>15.8698486328125</v>
      </c>
      <c r="N160" s="2">
        <f>Table1[[#This Row],[R1 Length (km)]]+Table1[[#This Row],[T1 Length (km)]]</f>
        <v>17.135534057612499</v>
      </c>
      <c r="O160" s="1">
        <v>69</v>
      </c>
      <c r="P160" s="1" t="s">
        <v>137</v>
      </c>
      <c r="Q160" s="3" t="s">
        <v>23</v>
      </c>
      <c r="R160" s="9" t="s">
        <v>23</v>
      </c>
      <c r="S160" s="9" t="s">
        <v>23</v>
      </c>
      <c r="T160" s="9">
        <v>4.45</v>
      </c>
      <c r="U160" s="20">
        <v>758</v>
      </c>
      <c r="V160" s="20">
        <f>Table1[[#This Row],[Raw Terrestrial Score]]/Table1[[#This Row],[Summed Raw Scores]]</f>
        <v>0.62644628099173549</v>
      </c>
      <c r="W160" s="20">
        <v>452</v>
      </c>
      <c r="X160" s="20">
        <f>Table1[[#This Row],[Raw Freshwater Score]]/Table1[[#This Row],[Summed Raw Scores]]</f>
        <v>0.37355371900826445</v>
      </c>
      <c r="Y160" s="20">
        <f>Table1[[#This Row],[Raw Terrestrial Score]]+Table1[[#This Row],[Raw Freshwater Score]]</f>
        <v>1210</v>
      </c>
      <c r="Z160" s="18">
        <f>Table1[[#This Row],[Terrestrial % of Summed Score]]*Table1[[#This Row],[Scaled Summed Score]]</f>
        <v>3.1917165688383139E-2</v>
      </c>
      <c r="AA160" s="18">
        <f>Table1[[#This Row],[Freshwater % of Summed Score]]*Table1[[#This Row],[Scaled Summed Score]]</f>
        <v>1.9032399592545091E-2</v>
      </c>
      <c r="AB160" s="18">
        <f>(Table1[[#This Row],[Summed Raw Scores]]-MIN(Table1[Summed Raw Scores]))/(MAX(Table1[Summed Raw Scores])-MIN(Table1[Summed Raw Scores]))</f>
        <v>5.0949565280928234E-2</v>
      </c>
      <c r="AC160" s="9"/>
    </row>
    <row r="161" spans="1:29" x14ac:dyDescent="0.3">
      <c r="A161" s="1" t="s">
        <v>76</v>
      </c>
      <c r="B161" s="1" t="s">
        <v>59</v>
      </c>
      <c r="C161" s="1" t="s">
        <v>26</v>
      </c>
      <c r="D161" s="2">
        <v>50.423871550000001</v>
      </c>
      <c r="E161" s="2">
        <v>-120.6602656</v>
      </c>
      <c r="F161" s="2">
        <v>81.149534614999993</v>
      </c>
      <c r="G161" s="2" t="s">
        <v>23</v>
      </c>
      <c r="H161" s="2" t="s">
        <v>23</v>
      </c>
      <c r="I161" s="2">
        <v>146.89395982694825</v>
      </c>
      <c r="J161" s="2">
        <v>96.656117097630755</v>
      </c>
      <c r="K161" s="2" t="s">
        <v>23</v>
      </c>
      <c r="L161" s="2">
        <v>0.7</v>
      </c>
      <c r="M161" s="2">
        <v>11.2</v>
      </c>
      <c r="N161" s="2">
        <f>Table1[[#This Row],[R1 Length (km)]]+Table1[[#This Row],[T1 Length (km)]]</f>
        <v>11.899999999999999</v>
      </c>
      <c r="O161" s="1">
        <v>130</v>
      </c>
      <c r="P161" s="3" t="s">
        <v>23</v>
      </c>
      <c r="Q161" s="3" t="s">
        <v>23</v>
      </c>
      <c r="R161" s="2">
        <v>1314.63</v>
      </c>
      <c r="S161" s="2">
        <v>525.85200000000009</v>
      </c>
      <c r="T161" s="2">
        <v>1314.63</v>
      </c>
      <c r="U161" s="20">
        <v>643</v>
      </c>
      <c r="V161" s="20">
        <f>Table1[[#This Row],[Raw Terrestrial Score]]/Table1[[#This Row],[Summed Raw Scores]]</f>
        <v>0.5322847682119205</v>
      </c>
      <c r="W161" s="20">
        <v>565</v>
      </c>
      <c r="X161" s="20">
        <f>Table1[[#This Row],[Raw Freshwater Score]]/Table1[[#This Row],[Summed Raw Scores]]</f>
        <v>0.46771523178807944</v>
      </c>
      <c r="Y161" s="20">
        <f>Table1[[#This Row],[Raw Terrestrial Score]]+Table1[[#This Row],[Raw Freshwater Score]]</f>
        <v>1208</v>
      </c>
      <c r="Z161" s="18">
        <f>Table1[[#This Row],[Terrestrial % of Summed Score]]*Table1[[#This Row],[Scaled Summed Score]]</f>
        <v>2.7074326914709075E-2</v>
      </c>
      <c r="AA161" s="18">
        <f>Table1[[#This Row],[Freshwater % of Summed Score]]*Table1[[#This Row],[Scaled Summed Score]]</f>
        <v>2.3790038424277803E-2</v>
      </c>
      <c r="AB161" s="18">
        <f>(Table1[[#This Row],[Summed Raw Scores]]-MIN(Table1[Summed Raw Scores]))/(MAX(Table1[Summed Raw Scores])-MIN(Table1[Summed Raw Scores]))</f>
        <v>5.0864365338986882E-2</v>
      </c>
      <c r="AC161" s="9"/>
    </row>
    <row r="162" spans="1:29" x14ac:dyDescent="0.3">
      <c r="A162" s="1" t="s">
        <v>77</v>
      </c>
      <c r="B162" s="1" t="s">
        <v>59</v>
      </c>
      <c r="C162" s="1" t="s">
        <v>26</v>
      </c>
      <c r="D162" s="2">
        <v>50.259122259999998</v>
      </c>
      <c r="E162" s="2">
        <v>-120.4079589</v>
      </c>
      <c r="F162" s="2">
        <v>120.82707692300001</v>
      </c>
      <c r="G162" s="2" t="s">
        <v>23</v>
      </c>
      <c r="H162" s="2" t="s">
        <v>23</v>
      </c>
      <c r="I162" s="2">
        <v>214.05467944246581</v>
      </c>
      <c r="J162" s="2">
        <v>94.085193713019265</v>
      </c>
      <c r="K162" s="2" t="s">
        <v>23</v>
      </c>
      <c r="L162" s="2">
        <v>1.4</v>
      </c>
      <c r="M162" s="2">
        <v>9.4</v>
      </c>
      <c r="N162" s="2">
        <f>Table1[[#This Row],[R1 Length (km)]]+Table1[[#This Row],[T1 Length (km)]]</f>
        <v>10.8</v>
      </c>
      <c r="O162" s="1">
        <v>130</v>
      </c>
      <c r="P162" s="3" t="s">
        <v>23</v>
      </c>
      <c r="Q162" s="3" t="s">
        <v>23</v>
      </c>
      <c r="R162" s="2">
        <v>212.22</v>
      </c>
      <c r="S162" s="2">
        <v>84.888000000000005</v>
      </c>
      <c r="T162" s="2">
        <v>212.22</v>
      </c>
      <c r="U162" s="20">
        <v>752</v>
      </c>
      <c r="V162" s="20">
        <f>Table1[[#This Row],[Raw Terrestrial Score]]/Table1[[#This Row],[Summed Raw Scores]]</f>
        <v>0.63837011884550088</v>
      </c>
      <c r="W162" s="20">
        <v>426</v>
      </c>
      <c r="X162" s="20">
        <f>Table1[[#This Row],[Raw Freshwater Score]]/Table1[[#This Row],[Summed Raw Scores]]</f>
        <v>0.36162988115449918</v>
      </c>
      <c r="Y162" s="20">
        <f>Table1[[#This Row],[Raw Terrestrial Score]]+Table1[[#This Row],[Raw Freshwater Score]]</f>
        <v>1178</v>
      </c>
      <c r="Z162" s="18">
        <f>Table1[[#This Row],[Terrestrial % of Summed Score]]*Table1[[#This Row],[Scaled Summed Score]]</f>
        <v>3.1654454490509076E-2</v>
      </c>
      <c r="AA162" s="18">
        <f>Table1[[#This Row],[Freshwater % of Summed Score]]*Table1[[#This Row],[Scaled Summed Score]]</f>
        <v>1.7931911719357537E-2</v>
      </c>
      <c r="AB162" s="18">
        <f>(Table1[[#This Row],[Summed Raw Scores]]-MIN(Table1[Summed Raw Scores]))/(MAX(Table1[Summed Raw Scores])-MIN(Table1[Summed Raw Scores]))</f>
        <v>4.958636620986661E-2</v>
      </c>
      <c r="AC162" s="9"/>
    </row>
    <row r="163" spans="1:29" x14ac:dyDescent="0.3">
      <c r="A163" s="1" t="s">
        <v>95</v>
      </c>
      <c r="B163" s="1" t="s">
        <v>59</v>
      </c>
      <c r="C163" s="1" t="s">
        <v>96</v>
      </c>
      <c r="D163" s="2">
        <v>49.546591419999999</v>
      </c>
      <c r="E163" s="2">
        <v>-115.68028320000001</v>
      </c>
      <c r="F163" s="2">
        <v>82.146461538500006</v>
      </c>
      <c r="G163" s="2" t="s">
        <v>23</v>
      </c>
      <c r="H163" s="2" t="s">
        <v>23</v>
      </c>
      <c r="I163" s="2">
        <v>145.58409507610833</v>
      </c>
      <c r="J163" s="2">
        <v>103.70798631766935</v>
      </c>
      <c r="K163" s="2" t="s">
        <v>23</v>
      </c>
      <c r="L163" s="2">
        <v>1.8</v>
      </c>
      <c r="M163" s="2">
        <v>9.4</v>
      </c>
      <c r="N163" s="2">
        <f>Table1[[#This Row],[R1 Length (km)]]+Table1[[#This Row],[T1 Length (km)]]</f>
        <v>11.200000000000001</v>
      </c>
      <c r="O163" s="1">
        <v>230</v>
      </c>
      <c r="P163" s="3" t="s">
        <v>23</v>
      </c>
      <c r="Q163" s="3" t="s">
        <v>23</v>
      </c>
      <c r="R163" s="2">
        <v>845.64</v>
      </c>
      <c r="S163" s="2">
        <v>338.25600000000003</v>
      </c>
      <c r="T163" s="2">
        <v>845.64</v>
      </c>
      <c r="U163" s="20">
        <v>834</v>
      </c>
      <c r="V163" s="20">
        <f>Table1[[#This Row],[Raw Terrestrial Score]]/Table1[[#This Row],[Summed Raw Scores]]</f>
        <v>0.71896551724137936</v>
      </c>
      <c r="W163" s="20">
        <v>326</v>
      </c>
      <c r="X163" s="20">
        <f>Table1[[#This Row],[Raw Freshwater Score]]/Table1[[#This Row],[Summed Raw Scores]]</f>
        <v>0.2810344827586207</v>
      </c>
      <c r="Y163" s="20">
        <f>Table1[[#This Row],[Raw Terrestrial Score]]+Table1[[#This Row],[Raw Freshwater Score]]</f>
        <v>1160</v>
      </c>
      <c r="Z163" s="18">
        <f>Table1[[#This Row],[Terrestrial % of Summed Score]]*Table1[[#This Row],[Scaled Summed Score]]</f>
        <v>3.5099585047256007E-2</v>
      </c>
      <c r="AA163" s="18">
        <f>Table1[[#This Row],[Freshwater % of Summed Score]]*Table1[[#This Row],[Scaled Summed Score]]</f>
        <v>1.371998168513844E-2</v>
      </c>
      <c r="AB163" s="18">
        <f>(Table1[[#This Row],[Summed Raw Scores]]-MIN(Table1[Summed Raw Scores]))/(MAX(Table1[Summed Raw Scores])-MIN(Table1[Summed Raw Scores]))</f>
        <v>4.8819566732394445E-2</v>
      </c>
      <c r="AC163" s="2"/>
    </row>
    <row r="164" spans="1:29" x14ac:dyDescent="0.3">
      <c r="A164" s="1" t="s">
        <v>160</v>
      </c>
      <c r="B164" s="1" t="s">
        <v>115</v>
      </c>
      <c r="C164" s="1" t="s">
        <v>28</v>
      </c>
      <c r="D164" s="12">
        <v>55.364116840000001</v>
      </c>
      <c r="E164" s="12">
        <v>-121.4835836</v>
      </c>
      <c r="F164" s="2">
        <v>138</v>
      </c>
      <c r="G164" s="1" t="s">
        <v>23</v>
      </c>
      <c r="H164" s="9">
        <v>33.6</v>
      </c>
      <c r="I164" s="9">
        <v>562.91759999999999</v>
      </c>
      <c r="J164" s="9">
        <v>52.49959951056757</v>
      </c>
      <c r="K164" s="2" t="s">
        <v>23</v>
      </c>
      <c r="L164" s="12">
        <v>7.1597988281300005</v>
      </c>
      <c r="M164" s="9">
        <v>18.976451171874999</v>
      </c>
      <c r="N164" s="9">
        <f>Table1[[#This Row],[R1 Length (km)]]+Table1[[#This Row],[T1 Length (km)]]</f>
        <v>26.136250000004999</v>
      </c>
      <c r="O164" s="5">
        <v>230</v>
      </c>
      <c r="P164" s="5" t="s">
        <v>137</v>
      </c>
      <c r="Q164" s="3" t="s">
        <v>23</v>
      </c>
      <c r="R164" s="9" t="s">
        <v>23</v>
      </c>
      <c r="S164" s="9" t="s">
        <v>23</v>
      </c>
      <c r="T164" s="9">
        <v>17.809999999999999</v>
      </c>
      <c r="U164" s="20">
        <v>698</v>
      </c>
      <c r="V164" s="20">
        <f>Table1[[#This Row],[Raw Terrestrial Score]]/Table1[[#This Row],[Summed Raw Scores]]</f>
        <v>0.613896218117854</v>
      </c>
      <c r="W164" s="20">
        <v>439</v>
      </c>
      <c r="X164" s="20">
        <f>Table1[[#This Row],[Raw Freshwater Score]]/Table1[[#This Row],[Summed Raw Scores]]</f>
        <v>0.386103781882146</v>
      </c>
      <c r="Y164" s="20">
        <f>Table1[[#This Row],[Raw Terrestrial Score]]+Table1[[#This Row],[Raw Freshwater Score]]</f>
        <v>1137</v>
      </c>
      <c r="Z164" s="18">
        <f>Table1[[#This Row],[Terrestrial % of Summed Score]]*Table1[[#This Row],[Scaled Summed Score]]</f>
        <v>2.9368652282540098E-2</v>
      </c>
      <c r="AA164" s="18">
        <f>Table1[[#This Row],[Freshwater % of Summed Score]]*Table1[[#This Row],[Scaled Summed Score]]</f>
        <v>1.8471115117528802E-2</v>
      </c>
      <c r="AB164" s="18">
        <f>(Table1[[#This Row],[Summed Raw Scores]]-MIN(Table1[Summed Raw Scores]))/(MAX(Table1[Summed Raw Scores])-MIN(Table1[Summed Raw Scores]))</f>
        <v>4.78397674000689E-2</v>
      </c>
      <c r="AC164" s="2"/>
    </row>
    <row r="165" spans="1:29" x14ac:dyDescent="0.3">
      <c r="A165" s="1" t="s">
        <v>169</v>
      </c>
      <c r="B165" s="1" t="s">
        <v>115</v>
      </c>
      <c r="C165" s="1" t="s">
        <v>28</v>
      </c>
      <c r="D165" s="12">
        <v>55.088797079999999</v>
      </c>
      <c r="E165" s="12">
        <v>-120.8807972</v>
      </c>
      <c r="F165" s="2">
        <v>108</v>
      </c>
      <c r="G165" s="1" t="s">
        <v>23</v>
      </c>
      <c r="H165" s="2">
        <v>26.4</v>
      </c>
      <c r="I165" s="2">
        <v>349.97952000000004</v>
      </c>
      <c r="J165" s="2">
        <v>74.776098252114934</v>
      </c>
      <c r="K165" s="2" t="s">
        <v>23</v>
      </c>
      <c r="L165" s="2">
        <v>0.6</v>
      </c>
      <c r="M165" s="2">
        <v>18.7</v>
      </c>
      <c r="N165" s="2">
        <f>Table1[[#This Row],[R1 Length (km)]]+Table1[[#This Row],[T1 Length (km)]]</f>
        <v>19.3</v>
      </c>
      <c r="O165" s="1">
        <v>230</v>
      </c>
      <c r="P165" s="1" t="s">
        <v>137</v>
      </c>
      <c r="Q165" s="3" t="s">
        <v>23</v>
      </c>
      <c r="R165" s="9" t="s">
        <v>23</v>
      </c>
      <c r="S165" s="9" t="s">
        <v>23</v>
      </c>
      <c r="T165" s="9">
        <v>14</v>
      </c>
      <c r="U165" s="20">
        <v>763</v>
      </c>
      <c r="V165" s="20">
        <f>Table1[[#This Row],[Raw Terrestrial Score]]/Table1[[#This Row],[Summed Raw Scores]]</f>
        <v>0.68553459119496851</v>
      </c>
      <c r="W165" s="20">
        <v>350</v>
      </c>
      <c r="X165" s="20">
        <f>Table1[[#This Row],[Raw Freshwater Score]]/Table1[[#This Row],[Summed Raw Scores]]</f>
        <v>0.31446540880503143</v>
      </c>
      <c r="Y165" s="20">
        <f>Table1[[#This Row],[Raw Terrestrial Score]]+Table1[[#This Row],[Raw Freshwater Score]]</f>
        <v>1113</v>
      </c>
      <c r="Z165" s="18">
        <f>Table1[[#This Row],[Terrestrial % of Summed Score]]*Table1[[#This Row],[Scaled Summed Score]]</f>
        <v>3.2094925299045424E-2</v>
      </c>
      <c r="AA165" s="18">
        <f>Table1[[#This Row],[Freshwater % of Summed Score]]*Table1[[#This Row],[Scaled Summed Score]]</f>
        <v>1.4722442797727258E-2</v>
      </c>
      <c r="AB165" s="18">
        <f>(Table1[[#This Row],[Summed Raw Scores]]-MIN(Table1[Summed Raw Scores]))/(MAX(Table1[Summed Raw Scores])-MIN(Table1[Summed Raw Scores]))</f>
        <v>4.6817368096772685E-2</v>
      </c>
      <c r="AC165" s="2"/>
    </row>
    <row r="166" spans="1:29" x14ac:dyDescent="0.3">
      <c r="A166" s="1" t="s">
        <v>37</v>
      </c>
      <c r="B166" s="1" t="s">
        <v>238</v>
      </c>
      <c r="C166" s="1" t="s">
        <v>22</v>
      </c>
      <c r="D166" s="2">
        <v>49.681317</v>
      </c>
      <c r="E166" s="2">
        <v>-126.12749599999999</v>
      </c>
      <c r="F166" s="2">
        <v>12.2</v>
      </c>
      <c r="G166" s="2">
        <v>13</v>
      </c>
      <c r="H166" s="2" t="s">
        <v>23</v>
      </c>
      <c r="I166" s="2">
        <v>107</v>
      </c>
      <c r="J166" s="2">
        <v>178.98</v>
      </c>
      <c r="K166" s="2" t="s">
        <v>23</v>
      </c>
      <c r="L166" s="2">
        <v>0</v>
      </c>
      <c r="M166" s="2">
        <v>13.988200000000001</v>
      </c>
      <c r="N166" s="2">
        <f>Table1[[#This Row],[R1 Length (km)]]+Table1[[#This Row],[T1 Length (km)]]</f>
        <v>13.988200000000001</v>
      </c>
      <c r="O166" s="1">
        <v>25</v>
      </c>
      <c r="P166" s="3" t="s">
        <v>23</v>
      </c>
      <c r="Q166" s="3" t="s">
        <v>23</v>
      </c>
      <c r="R166" s="9" t="s">
        <v>23</v>
      </c>
      <c r="S166" s="9" t="s">
        <v>23</v>
      </c>
      <c r="T166" s="9">
        <v>4</v>
      </c>
      <c r="U166" s="20">
        <v>289</v>
      </c>
      <c r="V166" s="20">
        <f>Table1[[#This Row],[Raw Terrestrial Score]]/Table1[[#This Row],[Summed Raw Scores]]</f>
        <v>0.30357142857142855</v>
      </c>
      <c r="W166" s="20">
        <v>663</v>
      </c>
      <c r="X166" s="20">
        <f>Table1[[#This Row],[Raw Freshwater Score]]/Table1[[#This Row],[Summed Raw Scores]]</f>
        <v>0.6964285714285714</v>
      </c>
      <c r="Y166" s="20">
        <f>Table1[[#This Row],[Raw Terrestrial Score]]+Table1[[#This Row],[Raw Freshwater Score]]</f>
        <v>952</v>
      </c>
      <c r="Z166" s="18">
        <f>Table1[[#This Row],[Terrestrial % of Summed Score]]*Table1[[#This Row],[Scaled Summed Score]]</f>
        <v>1.2130341733899926E-2</v>
      </c>
      <c r="AA166" s="18">
        <f>Table1[[#This Row],[Freshwater % of Summed Score]]*Table1[[#This Row],[Scaled Summed Score]]</f>
        <v>2.7828431036593951E-2</v>
      </c>
      <c r="AB166" s="18">
        <f>(Table1[[#This Row],[Summed Raw Scores]]-MIN(Table1[Summed Raw Scores]))/(MAX(Table1[Summed Raw Scores])-MIN(Table1[Summed Raw Scores]))</f>
        <v>3.9958772770493881E-2</v>
      </c>
      <c r="AC166" s="2"/>
    </row>
    <row r="167" spans="1:29" x14ac:dyDescent="0.3">
      <c r="A167" s="1" t="s">
        <v>81</v>
      </c>
      <c r="B167" s="1" t="s">
        <v>59</v>
      </c>
      <c r="C167" s="1" t="s">
        <v>26</v>
      </c>
      <c r="D167" s="2">
        <v>50.224114569999998</v>
      </c>
      <c r="E167" s="2">
        <v>-120.3039462</v>
      </c>
      <c r="F167" s="2">
        <v>54.631384615400002</v>
      </c>
      <c r="G167" s="2" t="s">
        <v>23</v>
      </c>
      <c r="H167" s="2" t="s">
        <v>23</v>
      </c>
      <c r="I167" s="2">
        <v>96.373479993960956</v>
      </c>
      <c r="J167" s="2">
        <v>104.50362561373343</v>
      </c>
      <c r="K167" s="2" t="s">
        <v>23</v>
      </c>
      <c r="L167" s="2">
        <v>0.3</v>
      </c>
      <c r="M167" s="2">
        <v>7.9</v>
      </c>
      <c r="N167" s="2">
        <f>Table1[[#This Row],[R1 Length (km)]]+Table1[[#This Row],[T1 Length (km)]]</f>
        <v>8.2000000000000011</v>
      </c>
      <c r="O167" s="1">
        <v>130</v>
      </c>
      <c r="P167" s="3" t="s">
        <v>23</v>
      </c>
      <c r="Q167" s="3" t="s">
        <v>23</v>
      </c>
      <c r="R167" s="2">
        <v>1395.63</v>
      </c>
      <c r="S167" s="2">
        <v>558.25200000000007</v>
      </c>
      <c r="T167" s="2">
        <v>1395.63</v>
      </c>
      <c r="U167" s="20">
        <v>588</v>
      </c>
      <c r="V167" s="20">
        <f>Table1[[#This Row],[Raw Terrestrial Score]]/Table1[[#This Row],[Summed Raw Scores]]</f>
        <v>0.63636363636363635</v>
      </c>
      <c r="W167" s="20">
        <v>336</v>
      </c>
      <c r="X167" s="20">
        <f>Table1[[#This Row],[Raw Freshwater Score]]/Table1[[#This Row],[Summed Raw Scores]]</f>
        <v>0.36363636363636365</v>
      </c>
      <c r="Y167" s="20">
        <f>Table1[[#This Row],[Raw Terrestrial Score]]+Table1[[#This Row],[Raw Freshwater Score]]</f>
        <v>924</v>
      </c>
      <c r="Z167" s="18">
        <f>Table1[[#This Row],[Terrestrial % of Summed Score]]*Table1[[#This Row],[Scaled Summed Score]]</f>
        <v>2.4669255916654975E-2</v>
      </c>
      <c r="AA167" s="18">
        <f>Table1[[#This Row],[Freshwater % of Summed Score]]*Table1[[#This Row],[Scaled Summed Score]]</f>
        <v>1.4096717666659986E-2</v>
      </c>
      <c r="AB167" s="18">
        <f>(Table1[[#This Row],[Summed Raw Scores]]-MIN(Table1[Summed Raw Scores]))/(MAX(Table1[Summed Raw Scores])-MIN(Table1[Summed Raw Scores]))</f>
        <v>3.8765973583314961E-2</v>
      </c>
      <c r="AC167" s="2"/>
    </row>
    <row r="168" spans="1:29" x14ac:dyDescent="0.3">
      <c r="A168" s="1" t="s">
        <v>61</v>
      </c>
      <c r="B168" s="1" t="s">
        <v>59</v>
      </c>
      <c r="C168" s="1" t="s">
        <v>60</v>
      </c>
      <c r="D168" s="2">
        <v>54.110551350000001</v>
      </c>
      <c r="E168" s="2">
        <v>-122.67548189999999</v>
      </c>
      <c r="F168" s="2">
        <v>139.569230769</v>
      </c>
      <c r="G168" s="2" t="s">
        <v>23</v>
      </c>
      <c r="H168" s="2" t="s">
        <v>23</v>
      </c>
      <c r="I168" s="2">
        <v>218.33480922059522</v>
      </c>
      <c r="J168" s="2">
        <v>103.50424852725466</v>
      </c>
      <c r="K168" s="2" t="s">
        <v>23</v>
      </c>
      <c r="L168" s="2">
        <v>0.8</v>
      </c>
      <c r="M168" s="2">
        <v>5.3</v>
      </c>
      <c r="N168" s="2">
        <f>Table1[[#This Row],[R1 Length (km)]]+Table1[[#This Row],[T1 Length (km)]]</f>
        <v>6.1</v>
      </c>
      <c r="O168" s="1">
        <v>130</v>
      </c>
      <c r="P168" s="3" t="s">
        <v>23</v>
      </c>
      <c r="Q168" s="3" t="s">
        <v>23</v>
      </c>
      <c r="R168" s="2">
        <v>490.86</v>
      </c>
      <c r="S168" s="2">
        <v>196.34400000000002</v>
      </c>
      <c r="T168" s="2">
        <v>490.86</v>
      </c>
      <c r="U168" s="20">
        <v>435</v>
      </c>
      <c r="V168" s="20">
        <f>Table1[[#This Row],[Raw Terrestrial Score]]/Table1[[#This Row],[Summed Raw Scores]]</f>
        <v>0.48821548821548821</v>
      </c>
      <c r="W168" s="20">
        <v>456</v>
      </c>
      <c r="X168" s="20">
        <f>Table1[[#This Row],[Raw Freshwater Score]]/Table1[[#This Row],[Summed Raw Scores]]</f>
        <v>0.51178451178451179</v>
      </c>
      <c r="Y168" s="20">
        <f>Table1[[#This Row],[Raw Terrestrial Score]]+Table1[[#This Row],[Raw Freshwater Score]]</f>
        <v>891</v>
      </c>
      <c r="Z168" s="18">
        <f>Table1[[#This Row],[Terrestrial % of Summed Score]]*Table1[[#This Row],[Scaled Summed Score]]</f>
        <v>1.8239815853488169E-2</v>
      </c>
      <c r="AA168" s="18">
        <f>Table1[[#This Row],[Freshwater % of Summed Score]]*Table1[[#This Row],[Scaled Summed Score]]</f>
        <v>1.9120358687794492E-2</v>
      </c>
      <c r="AB168" s="18">
        <f>(Table1[[#This Row],[Summed Raw Scores]]-MIN(Table1[Summed Raw Scores]))/(MAX(Table1[Summed Raw Scores])-MIN(Table1[Summed Raw Scores]))</f>
        <v>3.7360174541282661E-2</v>
      </c>
      <c r="AC168" s="2"/>
    </row>
    <row r="169" spans="1:29" x14ac:dyDescent="0.3">
      <c r="A169" s="1" t="s">
        <v>221</v>
      </c>
      <c r="B169" s="1" t="s">
        <v>115</v>
      </c>
      <c r="C169" s="1" t="s">
        <v>22</v>
      </c>
      <c r="D169" s="2">
        <v>48.524384269999999</v>
      </c>
      <c r="E169" s="2">
        <v>-124.04424469999999</v>
      </c>
      <c r="F169" s="2">
        <v>48</v>
      </c>
      <c r="G169" s="1" t="s">
        <v>23</v>
      </c>
      <c r="H169" s="2">
        <v>12</v>
      </c>
      <c r="I169" s="2">
        <v>127.8522</v>
      </c>
      <c r="J169" s="2">
        <v>102.72014729515422</v>
      </c>
      <c r="K169" s="2" t="s">
        <v>23</v>
      </c>
      <c r="L169" s="2">
        <v>0.68284277343800004</v>
      </c>
      <c r="M169" s="2">
        <v>34.066906250000002</v>
      </c>
      <c r="N169" s="2">
        <f>Table1[[#This Row],[R1 Length (km)]]+Table1[[#This Row],[T1 Length (km)]]</f>
        <v>34.749749023438</v>
      </c>
      <c r="O169" s="1">
        <v>69</v>
      </c>
      <c r="P169" s="1" t="s">
        <v>137</v>
      </c>
      <c r="Q169" s="3" t="s">
        <v>23</v>
      </c>
      <c r="R169" s="9" t="s">
        <v>23</v>
      </c>
      <c r="S169" s="9" t="s">
        <v>23</v>
      </c>
      <c r="T169" s="9">
        <v>6.36</v>
      </c>
      <c r="U169" s="20">
        <v>349</v>
      </c>
      <c r="V169" s="20">
        <f>Table1[[#This Row],[Raw Terrestrial Score]]/Table1[[#This Row],[Summed Raw Scores]]</f>
        <v>0.39257592800899888</v>
      </c>
      <c r="W169" s="20">
        <v>540</v>
      </c>
      <c r="X169" s="20">
        <f>Table1[[#This Row],[Raw Freshwater Score]]/Table1[[#This Row],[Summed Raw Scores]]</f>
        <v>0.60742407199100112</v>
      </c>
      <c r="Y169" s="20">
        <f>Table1[[#This Row],[Raw Terrestrial Score]]+Table1[[#This Row],[Raw Freshwater Score]]</f>
        <v>889</v>
      </c>
      <c r="Z169" s="18">
        <f>Table1[[#This Row],[Terrestrial % of Summed Score]]*Table1[[#This Row],[Scaled Summed Score]]</f>
        <v>1.4633257744848275E-2</v>
      </c>
      <c r="AA169" s="18">
        <f>Table1[[#This Row],[Freshwater % of Summed Score]]*Table1[[#This Row],[Scaled Summed Score]]</f>
        <v>2.2641716854493035E-2</v>
      </c>
      <c r="AB169" s="18">
        <f>(Table1[[#This Row],[Summed Raw Scores]]-MIN(Table1[Summed Raw Scores]))/(MAX(Table1[Summed Raw Scores])-MIN(Table1[Summed Raw Scores]))</f>
        <v>3.7274974599341308E-2</v>
      </c>
      <c r="AC169" s="2"/>
    </row>
    <row r="170" spans="1:29" x14ac:dyDescent="0.3">
      <c r="A170" s="1" t="s">
        <v>222</v>
      </c>
      <c r="B170" s="1" t="s">
        <v>115</v>
      </c>
      <c r="C170" s="1" t="s">
        <v>22</v>
      </c>
      <c r="D170" s="2">
        <v>50.496697820000001</v>
      </c>
      <c r="E170" s="2">
        <v>-126.76762239999999</v>
      </c>
      <c r="F170" s="2">
        <v>48</v>
      </c>
      <c r="G170" s="1" t="s">
        <v>23</v>
      </c>
      <c r="H170" s="2">
        <v>12</v>
      </c>
      <c r="I170" s="2">
        <v>164.90700000000001</v>
      </c>
      <c r="J170" s="2">
        <v>88.165206651257805</v>
      </c>
      <c r="K170" s="2" t="s">
        <v>23</v>
      </c>
      <c r="L170" s="2">
        <v>0.7</v>
      </c>
      <c r="M170" s="2">
        <v>9.1999999999999993</v>
      </c>
      <c r="N170" s="2">
        <f>Table1[[#This Row],[R1 Length (km)]]+Table1[[#This Row],[T1 Length (km)]]</f>
        <v>9.8999999999999986</v>
      </c>
      <c r="O170" s="1">
        <v>130</v>
      </c>
      <c r="P170" s="1" t="s">
        <v>137</v>
      </c>
      <c r="Q170" s="1" t="s">
        <v>23</v>
      </c>
      <c r="R170" s="9" t="s">
        <v>23</v>
      </c>
      <c r="S170" s="9" t="s">
        <v>23</v>
      </c>
      <c r="T170" s="9">
        <v>6.36</v>
      </c>
      <c r="U170" s="20">
        <v>352</v>
      </c>
      <c r="V170" s="20">
        <f>Table1[[#This Row],[Raw Terrestrial Score]]/Table1[[#This Row],[Summed Raw Scores]]</f>
        <v>0.40646651270207851</v>
      </c>
      <c r="W170" s="20">
        <v>514</v>
      </c>
      <c r="X170" s="20">
        <f>Table1[[#This Row],[Raw Freshwater Score]]/Table1[[#This Row],[Summed Raw Scores]]</f>
        <v>0.59353348729792144</v>
      </c>
      <c r="Y170" s="20">
        <f>Table1[[#This Row],[Raw Terrestrial Score]]+Table1[[#This Row],[Raw Freshwater Score]]</f>
        <v>866</v>
      </c>
      <c r="Z170" s="18">
        <f>Table1[[#This Row],[Terrestrial % of Summed Score]]*Table1[[#This Row],[Scaled Summed Score]]</f>
        <v>1.4752773318694628E-2</v>
      </c>
      <c r="AA170" s="18">
        <f>Table1[[#This Row],[Freshwater % of Summed Score]]*Table1[[#This Row],[Scaled Summed Score]]</f>
        <v>2.1542401948321133E-2</v>
      </c>
      <c r="AB170" s="18">
        <f>(Table1[[#This Row],[Summed Raw Scores]]-MIN(Table1[Summed Raw Scores]))/(MAX(Table1[Summed Raw Scores])-MIN(Table1[Summed Raw Scores]))</f>
        <v>3.6295175267015763E-2</v>
      </c>
      <c r="AC170" s="2"/>
    </row>
    <row r="171" spans="1:29" x14ac:dyDescent="0.3">
      <c r="A171" s="1" t="s">
        <v>74</v>
      </c>
      <c r="B171" s="1" t="s">
        <v>59</v>
      </c>
      <c r="C171" s="1" t="s">
        <v>26</v>
      </c>
      <c r="D171" s="2">
        <v>51.032245750000001</v>
      </c>
      <c r="E171" s="2">
        <v>-121.66175560000001</v>
      </c>
      <c r="F171" s="2">
        <v>41.671384615400001</v>
      </c>
      <c r="G171" s="2" t="s">
        <v>23</v>
      </c>
      <c r="H171" s="2" t="s">
        <v>23</v>
      </c>
      <c r="I171" s="2">
        <v>74.167136563120138</v>
      </c>
      <c r="J171" s="2">
        <v>103.70208520210363</v>
      </c>
      <c r="K171" s="2" t="s">
        <v>23</v>
      </c>
      <c r="L171" s="2">
        <v>0.7</v>
      </c>
      <c r="M171" s="2">
        <v>8.9</v>
      </c>
      <c r="N171" s="2">
        <f>Table1[[#This Row],[R1 Length (km)]]+Table1[[#This Row],[T1 Length (km)]]</f>
        <v>9.6</v>
      </c>
      <c r="O171" s="1">
        <v>69</v>
      </c>
      <c r="P171" s="3" t="s">
        <v>23</v>
      </c>
      <c r="Q171" s="3" t="s">
        <v>23</v>
      </c>
      <c r="R171" s="2">
        <v>1554.39</v>
      </c>
      <c r="S171" s="2">
        <v>621.75600000000009</v>
      </c>
      <c r="T171" s="2">
        <v>1554.39</v>
      </c>
      <c r="U171" s="20">
        <v>482</v>
      </c>
      <c r="V171" s="20">
        <f>Table1[[#This Row],[Raw Terrestrial Score]]/Table1[[#This Row],[Summed Raw Scores]]</f>
        <v>0.56111757857974387</v>
      </c>
      <c r="W171" s="20">
        <v>377</v>
      </c>
      <c r="X171" s="20">
        <f>Table1[[#This Row],[Raw Freshwater Score]]/Table1[[#This Row],[Summed Raw Scores]]</f>
        <v>0.43888242142025613</v>
      </c>
      <c r="Y171" s="20">
        <f>Table1[[#This Row],[Raw Terrestrial Score]]+Table1[[#This Row],[Raw Freshwater Score]]</f>
        <v>859</v>
      </c>
      <c r="Z171" s="18">
        <f>Table1[[#This Row],[Terrestrial % of Summed Score]]*Table1[[#This Row],[Scaled Summed Score]]</f>
        <v>2.0198535712044864E-2</v>
      </c>
      <c r="AA171" s="18">
        <f>Table1[[#This Row],[Freshwater % of Summed Score]]*Table1[[#This Row],[Scaled Summed Score]]</f>
        <v>1.5798439758176172E-2</v>
      </c>
      <c r="AB171" s="18">
        <f>(Table1[[#This Row],[Summed Raw Scores]]-MIN(Table1[Summed Raw Scores]))/(MAX(Table1[Summed Raw Scores])-MIN(Table1[Summed Raw Scores]))</f>
        <v>3.5996975470221036E-2</v>
      </c>
      <c r="AC171" s="2"/>
    </row>
    <row r="172" spans="1:29" x14ac:dyDescent="0.3">
      <c r="A172" s="1" t="s">
        <v>224</v>
      </c>
      <c r="B172" s="1" t="s">
        <v>115</v>
      </c>
      <c r="C172" s="1" t="s">
        <v>22</v>
      </c>
      <c r="D172" s="2">
        <v>50.446005470000003</v>
      </c>
      <c r="E172" s="2">
        <v>-127.2969015</v>
      </c>
      <c r="F172" s="2">
        <v>33</v>
      </c>
      <c r="G172" s="1" t="s">
        <v>23</v>
      </c>
      <c r="H172" s="2">
        <v>8.4</v>
      </c>
      <c r="I172" s="2">
        <v>129.44651999999999</v>
      </c>
      <c r="J172" s="2">
        <v>88.609477321999194</v>
      </c>
      <c r="K172" s="2" t="s">
        <v>23</v>
      </c>
      <c r="L172" s="2">
        <v>0.9</v>
      </c>
      <c r="M172" s="2">
        <v>17.8</v>
      </c>
      <c r="N172" s="2">
        <f>Table1[[#This Row],[R1 Length (km)]]+Table1[[#This Row],[T1 Length (km)]]</f>
        <v>18.7</v>
      </c>
      <c r="O172" s="1">
        <v>130</v>
      </c>
      <c r="P172" s="1" t="s">
        <v>137</v>
      </c>
      <c r="Q172" s="3" t="s">
        <v>23</v>
      </c>
      <c r="R172" s="9" t="s">
        <v>23</v>
      </c>
      <c r="S172" s="9" t="s">
        <v>23</v>
      </c>
      <c r="T172" s="9">
        <v>4.45</v>
      </c>
      <c r="U172" s="20">
        <v>343</v>
      </c>
      <c r="V172" s="20">
        <f>Table1[[#This Row],[Raw Terrestrial Score]]/Table1[[#This Row],[Summed Raw Scores]]</f>
        <v>0.40448113207547171</v>
      </c>
      <c r="W172" s="20">
        <v>505</v>
      </c>
      <c r="X172" s="20">
        <f>Table1[[#This Row],[Raw Freshwater Score]]/Table1[[#This Row],[Summed Raw Scores]]</f>
        <v>0.59551886792452835</v>
      </c>
      <c r="Y172" s="20">
        <f>Table1[[#This Row],[Raw Terrestrial Score]]+Table1[[#This Row],[Raw Freshwater Score]]</f>
        <v>848</v>
      </c>
      <c r="Z172" s="18">
        <f>Table1[[#This Row],[Terrestrial % of Summed Score]]*Table1[[#This Row],[Scaled Summed Score]]</f>
        <v>1.4370557660157376E-2</v>
      </c>
      <c r="AA172" s="18">
        <f>Table1[[#This Row],[Freshwater % of Summed Score]]*Table1[[#This Row],[Scaled Summed Score]]</f>
        <v>2.1157818129386226E-2</v>
      </c>
      <c r="AB172" s="18">
        <f>(Table1[[#This Row],[Summed Raw Scores]]-MIN(Table1[Summed Raw Scores]))/(MAX(Table1[Summed Raw Scores])-MIN(Table1[Summed Raw Scores]))</f>
        <v>3.5528375789543598E-2</v>
      </c>
      <c r="AC172" s="2"/>
    </row>
    <row r="173" spans="1:29" x14ac:dyDescent="0.3">
      <c r="A173" s="1" t="s">
        <v>36</v>
      </c>
      <c r="B173" s="1" t="s">
        <v>25</v>
      </c>
      <c r="C173" s="1" t="s">
        <v>33</v>
      </c>
      <c r="D173" s="2">
        <v>49.736758000000002</v>
      </c>
      <c r="E173" s="2">
        <v>-122.303431</v>
      </c>
      <c r="F173" s="2">
        <v>10</v>
      </c>
      <c r="G173" s="2">
        <v>8</v>
      </c>
      <c r="H173" s="2" t="s">
        <v>23</v>
      </c>
      <c r="I173" s="2">
        <v>57</v>
      </c>
      <c r="J173" s="2">
        <v>157.06</v>
      </c>
      <c r="K173" s="2" t="s">
        <v>23</v>
      </c>
      <c r="L173" s="2">
        <f>300.000000003725/1000</f>
        <v>0.30000000000372501</v>
      </c>
      <c r="M173" s="2">
        <v>8.4426400000000008</v>
      </c>
      <c r="N173" s="2">
        <f>Table1[[#This Row],[R1 Length (km)]]+Table1[[#This Row],[T1 Length (km)]]</f>
        <v>8.7426400000037265</v>
      </c>
      <c r="O173" s="1">
        <v>69</v>
      </c>
      <c r="P173" s="3" t="s">
        <v>23</v>
      </c>
      <c r="Q173" s="3" t="s">
        <v>23</v>
      </c>
      <c r="R173" s="9" t="s">
        <v>23</v>
      </c>
      <c r="S173" s="9" t="s">
        <v>23</v>
      </c>
      <c r="T173" s="9">
        <v>2.2999999999999998</v>
      </c>
      <c r="U173" s="20">
        <v>325</v>
      </c>
      <c r="V173" s="20">
        <f>Table1[[#This Row],[Raw Terrestrial Score]]/Table1[[#This Row],[Summed Raw Scores]]</f>
        <v>0.38922155688622756</v>
      </c>
      <c r="W173" s="20">
        <v>510</v>
      </c>
      <c r="X173" s="20">
        <f>Table1[[#This Row],[Raw Freshwater Score]]/Table1[[#This Row],[Summed Raw Scores]]</f>
        <v>0.6107784431137725</v>
      </c>
      <c r="Y173" s="20">
        <f>Table1[[#This Row],[Raw Terrestrial Score]]+Table1[[#This Row],[Raw Freshwater Score]]</f>
        <v>835</v>
      </c>
      <c r="Z173" s="18">
        <f>Table1[[#This Row],[Terrestrial % of Summed Score]]*Table1[[#This Row],[Scaled Summed Score]]</f>
        <v>1.3612858987126426E-2</v>
      </c>
      <c r="AA173" s="18">
        <f>Table1[[#This Row],[Freshwater % of Summed Score]]*Table1[[#This Row],[Scaled Summed Score]]</f>
        <v>2.136171717979839E-2</v>
      </c>
      <c r="AB173" s="18">
        <f>(Table1[[#This Row],[Summed Raw Scores]]-MIN(Table1[Summed Raw Scores]))/(MAX(Table1[Summed Raw Scores])-MIN(Table1[Summed Raw Scores]))</f>
        <v>3.4974576166924815E-2</v>
      </c>
      <c r="AC173" s="2"/>
    </row>
    <row r="174" spans="1:29" x14ac:dyDescent="0.3">
      <c r="A174" s="1" t="s">
        <v>79</v>
      </c>
      <c r="B174" s="1" t="s">
        <v>59</v>
      </c>
      <c r="C174" s="1" t="s">
        <v>26</v>
      </c>
      <c r="D174" s="2">
        <v>50.19913579</v>
      </c>
      <c r="E174" s="2">
        <v>-120.46858469999999</v>
      </c>
      <c r="F174" s="2">
        <v>94.7076923077</v>
      </c>
      <c r="G174" s="2" t="s">
        <v>23</v>
      </c>
      <c r="H174" s="2" t="s">
        <v>23</v>
      </c>
      <c r="I174" s="2">
        <v>167.4049309600608</v>
      </c>
      <c r="J174" s="2">
        <v>95.403752700978643</v>
      </c>
      <c r="K174" s="2" t="s">
        <v>23</v>
      </c>
      <c r="L174" s="2">
        <v>0.3</v>
      </c>
      <c r="M174" s="2">
        <v>6.4</v>
      </c>
      <c r="N174" s="2">
        <f>Table1[[#This Row],[R1 Length (km)]]+Table1[[#This Row],[T1 Length (km)]]</f>
        <v>6.7</v>
      </c>
      <c r="O174" s="1">
        <v>130</v>
      </c>
      <c r="P174" s="3" t="s">
        <v>23</v>
      </c>
      <c r="Q174" s="3" t="s">
        <v>23</v>
      </c>
      <c r="R174" s="2">
        <v>332.1</v>
      </c>
      <c r="S174" s="2">
        <v>132.84</v>
      </c>
      <c r="T174" s="2">
        <v>332.1</v>
      </c>
      <c r="U174" s="20">
        <v>490</v>
      </c>
      <c r="V174" s="20">
        <f>Table1[[#This Row],[Raw Terrestrial Score]]/Table1[[#This Row],[Summed Raw Scores]]</f>
        <v>0.61250000000000004</v>
      </c>
      <c r="W174" s="20">
        <v>310</v>
      </c>
      <c r="X174" s="20">
        <f>Table1[[#This Row],[Raw Freshwater Score]]/Table1[[#This Row],[Summed Raw Scores]]</f>
        <v>0.38750000000000001</v>
      </c>
      <c r="Y174" s="20">
        <f>Table1[[#This Row],[Raw Terrestrial Score]]+Table1[[#This Row],[Raw Freshwater Score]]</f>
        <v>800</v>
      </c>
      <c r="Z174" s="18">
        <f>Table1[[#This Row],[Terrestrial % of Summed Score]]*Table1[[#This Row],[Scaled Summed Score]]</f>
        <v>2.0508691024557588E-2</v>
      </c>
      <c r="AA174" s="18">
        <f>Table1[[#This Row],[Freshwater % of Summed Score]]*Table1[[#This Row],[Scaled Summed Score]]</f>
        <v>1.2974886158393576E-2</v>
      </c>
      <c r="AB174" s="18">
        <f>(Table1[[#This Row],[Summed Raw Scores]]-MIN(Table1[Summed Raw Scores]))/(MAX(Table1[Summed Raw Scores])-MIN(Table1[Summed Raw Scores]))</f>
        <v>3.3483577182951162E-2</v>
      </c>
      <c r="AC174" s="2"/>
    </row>
    <row r="175" spans="1:29" x14ac:dyDescent="0.3">
      <c r="A175" s="1" t="s">
        <v>24</v>
      </c>
      <c r="B175" s="1" t="s">
        <v>25</v>
      </c>
      <c r="C175" s="1" t="s">
        <v>26</v>
      </c>
      <c r="D175" s="12">
        <v>52.673324999999998</v>
      </c>
      <c r="E175" s="12">
        <v>-119.05634499999999</v>
      </c>
      <c r="F175" s="2">
        <v>14.3</v>
      </c>
      <c r="G175" s="2">
        <v>52</v>
      </c>
      <c r="H175" s="2" t="s">
        <v>23</v>
      </c>
      <c r="I175" s="14">
        <v>385.16461135371998</v>
      </c>
      <c r="J175" s="13">
        <v>88.585188657271829</v>
      </c>
      <c r="K175" s="2" t="s">
        <v>23</v>
      </c>
      <c r="L175" s="2">
        <v>0</v>
      </c>
      <c r="M175" s="9">
        <v>21.552185546874998</v>
      </c>
      <c r="N175" s="9">
        <f>Table1[[#This Row],[R1 Length (km)]]+Table1[[#This Row],[T1 Length (km)]]</f>
        <v>21.552185546874998</v>
      </c>
      <c r="O175" s="3">
        <v>25</v>
      </c>
      <c r="P175" s="3" t="s">
        <v>23</v>
      </c>
      <c r="Q175" s="3" t="s">
        <v>23</v>
      </c>
      <c r="R175" s="9" t="s">
        <v>23</v>
      </c>
      <c r="S175" s="9" t="s">
        <v>23</v>
      </c>
      <c r="T175" s="9">
        <v>15.6</v>
      </c>
      <c r="U175" s="20">
        <v>636</v>
      </c>
      <c r="V175" s="20">
        <f>Table1[[#This Row],[Raw Terrestrial Score]]/Table1[[#This Row],[Summed Raw Scores]]</f>
        <v>0.81434058898847628</v>
      </c>
      <c r="W175" s="20">
        <v>145</v>
      </c>
      <c r="X175" s="20">
        <f>Table1[[#This Row],[Raw Freshwater Score]]/Table1[[#This Row],[Summed Raw Scores]]</f>
        <v>0.1856594110115237</v>
      </c>
      <c r="Y175" s="20">
        <f>Table1[[#This Row],[Raw Terrestrial Score]]+Table1[[#This Row],[Raw Freshwater Score]]</f>
        <v>781</v>
      </c>
      <c r="Z175" s="18">
        <f>Table1[[#This Row],[Terrestrial % of Summed Score]]*Table1[[#This Row],[Scaled Summed Score]]</f>
        <v>2.6607909141033663E-2</v>
      </c>
      <c r="AA175" s="18">
        <f>Table1[[#This Row],[Freshwater % of Summed Score]]*Table1[[#This Row],[Scaled Summed Score]]</f>
        <v>6.0662685934746562E-3</v>
      </c>
      <c r="AB175" s="18">
        <f>(Table1[[#This Row],[Summed Raw Scores]]-MIN(Table1[Summed Raw Scores]))/(MAX(Table1[Summed Raw Scores])-MIN(Table1[Summed Raw Scores]))</f>
        <v>3.2674177734508321E-2</v>
      </c>
      <c r="AC175" s="2"/>
    </row>
    <row r="176" spans="1:29" x14ac:dyDescent="0.3">
      <c r="A176" s="1" t="s">
        <v>223</v>
      </c>
      <c r="B176" s="1" t="s">
        <v>115</v>
      </c>
      <c r="C176" s="1" t="s">
        <v>22</v>
      </c>
      <c r="D176" s="2">
        <v>50.494692499999999</v>
      </c>
      <c r="E176" s="2">
        <v>-127.07283200000001</v>
      </c>
      <c r="F176" s="2">
        <v>33</v>
      </c>
      <c r="G176" s="1" t="s">
        <v>23</v>
      </c>
      <c r="H176" s="2">
        <v>8.4</v>
      </c>
      <c r="I176" s="2">
        <v>113.50331999999999</v>
      </c>
      <c r="J176" s="2">
        <v>87.113135229108053</v>
      </c>
      <c r="K176" s="2" t="s">
        <v>23</v>
      </c>
      <c r="L176" s="2">
        <v>1</v>
      </c>
      <c r="M176" s="2">
        <v>8.8000000000000007</v>
      </c>
      <c r="N176" s="2">
        <f>Table1[[#This Row],[R1 Length (km)]]+Table1[[#This Row],[T1 Length (km)]]</f>
        <v>9.8000000000000007</v>
      </c>
      <c r="O176" s="1">
        <v>130</v>
      </c>
      <c r="P176" s="1" t="s">
        <v>116</v>
      </c>
      <c r="Q176" s="1">
        <v>7</v>
      </c>
      <c r="R176" s="9" t="s">
        <v>23</v>
      </c>
      <c r="S176" s="9" t="s">
        <v>23</v>
      </c>
      <c r="T176" s="9">
        <f>((PI()*(45^2))*Table1[[#This Row],[Number of Turbines - WIND]])/10000</f>
        <v>4.453207586463531</v>
      </c>
      <c r="U176" s="20">
        <f>218+49</f>
        <v>267</v>
      </c>
      <c r="V176" s="20">
        <f>Table1[[#This Row],[Raw Terrestrial Score]]/Table1[[#This Row],[Summed Raw Scores]]</f>
        <v>0.34230769230769231</v>
      </c>
      <c r="W176" s="20">
        <f>46+467</f>
        <v>513</v>
      </c>
      <c r="X176" s="20">
        <f>Table1[[#This Row],[Raw Freshwater Score]]/Table1[[#This Row],[Summed Raw Scores]]</f>
        <v>0.65769230769230769</v>
      </c>
      <c r="Y176" s="20">
        <f>Table1[[#This Row],[Raw Terrestrial Score]]+Table1[[#This Row],[Raw Freshwater Score]]</f>
        <v>780</v>
      </c>
      <c r="Z176" s="18">
        <f>Table1[[#This Row],[Terrestrial % of Summed Score]]*Table1[[#This Row],[Scaled Summed Score]]</f>
        <v>1.1170040080595581E-2</v>
      </c>
      <c r="AA176" s="18">
        <f>Table1[[#This Row],[Freshwater % of Summed Score]]*Table1[[#This Row],[Scaled Summed Score]]</f>
        <v>2.146153768294207E-2</v>
      </c>
      <c r="AB176" s="18">
        <f>(Table1[[#This Row],[Summed Raw Scores]]-MIN(Table1[Summed Raw Scores]))/(MAX(Table1[Summed Raw Scores])-MIN(Table1[Summed Raw Scores]))</f>
        <v>3.2631577763537652E-2</v>
      </c>
      <c r="AC176" s="2"/>
    </row>
    <row r="177" spans="1:29" x14ac:dyDescent="0.3">
      <c r="A177" s="1" t="s">
        <v>93</v>
      </c>
      <c r="B177" s="1" t="s">
        <v>59</v>
      </c>
      <c r="C177" s="1" t="s">
        <v>22</v>
      </c>
      <c r="D177" s="2">
        <v>48.736638659999997</v>
      </c>
      <c r="E177" s="2">
        <v>-123.77466149999999</v>
      </c>
      <c r="F177" s="2">
        <v>92.115692307700002</v>
      </c>
      <c r="G177" s="2" t="s">
        <v>23</v>
      </c>
      <c r="H177" s="2" t="s">
        <v>23</v>
      </c>
      <c r="I177" s="2">
        <v>151.38292161644466</v>
      </c>
      <c r="J177" s="2">
        <v>102.62417884982256</v>
      </c>
      <c r="K177" s="2" t="s">
        <v>23</v>
      </c>
      <c r="L177" s="2">
        <v>0</v>
      </c>
      <c r="M177" s="2">
        <v>5.7</v>
      </c>
      <c r="N177" s="2">
        <f>Table1[[#This Row],[R1 Length (km)]]+Table1[[#This Row],[T1 Length (km)]]</f>
        <v>5.7</v>
      </c>
      <c r="O177" s="1">
        <v>13</v>
      </c>
      <c r="P177" s="3" t="s">
        <v>23</v>
      </c>
      <c r="Q177" s="3" t="s">
        <v>23</v>
      </c>
      <c r="R177" s="2">
        <v>200.88</v>
      </c>
      <c r="S177" s="2">
        <v>80.352000000000004</v>
      </c>
      <c r="T177" s="2">
        <v>200.88</v>
      </c>
      <c r="U177" s="20">
        <v>405</v>
      </c>
      <c r="V177" s="20">
        <f>Table1[[#This Row],[Raw Terrestrial Score]]/Table1[[#This Row],[Summed Raw Scores]]</f>
        <v>0.53219448094612354</v>
      </c>
      <c r="W177" s="20">
        <v>356</v>
      </c>
      <c r="X177" s="20">
        <f>Table1[[#This Row],[Raw Freshwater Score]]/Table1[[#This Row],[Summed Raw Scores]]</f>
        <v>0.46780551905387646</v>
      </c>
      <c r="Y177" s="20">
        <f>Table1[[#This Row],[Raw Terrestrial Score]]+Table1[[#This Row],[Raw Freshwater Score]]</f>
        <v>761</v>
      </c>
      <c r="Z177" s="18">
        <f>Table1[[#This Row],[Terrestrial % of Summed Score]]*Table1[[#This Row],[Scaled Summed Score]]</f>
        <v>1.693558767097687E-2</v>
      </c>
      <c r="AA177" s="18">
        <f>Table1[[#This Row],[Freshwater % of Summed Score]]*Table1[[#This Row],[Scaled Summed Score]]</f>
        <v>1.4886590644117939E-2</v>
      </c>
      <c r="AB177" s="18">
        <f>(Table1[[#This Row],[Summed Raw Scores]]-MIN(Table1[Summed Raw Scores]))/(MAX(Table1[Summed Raw Scores])-MIN(Table1[Summed Raw Scores]))</f>
        <v>3.1822178315094811E-2</v>
      </c>
      <c r="AC177" s="2"/>
    </row>
    <row r="178" spans="1:29" x14ac:dyDescent="0.3">
      <c r="A178" s="1" t="s">
        <v>182</v>
      </c>
      <c r="B178" s="1" t="s">
        <v>115</v>
      </c>
      <c r="C178" s="1" t="s">
        <v>28</v>
      </c>
      <c r="D178" s="2">
        <v>55.077247999999997</v>
      </c>
      <c r="E178" s="2">
        <v>-121.11845</v>
      </c>
      <c r="F178" s="2">
        <v>54</v>
      </c>
      <c r="G178" s="1" t="s">
        <v>23</v>
      </c>
      <c r="H178" s="2">
        <v>13.2</v>
      </c>
      <c r="I178" s="2">
        <v>216.81</v>
      </c>
      <c r="J178" s="2">
        <v>76.420343570647532</v>
      </c>
      <c r="K178" s="2" t="s">
        <v>23</v>
      </c>
      <c r="L178" s="2">
        <v>6.8</v>
      </c>
      <c r="M178" s="2">
        <v>8.4</v>
      </c>
      <c r="N178" s="2">
        <f>Table1[[#This Row],[R1 Length (km)]]+Table1[[#This Row],[T1 Length (km)]]</f>
        <v>15.2</v>
      </c>
      <c r="O178" s="1">
        <v>69</v>
      </c>
      <c r="P178" s="1" t="s">
        <v>137</v>
      </c>
      <c r="Q178" s="3" t="s">
        <v>23</v>
      </c>
      <c r="R178" s="9" t="s">
        <v>23</v>
      </c>
      <c r="S178" s="9" t="s">
        <v>23</v>
      </c>
      <c r="T178" s="9">
        <v>7</v>
      </c>
      <c r="U178" s="20">
        <v>432</v>
      </c>
      <c r="V178" s="20">
        <f>Table1[[#This Row],[Raw Terrestrial Score]]/Table1[[#This Row],[Summed Raw Scores]]</f>
        <v>0.58616010854816825</v>
      </c>
      <c r="W178" s="20">
        <v>305</v>
      </c>
      <c r="X178" s="20">
        <f>Table1[[#This Row],[Raw Freshwater Score]]/Table1[[#This Row],[Summed Raw Scores]]</f>
        <v>0.41383989145183175</v>
      </c>
      <c r="Y178" s="20">
        <f>Table1[[#This Row],[Raw Terrestrial Score]]+Table1[[#This Row],[Raw Freshwater Score]]</f>
        <v>737</v>
      </c>
      <c r="Z178" s="18">
        <f>Table1[[#This Row],[Terrestrial % of Summed Score]]*Table1[[#This Row],[Scaled Summed Score]]</f>
        <v>1.8053601808815455E-2</v>
      </c>
      <c r="AA178" s="18">
        <f>Table1[[#This Row],[Freshwater % of Summed Score]]*Table1[[#This Row],[Scaled Summed Score]]</f>
        <v>1.2746177202983135E-2</v>
      </c>
      <c r="AB178" s="18">
        <f>(Table1[[#This Row],[Summed Raw Scores]]-MIN(Table1[Summed Raw Scores]))/(MAX(Table1[Summed Raw Scores])-MIN(Table1[Summed Raw Scores]))</f>
        <v>3.0799779011798589E-2</v>
      </c>
      <c r="AC178" s="2"/>
    </row>
    <row r="179" spans="1:29" x14ac:dyDescent="0.3">
      <c r="A179" s="1" t="s">
        <v>107</v>
      </c>
      <c r="B179" s="1" t="s">
        <v>98</v>
      </c>
      <c r="C179" s="1" t="s">
        <v>22</v>
      </c>
      <c r="D179" s="11">
        <v>50.52</v>
      </c>
      <c r="E179" s="11">
        <v>-127.02</v>
      </c>
      <c r="F179" s="2">
        <v>77.599999999999994</v>
      </c>
      <c r="G179" s="2">
        <v>40</v>
      </c>
      <c r="H179" s="2">
        <v>38</v>
      </c>
      <c r="I179" s="13">
        <v>380</v>
      </c>
      <c r="J179" s="13">
        <v>75.443835022643938</v>
      </c>
      <c r="K179" s="2" t="s">
        <v>23</v>
      </c>
      <c r="L179" s="2">
        <v>0</v>
      </c>
      <c r="M179" s="2">
        <v>7.6</v>
      </c>
      <c r="N179" s="2">
        <f>Table1[[#This Row],[R1 Length (km)]]+Table1[[#This Row],[T1 Length (km)]]</f>
        <v>7.6</v>
      </c>
      <c r="O179" s="1">
        <v>130</v>
      </c>
      <c r="P179" s="3" t="s">
        <v>23</v>
      </c>
      <c r="Q179" s="3" t="s">
        <v>23</v>
      </c>
      <c r="R179" s="9" t="s">
        <v>23</v>
      </c>
      <c r="S179" s="9" t="s">
        <v>23</v>
      </c>
      <c r="T179" s="9">
        <v>7.62</v>
      </c>
      <c r="U179" s="20">
        <v>145</v>
      </c>
      <c r="V179" s="20">
        <f>Table1[[#This Row],[Raw Terrestrial Score]]/Table1[[#This Row],[Summed Raw Scores]]</f>
        <v>0.20773638968481375</v>
      </c>
      <c r="W179" s="20">
        <v>553</v>
      </c>
      <c r="X179" s="20">
        <f>Table1[[#This Row],[Raw Freshwater Score]]/Table1[[#This Row],[Summed Raw Scores]]</f>
        <v>0.79226361031518622</v>
      </c>
      <c r="Y179" s="20">
        <f>Table1[[#This Row],[Raw Terrestrial Score]]+Table1[[#This Row],[Raw Freshwater Score]]</f>
        <v>698</v>
      </c>
      <c r="Z179" s="18">
        <f>Table1[[#This Row],[Terrestrial % of Summed Score]]*Table1[[#This Row],[Scaled Summed Score]]</f>
        <v>6.0531018923662234E-3</v>
      </c>
      <c r="AA179" s="18">
        <f>Table1[[#This Row],[Freshwater % of Summed Score]]*Table1[[#This Row],[Scaled Summed Score]]</f>
        <v>2.3085278251576011E-2</v>
      </c>
      <c r="AB179" s="18">
        <f>(Table1[[#This Row],[Summed Raw Scores]]-MIN(Table1[Summed Raw Scores]))/(MAX(Table1[Summed Raw Scores])-MIN(Table1[Summed Raw Scores]))</f>
        <v>2.9138380143942235E-2</v>
      </c>
      <c r="AC179" s="2"/>
    </row>
    <row r="180" spans="1:29" x14ac:dyDescent="0.3">
      <c r="A180" s="1" t="s">
        <v>87</v>
      </c>
      <c r="B180" s="1" t="s">
        <v>59</v>
      </c>
      <c r="C180" s="1" t="s">
        <v>88</v>
      </c>
      <c r="D180" s="2">
        <v>50.239561190000003</v>
      </c>
      <c r="E180" s="2">
        <v>-119.16819150000001</v>
      </c>
      <c r="F180" s="2">
        <v>110.259692308</v>
      </c>
      <c r="G180" s="2" t="s">
        <v>23</v>
      </c>
      <c r="H180" s="2" t="s">
        <v>23</v>
      </c>
      <c r="I180" s="2">
        <v>183.89581588506243</v>
      </c>
      <c r="J180" s="2">
        <v>99.61543341729832</v>
      </c>
      <c r="K180" s="2" t="s">
        <v>23</v>
      </c>
      <c r="L180" s="2">
        <v>2</v>
      </c>
      <c r="M180" s="2">
        <v>4.9000000000000004</v>
      </c>
      <c r="N180" s="2">
        <f>Table1[[#This Row],[R1 Length (km)]]+Table1[[#This Row],[T1 Length (km)]]</f>
        <v>6.9</v>
      </c>
      <c r="O180" s="1">
        <v>130</v>
      </c>
      <c r="P180" s="3" t="s">
        <v>23</v>
      </c>
      <c r="Q180" s="3" t="s">
        <v>23</v>
      </c>
      <c r="R180" s="2">
        <v>567</v>
      </c>
      <c r="S180" s="2">
        <v>226.8</v>
      </c>
      <c r="T180" s="2">
        <v>567</v>
      </c>
      <c r="U180" s="20">
        <v>588</v>
      </c>
      <c r="V180" s="20">
        <f>Table1[[#This Row],[Raw Terrestrial Score]]/Table1[[#This Row],[Summed Raw Scores]]</f>
        <v>0.90045941807044405</v>
      </c>
      <c r="W180" s="20">
        <v>65</v>
      </c>
      <c r="X180" s="20">
        <f>Table1[[#This Row],[Raw Freshwater Score]]/Table1[[#This Row],[Summed Raw Scores]]</f>
        <v>9.9540581929555894E-2</v>
      </c>
      <c r="Y180" s="20">
        <f>Table1[[#This Row],[Raw Terrestrial Score]]+Table1[[#This Row],[Raw Freshwater Score]]</f>
        <v>653</v>
      </c>
      <c r="Z180" s="18">
        <f>Table1[[#This Row],[Terrestrial % of Summed Score]]*Table1[[#This Row],[Scaled Summed Score]]</f>
        <v>2.4511749299776342E-2</v>
      </c>
      <c r="AA180" s="18">
        <f>Table1[[#This Row],[Freshwater % of Summed Score]]*Table1[[#This Row],[Scaled Summed Score]]</f>
        <v>2.70963215048548E-3</v>
      </c>
      <c r="AB180" s="18">
        <f>(Table1[[#This Row],[Summed Raw Scores]]-MIN(Table1[Summed Raw Scores]))/(MAX(Table1[Summed Raw Scores])-MIN(Table1[Summed Raw Scores]))</f>
        <v>2.7221381450261824E-2</v>
      </c>
      <c r="AC180" s="2"/>
    </row>
    <row r="181" spans="1:29" x14ac:dyDescent="0.3">
      <c r="A181" s="1" t="s">
        <v>171</v>
      </c>
      <c r="B181" s="1" t="s">
        <v>115</v>
      </c>
      <c r="C181" s="1" t="s">
        <v>28</v>
      </c>
      <c r="D181" s="2">
        <v>55.576506389999999</v>
      </c>
      <c r="E181" s="2">
        <v>-121.70082429999999</v>
      </c>
      <c r="F181" s="2">
        <v>87</v>
      </c>
      <c r="G181" s="1" t="s">
        <v>23</v>
      </c>
      <c r="H181" s="2">
        <v>21.599999999999998</v>
      </c>
      <c r="I181" s="2">
        <v>213.57755999999998</v>
      </c>
      <c r="J181" s="2">
        <v>98.6800376344559</v>
      </c>
      <c r="K181" s="2" t="s">
        <v>23</v>
      </c>
      <c r="L181" s="2">
        <v>0.8</v>
      </c>
      <c r="M181" s="2">
        <v>15.891168945312501</v>
      </c>
      <c r="N181" s="2">
        <f>Table1[[#This Row],[R1 Length (km)]]+Table1[[#This Row],[T1 Length (km)]]</f>
        <v>16.691168945312501</v>
      </c>
      <c r="O181" s="1">
        <v>130</v>
      </c>
      <c r="P181" s="1" t="s">
        <v>137</v>
      </c>
      <c r="Q181" s="3" t="s">
        <v>23</v>
      </c>
      <c r="R181" s="9" t="s">
        <v>23</v>
      </c>
      <c r="S181" s="9" t="s">
        <v>23</v>
      </c>
      <c r="T181" s="9">
        <f>1542378/10000</f>
        <v>154.23779999999999</v>
      </c>
      <c r="U181" s="20">
        <v>408</v>
      </c>
      <c r="V181" s="20">
        <f>Table1[[#This Row],[Raw Terrestrial Score]]/Table1[[#This Row],[Summed Raw Scores]]</f>
        <v>0.62865947611710327</v>
      </c>
      <c r="W181" s="20">
        <v>241</v>
      </c>
      <c r="X181" s="20">
        <f>Table1[[#This Row],[Raw Freshwater Score]]/Table1[[#This Row],[Summed Raw Scores]]</f>
        <v>0.37134052388289679</v>
      </c>
      <c r="Y181" s="20">
        <f>Table1[[#This Row],[Raw Terrestrial Score]]+Table1[[#This Row],[Raw Freshwater Score]]</f>
        <v>649</v>
      </c>
      <c r="Z181" s="18">
        <f>Table1[[#This Row],[Terrestrial % of Summed Score]]*Table1[[#This Row],[Scaled Summed Score]]</f>
        <v>1.7005855899973315E-2</v>
      </c>
      <c r="AA181" s="18">
        <f>Table1[[#This Row],[Freshwater % of Summed Score]]*Table1[[#This Row],[Scaled Summed Score]]</f>
        <v>1.0045125666405808E-2</v>
      </c>
      <c r="AB181" s="18">
        <f>(Table1[[#This Row],[Summed Raw Scores]]-MIN(Table1[Summed Raw Scores]))/(MAX(Table1[Summed Raw Scores])-MIN(Table1[Summed Raw Scores]))</f>
        <v>2.7050981566379122E-2</v>
      </c>
      <c r="AC181" s="2"/>
    </row>
    <row r="182" spans="1:29" x14ac:dyDescent="0.3">
      <c r="A182" s="1" t="s">
        <v>53</v>
      </c>
      <c r="B182" s="1" t="s">
        <v>54</v>
      </c>
      <c r="C182" s="1" t="s">
        <v>33</v>
      </c>
      <c r="D182" s="2">
        <v>50.371716999999997</v>
      </c>
      <c r="E182" s="2">
        <v>-122.7530678</v>
      </c>
      <c r="F182" s="2">
        <v>15.82</v>
      </c>
      <c r="G182" s="2" t="s">
        <v>23</v>
      </c>
      <c r="H182" s="2">
        <v>2</v>
      </c>
      <c r="I182" s="2">
        <v>37</v>
      </c>
      <c r="J182" s="2">
        <v>86.53</v>
      </c>
      <c r="K182" s="2" t="s">
        <v>23</v>
      </c>
      <c r="L182" s="2">
        <f>200.000000002/1000</f>
        <v>0.20000000000199999</v>
      </c>
      <c r="M182" s="2">
        <f>5234.07068874/1000</f>
        <v>5.2340706887400001</v>
      </c>
      <c r="N182" s="2">
        <f>Table1[[#This Row],[R1 Length (km)]]+Table1[[#This Row],[T1 Length (km)]]</f>
        <v>5.4340706887420005</v>
      </c>
      <c r="O182" s="1">
        <v>69</v>
      </c>
      <c r="P182" s="3" t="s">
        <v>23</v>
      </c>
      <c r="Q182" s="3" t="s">
        <v>23</v>
      </c>
      <c r="R182" s="9" t="s">
        <v>23</v>
      </c>
      <c r="S182" s="9" t="s">
        <v>23</v>
      </c>
      <c r="T182" s="9">
        <v>6.85</v>
      </c>
      <c r="U182" s="20">
        <v>362</v>
      </c>
      <c r="V182" s="20">
        <f>Table1[[#This Row],[Raw Terrestrial Score]]/Table1[[#This Row],[Summed Raw Scores]]</f>
        <v>0.5691823899371069</v>
      </c>
      <c r="W182" s="20">
        <v>274</v>
      </c>
      <c r="X182" s="20">
        <f>Table1[[#This Row],[Raw Freshwater Score]]/Table1[[#This Row],[Summed Raw Scores]]</f>
        <v>0.4308176100628931</v>
      </c>
      <c r="Y182" s="20">
        <f>Table1[[#This Row],[Raw Terrestrial Score]]+Table1[[#This Row],[Raw Freshwater Score]]</f>
        <v>636</v>
      </c>
      <c r="Z182" s="18">
        <f>Table1[[#This Row],[Terrestrial % of Summed Score]]*Table1[[#This Row],[Scaled Summed Score]]</f>
        <v>1.5081729345347863E-2</v>
      </c>
      <c r="AA182" s="18">
        <f>Table1[[#This Row],[Freshwater % of Summed Score]]*Table1[[#This Row],[Scaled Summed Score]]</f>
        <v>1.1415452598412472E-2</v>
      </c>
      <c r="AB182" s="18">
        <f>(Table1[[#This Row],[Summed Raw Scores]]-MIN(Table1[Summed Raw Scores]))/(MAX(Table1[Summed Raw Scores])-MIN(Table1[Summed Raw Scores]))</f>
        <v>2.6497181943760335E-2</v>
      </c>
      <c r="AC182" s="2"/>
    </row>
    <row r="183" spans="1:29" x14ac:dyDescent="0.3">
      <c r="A183" s="1" t="s">
        <v>203</v>
      </c>
      <c r="B183" s="1" t="s">
        <v>115</v>
      </c>
      <c r="C183" s="1" t="s">
        <v>26</v>
      </c>
      <c r="D183" s="2">
        <v>50.762156240000003</v>
      </c>
      <c r="E183" s="2">
        <v>-121.717804</v>
      </c>
      <c r="F183" s="2">
        <v>48</v>
      </c>
      <c r="G183" s="1" t="s">
        <v>23</v>
      </c>
      <c r="H183" s="2">
        <v>12</v>
      </c>
      <c r="I183" s="2">
        <v>141.036</v>
      </c>
      <c r="J183" s="2">
        <v>88.914457851157948</v>
      </c>
      <c r="K183" s="2" t="s">
        <v>23</v>
      </c>
      <c r="L183" s="2">
        <v>0.74142138671900004</v>
      </c>
      <c r="M183" s="2">
        <v>15.603658203125001</v>
      </c>
      <c r="N183" s="2">
        <f>Table1[[#This Row],[R1 Length (km)]]+Table1[[#This Row],[T1 Length (km)]]</f>
        <v>16.345079589844001</v>
      </c>
      <c r="O183" s="1">
        <v>69</v>
      </c>
      <c r="P183" s="1" t="s">
        <v>116</v>
      </c>
      <c r="Q183" s="1">
        <v>10</v>
      </c>
      <c r="R183" s="9" t="s">
        <v>23</v>
      </c>
      <c r="S183" s="9" t="s">
        <v>23</v>
      </c>
      <c r="T183" s="9">
        <f>((PI()*(45^2))*Table1[[#This Row],[Number of Turbines - WIND]])/10000</f>
        <v>6.3617251235193315</v>
      </c>
      <c r="U183" s="20">
        <f>235+32.21271</f>
        <v>267.21271000000002</v>
      </c>
      <c r="V183" s="20">
        <f>Table1[[#This Row],[Raw Terrestrial Score]]/Table1[[#This Row],[Summed Raw Scores]]</f>
        <v>0.45334439427468193</v>
      </c>
      <c r="W183" s="20">
        <f>32.21271+290</f>
        <v>322.21271000000002</v>
      </c>
      <c r="X183" s="20">
        <f>Table1[[#This Row],[Raw Freshwater Score]]/Table1[[#This Row],[Summed Raw Scores]]</f>
        <v>0.54665560572531802</v>
      </c>
      <c r="Y183" s="20">
        <f>Table1[[#This Row],[Raw Terrestrial Score]]+Table1[[#This Row],[Raw Freshwater Score]]</f>
        <v>589.42542000000003</v>
      </c>
      <c r="Z183" s="18">
        <f>Table1[[#This Row],[Terrestrial % of Summed Score]]*Table1[[#This Row],[Scaled Summed Score]]</f>
        <v>1.1112879276494125E-2</v>
      </c>
      <c r="AA183" s="18">
        <f>Table1[[#This Row],[Freshwater % of Summed Score]]*Table1[[#This Row],[Scaled Summed Score]]</f>
        <v>1.3400226911294793E-2</v>
      </c>
      <c r="AB183" s="18">
        <f>(Table1[[#This Row],[Summed Raw Scores]]-MIN(Table1[Summed Raw Scores]))/(MAX(Table1[Summed Raw Scores])-MIN(Table1[Summed Raw Scores]))</f>
        <v>2.451310618778892E-2</v>
      </c>
      <c r="AC183" s="2"/>
    </row>
    <row r="184" spans="1:29" x14ac:dyDescent="0.3">
      <c r="A184" s="1" t="s">
        <v>92</v>
      </c>
      <c r="B184" s="1" t="s">
        <v>59</v>
      </c>
      <c r="C184" s="1" t="s">
        <v>41</v>
      </c>
      <c r="D184" s="2">
        <v>49.822599660000002</v>
      </c>
      <c r="E184" s="2">
        <v>-119.59908609999999</v>
      </c>
      <c r="F184" s="2">
        <v>105.873230769</v>
      </c>
      <c r="G184" s="2" t="s">
        <v>23</v>
      </c>
      <c r="H184" s="2" t="s">
        <v>23</v>
      </c>
      <c r="I184" s="2">
        <v>177.4225591880429</v>
      </c>
      <c r="J184" s="2">
        <v>99.454599163987098</v>
      </c>
      <c r="K184" s="2" t="s">
        <v>23</v>
      </c>
      <c r="L184" s="2">
        <v>0</v>
      </c>
      <c r="M184" s="2">
        <v>3.6</v>
      </c>
      <c r="N184" s="2">
        <f>Table1[[#This Row],[R1 Length (km)]]+Table1[[#This Row],[T1 Length (km)]]</f>
        <v>3.6</v>
      </c>
      <c r="O184" s="1">
        <v>130</v>
      </c>
      <c r="P184" s="3" t="s">
        <v>23</v>
      </c>
      <c r="Q184" s="3" t="s">
        <v>23</v>
      </c>
      <c r="R184" s="2">
        <v>511.92</v>
      </c>
      <c r="S184" s="2">
        <v>204.76800000000003</v>
      </c>
      <c r="T184" s="2">
        <v>511.92</v>
      </c>
      <c r="U184" s="20">
        <v>430</v>
      </c>
      <c r="V184" s="20">
        <f>Table1[[#This Row],[Raw Terrestrial Score]]/Table1[[#This Row],[Summed Raw Scores]]</f>
        <v>0.75571177504393672</v>
      </c>
      <c r="W184" s="20">
        <v>139</v>
      </c>
      <c r="X184" s="20">
        <f>Table1[[#This Row],[Raw Freshwater Score]]/Table1[[#This Row],[Summed Raw Scores]]</f>
        <v>0.24428822495606328</v>
      </c>
      <c r="Y184" s="20">
        <f>Table1[[#This Row],[Raw Terrestrial Score]]+Table1[[#This Row],[Raw Freshwater Score]]</f>
        <v>569</v>
      </c>
      <c r="Z184" s="18">
        <f>Table1[[#This Row],[Terrestrial % of Summed Score]]*Table1[[#This Row],[Scaled Summed Score]]</f>
        <v>1.7867281321883612E-2</v>
      </c>
      <c r="AA184" s="18">
        <f>Table1[[#This Row],[Freshwater % of Summed Score]]*Table1[[#This Row],[Scaled Summed Score]]</f>
        <v>5.7757025668414468E-3</v>
      </c>
      <c r="AB184" s="18">
        <f>(Table1[[#This Row],[Summed Raw Scores]]-MIN(Table1[Summed Raw Scores]))/(MAX(Table1[Summed Raw Scores])-MIN(Table1[Summed Raw Scores]))</f>
        <v>2.3642983888725058E-2</v>
      </c>
      <c r="AC184" s="2"/>
    </row>
    <row r="185" spans="1:29" x14ac:dyDescent="0.3">
      <c r="A185" s="1" t="s">
        <v>227</v>
      </c>
      <c r="B185" s="1" t="s">
        <v>38</v>
      </c>
      <c r="C185" s="1" t="s">
        <v>33</v>
      </c>
      <c r="D185" s="2">
        <v>49.079444444499998</v>
      </c>
      <c r="E185" s="2">
        <v>-122.483055556</v>
      </c>
      <c r="F185" s="2">
        <v>46.954864498399999</v>
      </c>
      <c r="G185" s="2">
        <v>45</v>
      </c>
      <c r="H185" s="2" t="s">
        <v>23</v>
      </c>
      <c r="I185" s="2">
        <v>374</v>
      </c>
      <c r="J185" s="2">
        <v>134.79</v>
      </c>
      <c r="K185" s="2" t="s">
        <v>23</v>
      </c>
      <c r="L185" s="2">
        <f>600/1000</f>
        <v>0.6</v>
      </c>
      <c r="M185" s="2">
        <v>3.67279</v>
      </c>
      <c r="N185" s="2">
        <f>Table1[[#This Row],[R1 Length (km)]]+Table1[[#This Row],[T1 Length (km)]]</f>
        <v>4.2727899999999996</v>
      </c>
      <c r="O185" s="1">
        <v>69</v>
      </c>
      <c r="P185" s="1" t="s">
        <v>23</v>
      </c>
      <c r="Q185" s="1" t="s">
        <v>23</v>
      </c>
      <c r="R185" s="9" t="s">
        <v>23</v>
      </c>
      <c r="S185" s="9" t="s">
        <v>23</v>
      </c>
      <c r="T185" s="9">
        <v>10</v>
      </c>
      <c r="U185" s="20">
        <v>268</v>
      </c>
      <c r="V185" s="20">
        <f>Table1[[#This Row],[Raw Terrestrial Score]]/Table1[[#This Row],[Summed Raw Scores]]</f>
        <v>0.51637764932562624</v>
      </c>
      <c r="W185" s="20">
        <v>251</v>
      </c>
      <c r="X185" s="20">
        <f>Table1[[#This Row],[Raw Freshwater Score]]/Table1[[#This Row],[Summed Raw Scores]]</f>
        <v>0.48362235067437381</v>
      </c>
      <c r="Y185" s="20">
        <f>Table1[[#This Row],[Raw Terrestrial Score]]+Table1[[#This Row],[Raw Freshwater Score]]</f>
        <v>519</v>
      </c>
      <c r="Z185" s="18">
        <f>Table1[[#This Row],[Terrestrial % of Summed Score]]*Table1[[#This Row],[Scaled Summed Score]]</f>
        <v>1.1108824799944626E-2</v>
      </c>
      <c r="AA185" s="18">
        <f>Table1[[#This Row],[Freshwater % of Summed Score]]*Table1[[#This Row],[Scaled Summed Score]]</f>
        <v>1.0404160540246645E-2</v>
      </c>
      <c r="AB185" s="18">
        <f>(Table1[[#This Row],[Summed Raw Scores]]-MIN(Table1[Summed Raw Scores]))/(MAX(Table1[Summed Raw Scores])-MIN(Table1[Summed Raw Scores]))</f>
        <v>2.1512985340191269E-2</v>
      </c>
      <c r="AC185" s="2"/>
    </row>
    <row r="186" spans="1:29" x14ac:dyDescent="0.3">
      <c r="A186" s="1" t="s">
        <v>228</v>
      </c>
      <c r="B186" s="1" t="s">
        <v>38</v>
      </c>
      <c r="C186" s="1" t="s">
        <v>33</v>
      </c>
      <c r="D186" s="2">
        <v>49.079444444499998</v>
      </c>
      <c r="E186" s="2">
        <v>-122.483055556</v>
      </c>
      <c r="F186" s="2">
        <v>38.505777818399999</v>
      </c>
      <c r="G186" s="2">
        <v>37</v>
      </c>
      <c r="H186" s="2" t="s">
        <v>23</v>
      </c>
      <c r="I186" s="2">
        <v>307</v>
      </c>
      <c r="J186" s="2">
        <v>104.73</v>
      </c>
      <c r="K186" s="2" t="s">
        <v>23</v>
      </c>
      <c r="L186" s="2">
        <v>0</v>
      </c>
      <c r="M186" s="2">
        <v>3.67279</v>
      </c>
      <c r="N186" s="2">
        <f>Table1[[#This Row],[R1 Length (km)]]+Table1[[#This Row],[T1 Length (km)]]</f>
        <v>3.67279</v>
      </c>
      <c r="O186" s="1">
        <v>69</v>
      </c>
      <c r="P186" s="1" t="s">
        <v>23</v>
      </c>
      <c r="Q186" s="1" t="s">
        <v>23</v>
      </c>
      <c r="R186" s="9" t="s">
        <v>23</v>
      </c>
      <c r="S186" s="9" t="s">
        <v>23</v>
      </c>
      <c r="T186" s="9">
        <v>10</v>
      </c>
      <c r="U186" s="20">
        <v>268</v>
      </c>
      <c r="V186" s="20">
        <f>Table1[[#This Row],[Raw Terrestrial Score]]/Table1[[#This Row],[Summed Raw Scores]]</f>
        <v>0.51637764932562624</v>
      </c>
      <c r="W186" s="20">
        <v>251</v>
      </c>
      <c r="X186" s="20">
        <f>Table1[[#This Row],[Raw Freshwater Score]]/Table1[[#This Row],[Summed Raw Scores]]</f>
        <v>0.48362235067437381</v>
      </c>
      <c r="Y186" s="20">
        <f>Table1[[#This Row],[Raw Terrestrial Score]]+Table1[[#This Row],[Raw Freshwater Score]]</f>
        <v>519</v>
      </c>
      <c r="Z186" s="18">
        <f>Table1[[#This Row],[Terrestrial % of Summed Score]]*Table1[[#This Row],[Scaled Summed Score]]</f>
        <v>1.1108824799944626E-2</v>
      </c>
      <c r="AA186" s="18">
        <f>Table1[[#This Row],[Freshwater % of Summed Score]]*Table1[[#This Row],[Scaled Summed Score]]</f>
        <v>1.0404160540246645E-2</v>
      </c>
      <c r="AB186" s="18">
        <f>(Table1[[#This Row],[Summed Raw Scores]]-MIN(Table1[Summed Raw Scores]))/(MAX(Table1[Summed Raw Scores])-MIN(Table1[Summed Raw Scores]))</f>
        <v>2.1512985340191269E-2</v>
      </c>
      <c r="AC186" s="2"/>
    </row>
    <row r="187" spans="1:29" x14ac:dyDescent="0.3">
      <c r="A187" s="1" t="s">
        <v>229</v>
      </c>
      <c r="B187" s="1" t="s">
        <v>38</v>
      </c>
      <c r="C187" s="1" t="s">
        <v>33</v>
      </c>
      <c r="D187" s="2">
        <v>49.079444444499998</v>
      </c>
      <c r="E187" s="2">
        <v>-122.483055556</v>
      </c>
      <c r="F187" s="2">
        <v>38.505777818399999</v>
      </c>
      <c r="G187" s="2">
        <v>37</v>
      </c>
      <c r="H187" s="2" t="s">
        <v>23</v>
      </c>
      <c r="I187" s="2">
        <v>307</v>
      </c>
      <c r="J187" s="2">
        <v>104.73</v>
      </c>
      <c r="K187" s="2" t="s">
        <v>23</v>
      </c>
      <c r="L187" s="2">
        <f>600/1000</f>
        <v>0.6</v>
      </c>
      <c r="M187" s="2">
        <v>3.67279</v>
      </c>
      <c r="N187" s="2">
        <f>Table1[[#This Row],[R1 Length (km)]]+Table1[[#This Row],[T1 Length (km)]]</f>
        <v>4.2727899999999996</v>
      </c>
      <c r="O187" s="1">
        <v>69</v>
      </c>
      <c r="P187" s="1" t="s">
        <v>23</v>
      </c>
      <c r="Q187" s="1" t="s">
        <v>23</v>
      </c>
      <c r="R187" s="9" t="s">
        <v>23</v>
      </c>
      <c r="S187" s="9" t="s">
        <v>23</v>
      </c>
      <c r="T187" s="9">
        <v>10</v>
      </c>
      <c r="U187" s="20">
        <v>268</v>
      </c>
      <c r="V187" s="20">
        <f>Table1[[#This Row],[Raw Terrestrial Score]]/Table1[[#This Row],[Summed Raw Scores]]</f>
        <v>0.51637764932562624</v>
      </c>
      <c r="W187" s="20">
        <v>251</v>
      </c>
      <c r="X187" s="20">
        <f>Table1[[#This Row],[Raw Freshwater Score]]/Table1[[#This Row],[Summed Raw Scores]]</f>
        <v>0.48362235067437381</v>
      </c>
      <c r="Y187" s="20">
        <f>Table1[[#This Row],[Raw Terrestrial Score]]+Table1[[#This Row],[Raw Freshwater Score]]</f>
        <v>519</v>
      </c>
      <c r="Z187" s="18">
        <f>Table1[[#This Row],[Terrestrial % of Summed Score]]*Table1[[#This Row],[Scaled Summed Score]]</f>
        <v>1.1108824799944626E-2</v>
      </c>
      <c r="AA187" s="18">
        <f>Table1[[#This Row],[Freshwater % of Summed Score]]*Table1[[#This Row],[Scaled Summed Score]]</f>
        <v>1.0404160540246645E-2</v>
      </c>
      <c r="AB187" s="18">
        <f>(Table1[[#This Row],[Summed Raw Scores]]-MIN(Table1[Summed Raw Scores]))/(MAX(Table1[Summed Raw Scores])-MIN(Table1[Summed Raw Scores]))</f>
        <v>2.1512985340191269E-2</v>
      </c>
      <c r="AC187" s="2"/>
    </row>
    <row r="188" spans="1:29" x14ac:dyDescent="0.3">
      <c r="A188" s="1" t="s">
        <v>56</v>
      </c>
      <c r="B188" s="1" t="s">
        <v>54</v>
      </c>
      <c r="C188" s="1" t="s">
        <v>57</v>
      </c>
      <c r="D188" s="11">
        <v>51.656905572900001</v>
      </c>
      <c r="E188" s="11">
        <v>-118.616383477</v>
      </c>
      <c r="F188" s="2">
        <v>49.27</v>
      </c>
      <c r="G188" s="2" t="s">
        <v>23</v>
      </c>
      <c r="H188" s="2">
        <v>7</v>
      </c>
      <c r="I188" s="2">
        <v>151</v>
      </c>
      <c r="J188" s="2">
        <v>84.37</v>
      </c>
      <c r="K188" s="2" t="s">
        <v>23</v>
      </c>
      <c r="L188" s="11">
        <v>0.14142135620100002</v>
      </c>
      <c r="M188" s="9">
        <v>4.7698486328124998</v>
      </c>
      <c r="N188" s="9">
        <f>Table1[[#This Row],[R1 Length (km)]]+Table1[[#This Row],[T1 Length (km)]]</f>
        <v>4.9112699890134994</v>
      </c>
      <c r="O188" s="3">
        <v>69</v>
      </c>
      <c r="P188" s="3" t="s">
        <v>23</v>
      </c>
      <c r="Q188" s="3" t="s">
        <v>23</v>
      </c>
      <c r="R188" s="9" t="s">
        <v>23</v>
      </c>
      <c r="S188" s="9" t="s">
        <v>23</v>
      </c>
      <c r="T188" s="9">
        <v>5.75</v>
      </c>
      <c r="U188" s="20">
        <v>249</v>
      </c>
      <c r="V188" s="20">
        <f>Table1[[#This Row],[Raw Terrestrial Score]]/Table1[[#This Row],[Summed Raw Scores]]</f>
        <v>0.51446280991735538</v>
      </c>
      <c r="W188" s="20">
        <v>235</v>
      </c>
      <c r="X188" s="20">
        <f>Table1[[#This Row],[Raw Freshwater Score]]/Table1[[#This Row],[Summed Raw Scores]]</f>
        <v>0.48553719008264462</v>
      </c>
      <c r="Y188" s="20">
        <f>Table1[[#This Row],[Raw Terrestrial Score]]+Table1[[#This Row],[Raw Freshwater Score]]</f>
        <v>484</v>
      </c>
      <c r="Z188" s="18">
        <f>Table1[[#This Row],[Terrestrial % of Summed Score]]*Table1[[#This Row],[Scaled Summed Score]]</f>
        <v>1.0300567360946667E-2</v>
      </c>
      <c r="AA188" s="18">
        <f>Table1[[#This Row],[Freshwater % of Summed Score]]*Table1[[#This Row],[Scaled Summed Score]]</f>
        <v>9.7214189952709498E-3</v>
      </c>
      <c r="AB188" s="18">
        <f>(Table1[[#This Row],[Summed Raw Scores]]-MIN(Table1[Summed Raw Scores]))/(MAX(Table1[Summed Raw Scores])-MIN(Table1[Summed Raw Scores]))</f>
        <v>2.0021986356217616E-2</v>
      </c>
      <c r="AC188" s="2"/>
    </row>
    <row r="189" spans="1:29" x14ac:dyDescent="0.3">
      <c r="A189" s="1" t="s">
        <v>39</v>
      </c>
      <c r="B189" s="1" t="s">
        <v>238</v>
      </c>
      <c r="C189" s="1" t="s">
        <v>22</v>
      </c>
      <c r="D189" s="2">
        <v>49.101284</v>
      </c>
      <c r="E189" s="2">
        <v>-123.010378</v>
      </c>
      <c r="F189" s="2">
        <v>25.3</v>
      </c>
      <c r="G189" s="2">
        <v>27</v>
      </c>
      <c r="H189" s="2" t="s">
        <v>23</v>
      </c>
      <c r="I189" s="2">
        <v>222</v>
      </c>
      <c r="J189" s="2">
        <v>92.14</v>
      </c>
      <c r="K189" s="2" t="s">
        <v>23</v>
      </c>
      <c r="L189" s="2">
        <v>0</v>
      </c>
      <c r="M189" s="2">
        <v>2.5970599999999999</v>
      </c>
      <c r="N189" s="2">
        <f>Table1[[#This Row],[R1 Length (km)]]+Table1[[#This Row],[T1 Length (km)]]</f>
        <v>2.5970599999999999</v>
      </c>
      <c r="O189" s="1">
        <v>69</v>
      </c>
      <c r="P189" s="3" t="s">
        <v>23</v>
      </c>
      <c r="Q189" s="3" t="s">
        <v>23</v>
      </c>
      <c r="R189" s="9" t="s">
        <v>23</v>
      </c>
      <c r="S189" s="9" t="s">
        <v>23</v>
      </c>
      <c r="T189" s="9">
        <v>4</v>
      </c>
      <c r="U189" s="20">
        <v>230</v>
      </c>
      <c r="V189" s="20">
        <f>Table1[[#This Row],[Raw Terrestrial Score]]/Table1[[#This Row],[Summed Raw Scores]]</f>
        <v>0.5</v>
      </c>
      <c r="W189" s="20">
        <v>230</v>
      </c>
      <c r="X189" s="20">
        <f>Table1[[#This Row],[Raw Freshwater Score]]/Table1[[#This Row],[Summed Raw Scores]]</f>
        <v>0.5</v>
      </c>
      <c r="Y189" s="20">
        <f>Table1[[#This Row],[Raw Terrestrial Score]]+Table1[[#This Row],[Raw Freshwater Score]]</f>
        <v>460</v>
      </c>
      <c r="Z189" s="18">
        <f>Table1[[#This Row],[Terrestrial % of Summed Score]]*Table1[[#This Row],[Scaled Summed Score]]</f>
        <v>9.4997935264606991E-3</v>
      </c>
      <c r="AA189" s="18">
        <f>Table1[[#This Row],[Freshwater % of Summed Score]]*Table1[[#This Row],[Scaled Summed Score]]</f>
        <v>9.4997935264606991E-3</v>
      </c>
      <c r="AB189" s="18">
        <f>(Table1[[#This Row],[Summed Raw Scores]]-MIN(Table1[Summed Raw Scores]))/(MAX(Table1[Summed Raw Scores])-MIN(Table1[Summed Raw Scores]))</f>
        <v>1.8999587052921398E-2</v>
      </c>
      <c r="AC189" s="2"/>
    </row>
    <row r="190" spans="1:29" x14ac:dyDescent="0.3">
      <c r="A190" s="1" t="s">
        <v>172</v>
      </c>
      <c r="B190" s="1" t="s">
        <v>115</v>
      </c>
      <c r="C190" s="1" t="s">
        <v>28</v>
      </c>
      <c r="D190" s="2">
        <v>55.808584250000003</v>
      </c>
      <c r="E190" s="2">
        <v>-121.38396040000001</v>
      </c>
      <c r="F190" s="2">
        <v>150</v>
      </c>
      <c r="G190" s="1" t="s">
        <v>23</v>
      </c>
      <c r="H190" s="2">
        <v>36</v>
      </c>
      <c r="I190" s="2">
        <v>383.81940000000003</v>
      </c>
      <c r="J190" s="2">
        <v>84.166982229582743</v>
      </c>
      <c r="K190" s="2" t="s">
        <v>23</v>
      </c>
      <c r="L190" s="2">
        <v>0.1</v>
      </c>
      <c r="M190" s="2">
        <v>20</v>
      </c>
      <c r="N190" s="2">
        <f>Table1[[#This Row],[R1 Length (km)]]+Table1[[#This Row],[T1 Length (km)]]</f>
        <v>20.100000000000001</v>
      </c>
      <c r="O190" s="1">
        <v>130</v>
      </c>
      <c r="P190" s="1" t="s">
        <v>116</v>
      </c>
      <c r="Q190" s="1">
        <v>30</v>
      </c>
      <c r="R190" s="9" t="s">
        <v>23</v>
      </c>
      <c r="S190" s="9" t="s">
        <v>23</v>
      </c>
      <c r="T190" s="9">
        <f>((PI()*(45^2))*Table1[[#This Row],[Number of Turbines - WIND]])/10000</f>
        <v>19.085175370557995</v>
      </c>
      <c r="U190" s="20">
        <f>112+89.52011</f>
        <v>201.52010999999999</v>
      </c>
      <c r="V190" s="20">
        <f>Table1[[#This Row],[Raw Terrestrial Score]]/Table1[[#This Row],[Summed Raw Scores]]</f>
        <v>0.55081426961321522</v>
      </c>
      <c r="W190" s="20">
        <f>93.33844+71</f>
        <v>164.33843999999999</v>
      </c>
      <c r="X190" s="20">
        <f>Table1[[#This Row],[Raw Freshwater Score]]/Table1[[#This Row],[Summed Raw Scores]]</f>
        <v>0.44918573038678472</v>
      </c>
      <c r="Y190" s="20">
        <f>Table1[[#This Row],[Raw Terrestrial Score]]+Table1[[#This Row],[Raw Freshwater Score]]</f>
        <v>365.85854999999998</v>
      </c>
      <c r="Z190" s="18">
        <f>Table1[[#This Row],[Terrestrial % of Summed Score]]*Table1[[#This Row],[Scaled Summed Score]]</f>
        <v>8.2562454294667909E-3</v>
      </c>
      <c r="AA190" s="18">
        <f>Table1[[#This Row],[Freshwater % of Summed Score]]*Table1[[#This Row],[Scaled Summed Score]]</f>
        <v>6.7329185863172795E-3</v>
      </c>
      <c r="AB190" s="18">
        <f>(Table1[[#This Row],[Summed Raw Scores]]-MIN(Table1[Summed Raw Scores]))/(MAX(Table1[Summed Raw Scores])-MIN(Table1[Summed Raw Scores]))</f>
        <v>1.4989164015784071E-2</v>
      </c>
      <c r="AC190" s="2"/>
    </row>
    <row r="191" spans="1:29" x14ac:dyDescent="0.3">
      <c r="A191" s="1" t="s">
        <v>143</v>
      </c>
      <c r="B191" s="1" t="s">
        <v>115</v>
      </c>
      <c r="C191" s="1" t="s">
        <v>31</v>
      </c>
      <c r="D191" s="2">
        <v>54.277220999999997</v>
      </c>
      <c r="E191" s="2">
        <v>-130.33815799999999</v>
      </c>
      <c r="F191" s="2">
        <v>27</v>
      </c>
      <c r="G191" s="1" t="s">
        <v>23</v>
      </c>
      <c r="H191" s="2">
        <v>7.1999999999999993</v>
      </c>
      <c r="I191" s="2">
        <v>89.352000000000004</v>
      </c>
      <c r="J191" s="2">
        <v>105.77926262590856</v>
      </c>
      <c r="K191" s="2" t="s">
        <v>23</v>
      </c>
      <c r="L191" s="2">
        <v>6.2</v>
      </c>
      <c r="M191" s="2">
        <v>4.5941127929687502</v>
      </c>
      <c r="N191" s="2">
        <f>Table1[[#This Row],[R1 Length (km)]]+Table1[[#This Row],[T1 Length (km)]]</f>
        <v>10.79411279296875</v>
      </c>
      <c r="O191" s="1">
        <v>69</v>
      </c>
      <c r="P191" s="1" t="s">
        <v>137</v>
      </c>
      <c r="Q191" s="3" t="s">
        <v>23</v>
      </c>
      <c r="R191" s="9" t="s">
        <v>23</v>
      </c>
      <c r="S191" s="9" t="s">
        <v>23</v>
      </c>
      <c r="T191" s="9">
        <f>423200.9/10000</f>
        <v>42.32009</v>
      </c>
      <c r="U191" s="20">
        <v>171</v>
      </c>
      <c r="V191" s="20">
        <f>Table1[[#This Row],[Raw Terrestrial Score]]/Table1[[#This Row],[Summed Raw Scores]]</f>
        <v>0.5104477611940299</v>
      </c>
      <c r="W191" s="20">
        <v>164</v>
      </c>
      <c r="X191" s="20">
        <f>Table1[[#This Row],[Raw Freshwater Score]]/Table1[[#This Row],[Summed Raw Scores]]</f>
        <v>0.48955223880597015</v>
      </c>
      <c r="Y191" s="20">
        <f>Table1[[#This Row],[Raw Terrestrial Score]]+Table1[[#This Row],[Raw Freshwater Score]]</f>
        <v>335</v>
      </c>
      <c r="Z191" s="18">
        <f>Table1[[#This Row],[Terrestrial % of Summed Score]]*Table1[[#This Row],[Scaled Summed Score]]</f>
        <v>6.9801641986607897E-3</v>
      </c>
      <c r="AA191" s="18">
        <f>Table1[[#This Row],[Freshwater % of Summed Score]]*Table1[[#This Row],[Scaled Summed Score]]</f>
        <v>6.6944264829261373E-3</v>
      </c>
      <c r="AB191" s="18">
        <f>(Table1[[#This Row],[Summed Raw Scores]]-MIN(Table1[Summed Raw Scores]))/(MAX(Table1[Summed Raw Scores])-MIN(Table1[Summed Raw Scores]))</f>
        <v>1.3674590681586926E-2</v>
      </c>
      <c r="AC191" s="2"/>
    </row>
    <row r="192" spans="1:29" x14ac:dyDescent="0.3">
      <c r="A192" s="1" t="s">
        <v>236</v>
      </c>
      <c r="B192" s="1" t="s">
        <v>38</v>
      </c>
      <c r="C192" s="1" t="s">
        <v>31</v>
      </c>
      <c r="D192" s="2">
        <v>54.052777778600003</v>
      </c>
      <c r="E192" s="2">
        <v>-128.65</v>
      </c>
      <c r="F192" s="2">
        <v>13.691422297000001</v>
      </c>
      <c r="G192" s="2">
        <v>13</v>
      </c>
      <c r="H192" s="2" t="s">
        <v>23</v>
      </c>
      <c r="I192" s="2">
        <v>109</v>
      </c>
      <c r="J192" s="2">
        <v>133.66</v>
      </c>
      <c r="K192" s="2" t="s">
        <v>23</v>
      </c>
      <c r="L192" s="2">
        <v>0</v>
      </c>
      <c r="M192" s="2">
        <v>4.7698499999999999</v>
      </c>
      <c r="N192" s="2">
        <f>Table1[[#This Row],[R1 Length (km)]]+Table1[[#This Row],[T1 Length (km)]]</f>
        <v>4.7698499999999999</v>
      </c>
      <c r="O192" s="1">
        <v>25</v>
      </c>
      <c r="P192" s="1" t="s">
        <v>23</v>
      </c>
      <c r="Q192" s="1" t="s">
        <v>23</v>
      </c>
      <c r="R192" s="9" t="s">
        <v>23</v>
      </c>
      <c r="S192" s="9" t="s">
        <v>23</v>
      </c>
      <c r="T192" s="9">
        <v>10</v>
      </c>
      <c r="U192" s="20">
        <v>134</v>
      </c>
      <c r="V192" s="20">
        <f>Table1[[#This Row],[Raw Terrestrial Score]]/Table1[[#This Row],[Summed Raw Scores]]</f>
        <v>0.42539682539682538</v>
      </c>
      <c r="W192" s="20">
        <v>181</v>
      </c>
      <c r="X192" s="20">
        <f>Table1[[#This Row],[Raw Freshwater Score]]/Table1[[#This Row],[Summed Raw Scores]]</f>
        <v>0.57460317460317456</v>
      </c>
      <c r="Y192" s="20">
        <f>Table1[[#This Row],[Raw Terrestrial Score]]+Table1[[#This Row],[Raw Freshwater Score]]</f>
        <v>315</v>
      </c>
      <c r="Z192" s="18">
        <f>Table1[[#This Row],[Terrestrial % of Summed Score]]*Table1[[#This Row],[Scaled Summed Score]]</f>
        <v>5.4546896162896413E-3</v>
      </c>
      <c r="AA192" s="18">
        <f>Table1[[#This Row],[Freshwater % of Summed Score]]*Table1[[#This Row],[Scaled Summed Score]]</f>
        <v>7.3679016458837688E-3</v>
      </c>
      <c r="AB192" s="18">
        <f>(Table1[[#This Row],[Summed Raw Scores]]-MIN(Table1[Summed Raw Scores]))/(MAX(Table1[Summed Raw Scores])-MIN(Table1[Summed Raw Scores]))</f>
        <v>1.2822591262173411E-2</v>
      </c>
      <c r="AC192" s="2"/>
    </row>
    <row r="193" spans="1:29" x14ac:dyDescent="0.3">
      <c r="A193" s="1" t="s">
        <v>20</v>
      </c>
      <c r="B193" s="1" t="s">
        <v>21</v>
      </c>
      <c r="C193" s="1" t="s">
        <v>22</v>
      </c>
      <c r="D193" s="11">
        <v>48.494855999999999</v>
      </c>
      <c r="E193" s="11">
        <v>-123.42505199999999</v>
      </c>
      <c r="F193" s="2">
        <v>50</v>
      </c>
      <c r="G193" s="2" t="s">
        <v>23</v>
      </c>
      <c r="H193" s="2">
        <v>40</v>
      </c>
      <c r="I193" s="2" t="s">
        <v>23</v>
      </c>
      <c r="J193" s="2" t="s">
        <v>23</v>
      </c>
      <c r="K193" s="13">
        <v>250.36602238805969</v>
      </c>
      <c r="L193" s="11">
        <v>0</v>
      </c>
      <c r="M193" s="9">
        <v>0.6</v>
      </c>
      <c r="N193" s="9">
        <f>Table1[[#This Row],[R1 Length (km)]]+Table1[[#This Row],[T1 Length (km)]]</f>
        <v>0.6</v>
      </c>
      <c r="O193" s="3">
        <v>69</v>
      </c>
      <c r="P193" s="3" t="s">
        <v>23</v>
      </c>
      <c r="Q193" s="3" t="s">
        <v>23</v>
      </c>
      <c r="R193" s="9" t="s">
        <v>23</v>
      </c>
      <c r="S193" s="9" t="s">
        <v>23</v>
      </c>
      <c r="T193" s="9">
        <v>0.3</v>
      </c>
      <c r="U193" s="20">
        <v>90</v>
      </c>
      <c r="V193" s="20">
        <f>Table1[[#This Row],[Raw Terrestrial Score]]/Table1[[#This Row],[Summed Raw Scores]]</f>
        <v>0.62937062937062938</v>
      </c>
      <c r="W193" s="20">
        <v>53</v>
      </c>
      <c r="X193" s="20">
        <f>Table1[[#This Row],[Raw Freshwater Score]]/Table1[[#This Row],[Summed Raw Scores]]</f>
        <v>0.37062937062937062</v>
      </c>
      <c r="Y193" s="20">
        <f>Table1[[#This Row],[Raw Terrestrial Score]]+Table1[[#This Row],[Raw Freshwater Score]]</f>
        <v>143</v>
      </c>
      <c r="Z193" s="18">
        <f>Table1[[#This Row],[Terrestrial % of Summed Score]]*Table1[[#This Row],[Scaled Summed Score]]</f>
        <v>3.4586409997870338E-3</v>
      </c>
      <c r="AA193" s="18">
        <f>Table1[[#This Row],[Freshwater % of Summed Score]]*Table1[[#This Row],[Scaled Summed Score]]</f>
        <v>2.0367552554301422E-3</v>
      </c>
      <c r="AB193" s="18">
        <f>(Table1[[#This Row],[Summed Raw Scores]]-MIN(Table1[Summed Raw Scores]))/(MAX(Table1[Summed Raw Scores])-MIN(Table1[Summed Raw Scores]))</f>
        <v>5.495396255217176E-3</v>
      </c>
      <c r="AC193" s="2"/>
    </row>
    <row r="194" spans="1:29" x14ac:dyDescent="0.3">
      <c r="A194" s="1" t="s">
        <v>111</v>
      </c>
      <c r="B194" s="1" t="s">
        <v>98</v>
      </c>
      <c r="C194" s="1" t="s">
        <v>33</v>
      </c>
      <c r="D194" s="12">
        <v>49.68</v>
      </c>
      <c r="E194" s="12">
        <v>-121.53</v>
      </c>
      <c r="F194" s="2">
        <v>40.4</v>
      </c>
      <c r="G194" s="2">
        <v>40</v>
      </c>
      <c r="H194" s="2">
        <v>8</v>
      </c>
      <c r="I194" s="13">
        <v>134.80000000000001</v>
      </c>
      <c r="J194" s="13">
        <v>88.061461448598124</v>
      </c>
      <c r="K194" s="2" t="s">
        <v>23</v>
      </c>
      <c r="L194" s="12">
        <v>0</v>
      </c>
      <c r="M194" s="9">
        <v>9.6941125496967455</v>
      </c>
      <c r="N194" s="9">
        <f>Table1[[#This Row],[R1 Length (km)]]+Table1[[#This Row],[T1 Length (km)]]</f>
        <v>9.6941125496967455</v>
      </c>
      <c r="O194" s="3">
        <v>69</v>
      </c>
      <c r="P194" s="3" t="s">
        <v>23</v>
      </c>
      <c r="Q194" s="3" t="s">
        <v>23</v>
      </c>
      <c r="R194" s="9" t="s">
        <v>23</v>
      </c>
      <c r="S194" s="9" t="s">
        <v>23</v>
      </c>
      <c r="T194" s="9">
        <v>9.02</v>
      </c>
      <c r="U194" s="20">
        <v>64</v>
      </c>
      <c r="V194" s="20">
        <f>Table1[[#This Row],[Raw Terrestrial Score]]/Table1[[#This Row],[Summed Raw Scores]]</f>
        <v>0.5161290322580645</v>
      </c>
      <c r="W194" s="20">
        <v>60</v>
      </c>
      <c r="X194" s="20">
        <f>Table1[[#This Row],[Raw Freshwater Score]]/Table1[[#This Row],[Summed Raw Scores]]</f>
        <v>0.4838709677419355</v>
      </c>
      <c r="Y194" s="20">
        <f>Table1[[#This Row],[Raw Terrestrial Score]]+Table1[[#This Row],[Raw Freshwater Score]]</f>
        <v>124</v>
      </c>
      <c r="Z194" s="18">
        <f>Table1[[#This Row],[Terrestrial % of Summed Score]]*Table1[[#This Row],[Scaled Summed Score]]</f>
        <v>2.4185789970448185E-3</v>
      </c>
      <c r="AA194" s="18">
        <f>Table1[[#This Row],[Freshwater % of Summed Score]]*Table1[[#This Row],[Scaled Summed Score]]</f>
        <v>2.2674178097295177E-3</v>
      </c>
      <c r="AB194" s="18">
        <f>(Table1[[#This Row],[Summed Raw Scores]]-MIN(Table1[Summed Raw Scores]))/(MAX(Table1[Summed Raw Scores])-MIN(Table1[Summed Raw Scores]))</f>
        <v>4.6859968067743361E-3</v>
      </c>
      <c r="AC194" s="2"/>
    </row>
    <row r="195" spans="1:29" x14ac:dyDescent="0.3">
      <c r="A195" s="1" t="s">
        <v>100</v>
      </c>
      <c r="B195" s="1" t="s">
        <v>98</v>
      </c>
      <c r="C195" s="1" t="s">
        <v>22</v>
      </c>
      <c r="D195" s="12">
        <v>48.88</v>
      </c>
      <c r="E195" s="12">
        <v>-123.8</v>
      </c>
      <c r="F195" s="2">
        <v>40.1</v>
      </c>
      <c r="G195" s="2">
        <v>40</v>
      </c>
      <c r="H195" s="2">
        <v>21</v>
      </c>
      <c r="I195" s="13">
        <v>113.7</v>
      </c>
      <c r="J195" s="13">
        <v>91.427448071216631</v>
      </c>
      <c r="K195" s="2" t="s">
        <v>23</v>
      </c>
      <c r="L195" s="2">
        <v>0.3</v>
      </c>
      <c r="M195" s="2">
        <v>8</v>
      </c>
      <c r="N195" s="2">
        <f>Table1[[#This Row],[R1 Length (km)]]+Table1[[#This Row],[T1 Length (km)]]</f>
        <v>8.3000000000000007</v>
      </c>
      <c r="O195" s="1">
        <v>69</v>
      </c>
      <c r="P195" s="3" t="s">
        <v>23</v>
      </c>
      <c r="Q195" s="3" t="s">
        <v>23</v>
      </c>
      <c r="R195" s="9" t="s">
        <v>23</v>
      </c>
      <c r="S195" s="9" t="s">
        <v>23</v>
      </c>
      <c r="T195" s="9">
        <v>7.99</v>
      </c>
      <c r="U195" s="20">
        <v>33</v>
      </c>
      <c r="V195" s="20">
        <f>Table1[[#This Row],[Raw Terrestrial Score]]/Table1[[#This Row],[Summed Raw Scores]]</f>
        <v>0.3235294117647059</v>
      </c>
      <c r="W195" s="20">
        <v>69</v>
      </c>
      <c r="X195" s="20">
        <f>Table1[[#This Row],[Raw Freshwater Score]]/Table1[[#This Row],[Summed Raw Scores]]</f>
        <v>0.67647058823529416</v>
      </c>
      <c r="Y195" s="20">
        <f>Table1[[#This Row],[Raw Terrestrial Score]]+Table1[[#This Row],[Raw Freshwater Score]]</f>
        <v>102</v>
      </c>
      <c r="Z195" s="18">
        <f>Table1[[#This Row],[Terrestrial % of Summed Score]]*Table1[[#This Row],[Scaled Summed Score]]</f>
        <v>1.2128462323415929E-3</v>
      </c>
      <c r="AA195" s="18">
        <f>Table1[[#This Row],[Freshwater % of Summed Score]]*Table1[[#This Row],[Scaled Summed Score]]</f>
        <v>2.5359512130778759E-3</v>
      </c>
      <c r="AB195" s="18">
        <f>(Table1[[#This Row],[Summed Raw Scores]]-MIN(Table1[Summed Raw Scores]))/(MAX(Table1[Summed Raw Scores])-MIN(Table1[Summed Raw Scores]))</f>
        <v>3.7487974454194686E-3</v>
      </c>
      <c r="AC195" s="2"/>
    </row>
    <row r="196" spans="1:29" x14ac:dyDescent="0.3">
      <c r="A196" s="1" t="s">
        <v>234</v>
      </c>
      <c r="B196" s="1" t="s">
        <v>38</v>
      </c>
      <c r="C196" s="1" t="s">
        <v>28</v>
      </c>
      <c r="D196" s="2">
        <v>55.700000000499998</v>
      </c>
      <c r="E196" s="2">
        <v>-121.633333333</v>
      </c>
      <c r="F196" s="2">
        <v>9.2094357002400002</v>
      </c>
      <c r="G196" s="2">
        <v>9</v>
      </c>
      <c r="H196" s="2" t="s">
        <v>23</v>
      </c>
      <c r="I196" s="2">
        <v>73</v>
      </c>
      <c r="J196" s="2">
        <v>213.94</v>
      </c>
      <c r="K196" s="2" t="s">
        <v>23</v>
      </c>
      <c r="L196" s="2">
        <v>0</v>
      </c>
      <c r="M196" s="2">
        <v>0.42426399999999997</v>
      </c>
      <c r="N196" s="2">
        <f>Table1[[#This Row],[R1 Length (km)]]+Table1[[#This Row],[T1 Length (km)]]</f>
        <v>0.42426399999999997</v>
      </c>
      <c r="O196" s="1">
        <v>25</v>
      </c>
      <c r="P196" s="1" t="s">
        <v>23</v>
      </c>
      <c r="Q196" s="1" t="s">
        <v>23</v>
      </c>
      <c r="R196" s="9" t="s">
        <v>23</v>
      </c>
      <c r="S196" s="9" t="s">
        <v>23</v>
      </c>
      <c r="T196" s="9">
        <v>10</v>
      </c>
      <c r="U196" s="20">
        <v>7</v>
      </c>
      <c r="V196" s="20">
        <f>Table1[[#This Row],[Raw Terrestrial Score]]/Table1[[#This Row],[Summed Raw Scores]]</f>
        <v>0.5</v>
      </c>
      <c r="W196" s="20">
        <v>7</v>
      </c>
      <c r="X196" s="20">
        <f>Table1[[#This Row],[Raw Freshwater Score]]/Table1[[#This Row],[Summed Raw Scores]]</f>
        <v>0.5</v>
      </c>
      <c r="Y196" s="20">
        <f>Table1[[#This Row],[Raw Terrestrial Score]]+Table1[[#This Row],[Raw Freshwater Score]]</f>
        <v>14</v>
      </c>
      <c r="Z196" s="18">
        <f>Table1[[#This Row],[Terrestrial % of Summed Score]]*Table1[[#This Row],[Scaled Summed Score]]</f>
        <v>0</v>
      </c>
      <c r="AA196" s="18">
        <f>Table1[[#This Row],[Freshwater % of Summed Score]]*Table1[[#This Row],[Scaled Summed Score]]</f>
        <v>0</v>
      </c>
      <c r="AB196" s="18">
        <f>(Table1[[#This Row],[Summed Raw Scores]]-MIN(Table1[Summed Raw Scores]))/(MAX(Table1[Summed Raw Scores])-MIN(Table1[Summed Raw Scores]))</f>
        <v>0</v>
      </c>
      <c r="AC196" s="2"/>
    </row>
    <row r="197" spans="1:29" x14ac:dyDescent="0.3">
      <c r="A197" s="1" t="s">
        <v>235</v>
      </c>
      <c r="B197" s="1" t="s">
        <v>38</v>
      </c>
      <c r="C197" s="1" t="s">
        <v>28</v>
      </c>
      <c r="D197" s="2">
        <v>55.700000000499998</v>
      </c>
      <c r="E197" s="2">
        <v>-121.633333333</v>
      </c>
      <c r="F197" s="2">
        <v>0.92358257850000003</v>
      </c>
      <c r="G197" s="2">
        <v>1</v>
      </c>
      <c r="H197" s="2" t="s">
        <v>23</v>
      </c>
      <c r="I197" s="2">
        <v>7</v>
      </c>
      <c r="J197" s="2">
        <v>213.94</v>
      </c>
      <c r="K197" s="2" t="s">
        <v>23</v>
      </c>
      <c r="L197" s="2">
        <v>0</v>
      </c>
      <c r="M197" s="2">
        <v>0.42426399999999997</v>
      </c>
      <c r="N197" s="2">
        <f>Table1[[#This Row],[R1 Length (km)]]+Table1[[#This Row],[T1 Length (km)]]</f>
        <v>0.42426399999999997</v>
      </c>
      <c r="O197" s="1">
        <v>25</v>
      </c>
      <c r="P197" s="1" t="s">
        <v>23</v>
      </c>
      <c r="Q197" s="1" t="s">
        <v>23</v>
      </c>
      <c r="R197" s="9" t="s">
        <v>23</v>
      </c>
      <c r="S197" s="9" t="s">
        <v>23</v>
      </c>
      <c r="T197" s="9">
        <v>10</v>
      </c>
      <c r="U197" s="20">
        <v>7</v>
      </c>
      <c r="V197" s="20">
        <f>Table1[[#This Row],[Raw Terrestrial Score]]/Table1[[#This Row],[Summed Raw Scores]]</f>
        <v>0.5</v>
      </c>
      <c r="W197" s="20">
        <v>7</v>
      </c>
      <c r="X197" s="20">
        <f>Table1[[#This Row],[Raw Freshwater Score]]/Table1[[#This Row],[Summed Raw Scores]]</f>
        <v>0.5</v>
      </c>
      <c r="Y197" s="20">
        <f>Table1[[#This Row],[Raw Terrestrial Score]]+Table1[[#This Row],[Raw Freshwater Score]]</f>
        <v>14</v>
      </c>
      <c r="Z197" s="18">
        <f>Table1[[#This Row],[Terrestrial % of Summed Score]]*Table1[[#This Row],[Scaled Summed Score]]</f>
        <v>0</v>
      </c>
      <c r="AA197" s="18">
        <f>Table1[[#This Row],[Freshwater % of Summed Score]]*Table1[[#This Row],[Scaled Summed Score]]</f>
        <v>0</v>
      </c>
      <c r="AB197" s="18">
        <f>(Table1[[#This Row],[Summed Raw Scores]]-MIN(Table1[Summed Raw Scores]))/(MAX(Table1[Summed Raw Scores])-MIN(Table1[Summed Raw Scores]))</f>
        <v>0</v>
      </c>
      <c r="AC197" s="2"/>
    </row>
  </sheetData>
  <conditionalFormatting sqref="D2:T62 AC2:AC197 Q48:Q79 D63:Q79 R63:T197 D80:O85 Q81:Q92 D86:Q91 D92:O94 D95:Q197 U2:AA197">
    <cfRule type="containsBlanks" dxfId="3" priority="7">
      <formula>LEN(TRIM(D2))=0</formula>
    </cfRule>
  </conditionalFormatting>
  <conditionalFormatting sqref="AC2:AC197 D2:AA197">
    <cfRule type="containsText" dxfId="2" priority="5" operator="containsText" text="NA">
      <formula>NOT(ISERROR(SEARCH("NA",D2)))</formula>
    </cfRule>
  </conditionalFormatting>
  <conditionalFormatting sqref="P1:Q1048576">
    <cfRule type="beginsWith" dxfId="1" priority="3" operator="beginsWith" text="R">
      <formula>LEFT(P1,LEN("R"))="R"</formula>
    </cfRule>
  </conditionalFormatting>
  <conditionalFormatting sqref="P2:Q1048576">
    <cfRule type="beginsWith" dxfId="0" priority="4" operator="beginsWith" text="P">
      <formula>LEFT(P2,LEN("P"))="P"</formula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6486E-E8AB-44F9-B1DB-0F1A6F538A9D}">
  <dimension ref="A1"/>
  <sheetViews>
    <sheetView topLeftCell="A52" workbookViewId="0">
      <selection activeCell="F69" sqref="F69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01979-A98C-4042-8D91-DABA92FDCAD9}">
  <dimension ref="A1"/>
  <sheetViews>
    <sheetView tabSelected="1" workbookViewId="0">
      <selection activeCell="I77" sqref="I77"/>
    </sheetView>
  </sheetViews>
  <sheetFormatPr defaultRowHeight="14.4" x14ac:dyDescent="0.3"/>
  <sheetData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valerie k.</dc:creator>
  <cp:lastModifiedBy>valerie k.</cp:lastModifiedBy>
  <dcterms:created xsi:type="dcterms:W3CDTF">2015-06-05T18:17:20Z</dcterms:created>
  <dcterms:modified xsi:type="dcterms:W3CDTF">2024-11-28T19:59:11Z</dcterms:modified>
</cp:coreProperties>
</file>