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Github\BC Hydro Project\BC Hydro Projects\"/>
    </mc:Choice>
  </mc:AlternateContent>
  <xr:revisionPtr revIDLastSave="0" documentId="13_ncr:1_{54AF2844-CFE8-4F84-B6EC-D488F8096B90}" xr6:coauthVersionLast="47" xr6:coauthVersionMax="47" xr10:uidLastSave="{00000000-0000-0000-0000-000000000000}"/>
  <bookViews>
    <workbookView xWindow="8568" yWindow="0" windowWidth="14568" windowHeight="12336" xr2:uid="{00000000-000D-0000-FFFF-FFFF00000000}"/>
  </bookViews>
  <sheets>
    <sheet name="All proje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33" i="1" l="1"/>
  <c r="O332" i="1"/>
  <c r="O331" i="1"/>
  <c r="O330" i="1"/>
  <c r="O329" i="1"/>
  <c r="O328" i="1"/>
  <c r="O327" i="1"/>
  <c r="O2" i="1"/>
  <c r="Q2" i="1" s="1"/>
  <c r="S2" i="1" s="1"/>
  <c r="O3" i="1"/>
  <c r="O5" i="1"/>
  <c r="Q5" i="1" s="1"/>
  <c r="O6" i="1"/>
  <c r="O7" i="1"/>
  <c r="Q7" i="1" s="1"/>
  <c r="O8" i="1"/>
  <c r="O9" i="1"/>
  <c r="Q9" i="1" s="1"/>
  <c r="O10" i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2" i="1"/>
  <c r="Q22" i="1" s="1"/>
  <c r="S22" i="1" s="1"/>
  <c r="O23" i="1"/>
  <c r="O24" i="1"/>
  <c r="O25" i="1"/>
  <c r="Q25" i="1" s="1"/>
  <c r="S25" i="1" s="1"/>
  <c r="O27" i="1"/>
  <c r="Q27" i="1" s="1"/>
  <c r="S27" i="1" s="1"/>
  <c r="O28" i="1"/>
  <c r="O29" i="1"/>
  <c r="Q29" i="1" s="1"/>
  <c r="S29" i="1" s="1"/>
  <c r="O30" i="1"/>
  <c r="Q30" i="1" s="1"/>
  <c r="S30" i="1" s="1"/>
  <c r="O31" i="1"/>
  <c r="Q31" i="1" s="1"/>
  <c r="S31" i="1" s="1"/>
  <c r="O32" i="1"/>
  <c r="O33" i="1"/>
  <c r="Q33" i="1" s="1"/>
  <c r="S33" i="1" s="1"/>
  <c r="O34" i="1"/>
  <c r="O35" i="1"/>
  <c r="Q35" i="1" s="1"/>
  <c r="S35" i="1" s="1"/>
  <c r="O36" i="1"/>
  <c r="Q36" i="1" s="1"/>
  <c r="S36" i="1" s="1"/>
  <c r="O37" i="1"/>
  <c r="O38" i="1"/>
  <c r="Q38" i="1" s="1"/>
  <c r="S38" i="1" s="1"/>
  <c r="O39" i="1"/>
  <c r="Q39" i="1" s="1"/>
  <c r="S39" i="1" s="1"/>
  <c r="O40" i="1"/>
  <c r="Q40" i="1" s="1"/>
  <c r="S40" i="1" s="1"/>
  <c r="O41" i="1"/>
  <c r="O42" i="1"/>
  <c r="Q42" i="1" s="1"/>
  <c r="S42" i="1" s="1"/>
  <c r="O43" i="1"/>
  <c r="O44" i="1"/>
  <c r="Q44" i="1" s="1"/>
  <c r="O45" i="1"/>
  <c r="Q45" i="1" s="1"/>
  <c r="O46" i="1"/>
  <c r="Q46" i="1" s="1"/>
  <c r="O47" i="1"/>
  <c r="Q47" i="1" s="1"/>
  <c r="O48" i="1"/>
  <c r="O49" i="1"/>
  <c r="Q49" i="1" s="1"/>
  <c r="O50" i="1"/>
  <c r="Q50" i="1" s="1"/>
  <c r="O51" i="1"/>
  <c r="Q51" i="1" s="1"/>
  <c r="S51" i="1" s="1"/>
  <c r="O52" i="1"/>
  <c r="Q52" i="1" s="1"/>
  <c r="S52" i="1" s="1"/>
  <c r="O53" i="1"/>
  <c r="Q53" i="1" s="1"/>
  <c r="S53" i="1" s="1"/>
  <c r="O54" i="1"/>
  <c r="Q54" i="1" s="1"/>
  <c r="O55" i="1"/>
  <c r="Q55" i="1" s="1"/>
  <c r="S55" i="1" s="1"/>
  <c r="O56" i="1"/>
  <c r="O57" i="1"/>
  <c r="Q57" i="1" s="1"/>
  <c r="O58" i="1"/>
  <c r="Q58" i="1" s="1"/>
  <c r="O59" i="1"/>
  <c r="Q59" i="1" s="1"/>
  <c r="O60" i="1"/>
  <c r="Q60" i="1" s="1"/>
  <c r="S60" i="1" s="1"/>
  <c r="O61" i="1"/>
  <c r="Q61" i="1" s="1"/>
  <c r="O62" i="1"/>
  <c r="Q62" i="1" s="1"/>
  <c r="O63" i="1"/>
  <c r="Q63" i="1" s="1"/>
  <c r="S63" i="1" s="1"/>
  <c r="O64" i="1"/>
  <c r="Q64" i="1" s="1"/>
  <c r="S64" i="1" s="1"/>
  <c r="O65" i="1"/>
  <c r="Q65" i="1" s="1"/>
  <c r="S65" i="1" s="1"/>
  <c r="O66" i="1"/>
  <c r="Q66" i="1" s="1"/>
  <c r="S66" i="1" s="1"/>
  <c r="O67" i="1"/>
  <c r="Q67" i="1" s="1"/>
  <c r="S67" i="1" s="1"/>
  <c r="O68" i="1"/>
  <c r="O69" i="1"/>
  <c r="Q69" i="1" s="1"/>
  <c r="S69" i="1" s="1"/>
  <c r="O70" i="1"/>
  <c r="Q70" i="1" s="1"/>
  <c r="S70" i="1" s="1"/>
  <c r="O71" i="1"/>
  <c r="Q71" i="1" s="1"/>
  <c r="S71" i="1" s="1"/>
  <c r="O72" i="1"/>
  <c r="Q72" i="1" s="1"/>
  <c r="S72" i="1" s="1"/>
  <c r="O73" i="1"/>
  <c r="Q73" i="1" s="1"/>
  <c r="S73" i="1" s="1"/>
  <c r="O74" i="1"/>
  <c r="Q74" i="1" s="1"/>
  <c r="S74" i="1" s="1"/>
  <c r="O75" i="1"/>
  <c r="Q75" i="1" s="1"/>
  <c r="S75" i="1" s="1"/>
  <c r="O76" i="1"/>
  <c r="Q76" i="1" s="1"/>
  <c r="O77" i="1"/>
  <c r="Q77" i="1" s="1"/>
  <c r="O78" i="1"/>
  <c r="Q78" i="1" s="1"/>
  <c r="O79" i="1"/>
  <c r="Q79" i="1" s="1"/>
  <c r="S79" i="1" s="1"/>
  <c r="O80" i="1"/>
  <c r="Q80" i="1" s="1"/>
  <c r="S80" i="1" s="1"/>
  <c r="O81" i="1"/>
  <c r="Q81" i="1" s="1"/>
  <c r="S81" i="1" s="1"/>
  <c r="O82" i="1"/>
  <c r="Q82" i="1" s="1"/>
  <c r="S82" i="1" s="1"/>
  <c r="O83" i="1"/>
  <c r="Q83" i="1" s="1"/>
  <c r="O84" i="1"/>
  <c r="Q84" i="1" s="1"/>
  <c r="O85" i="1"/>
  <c r="Q85" i="1" s="1"/>
  <c r="S85" i="1" s="1"/>
  <c r="O86" i="1"/>
  <c r="Q86" i="1" s="1"/>
  <c r="S86" i="1" s="1"/>
  <c r="O87" i="1"/>
  <c r="Q87" i="1" s="1"/>
  <c r="S87" i="1" s="1"/>
  <c r="O88" i="1"/>
  <c r="Q88" i="1" s="1"/>
  <c r="S88" i="1" s="1"/>
  <c r="O89" i="1"/>
  <c r="Q89" i="1" s="1"/>
  <c r="S89" i="1" s="1"/>
  <c r="O90" i="1"/>
  <c r="Q90" i="1" s="1"/>
  <c r="S90" i="1" s="1"/>
  <c r="O91" i="1"/>
  <c r="Q91" i="1" s="1"/>
  <c r="S91" i="1" s="1"/>
  <c r="O92" i="1"/>
  <c r="Q92" i="1" s="1"/>
  <c r="S92" i="1" s="1"/>
  <c r="O93" i="1"/>
  <c r="Q93" i="1" s="1"/>
  <c r="O94" i="1"/>
  <c r="Q94" i="1" s="1"/>
  <c r="S94" i="1" s="1"/>
  <c r="O95" i="1"/>
  <c r="Q95" i="1" s="1"/>
  <c r="O96" i="1"/>
  <c r="Q96" i="1" s="1"/>
  <c r="S96" i="1" s="1"/>
  <c r="O97" i="1"/>
  <c r="Q97" i="1" s="1"/>
  <c r="S97" i="1" s="1"/>
  <c r="O98" i="1"/>
  <c r="Q98" i="1" s="1"/>
  <c r="S98" i="1" s="1"/>
  <c r="O99" i="1"/>
  <c r="O100" i="1"/>
  <c r="Q100" i="1" s="1"/>
  <c r="S100" i="1" s="1"/>
  <c r="O101" i="1"/>
  <c r="Q101" i="1" s="1"/>
  <c r="S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S116" i="1" s="1"/>
  <c r="O117" i="1"/>
  <c r="Q117" i="1" s="1"/>
  <c r="S117" i="1" s="1"/>
  <c r="O118" i="1"/>
  <c r="Q118" i="1" s="1"/>
  <c r="S118" i="1" s="1"/>
  <c r="O119" i="1"/>
  <c r="Q119" i="1" s="1"/>
  <c r="O120" i="1"/>
  <c r="O121" i="1"/>
  <c r="Q121" i="1" s="1"/>
  <c r="S121" i="1" s="1"/>
  <c r="O122" i="1"/>
  <c r="O123" i="1"/>
  <c r="Q123" i="1" s="1"/>
  <c r="S123" i="1" s="1"/>
  <c r="O124" i="1"/>
  <c r="Q124" i="1" s="1"/>
  <c r="O125" i="1"/>
  <c r="O126" i="1"/>
  <c r="Q126" i="1" s="1"/>
  <c r="O127" i="1"/>
  <c r="Q127" i="1" s="1"/>
  <c r="S127" i="1" s="1"/>
  <c r="O128" i="1"/>
  <c r="O129" i="1"/>
  <c r="Q129" i="1" s="1"/>
  <c r="S129" i="1" s="1"/>
  <c r="O130" i="1"/>
  <c r="Q130" i="1" s="1"/>
  <c r="S130" i="1" s="1"/>
  <c r="O131" i="1"/>
  <c r="Q131" i="1" s="1"/>
  <c r="S131" i="1" s="1"/>
  <c r="O132" i="1"/>
  <c r="O133" i="1"/>
  <c r="Q133" i="1" s="1"/>
  <c r="S133" i="1" s="1"/>
  <c r="O134" i="1"/>
  <c r="Q134" i="1" s="1"/>
  <c r="S134" i="1" s="1"/>
  <c r="O135" i="1"/>
  <c r="Q135" i="1" s="1"/>
  <c r="S135" i="1" s="1"/>
  <c r="O136" i="1"/>
  <c r="O137" i="1"/>
  <c r="Q137" i="1" s="1"/>
  <c r="S137" i="1" s="1"/>
  <c r="O138" i="1"/>
  <c r="Q138" i="1" s="1"/>
  <c r="S138" i="1" s="1"/>
  <c r="O139" i="1"/>
  <c r="Q139" i="1" s="1"/>
  <c r="S139" i="1" s="1"/>
  <c r="O140" i="1"/>
  <c r="Q140" i="1" s="1"/>
  <c r="S140" i="1" s="1"/>
  <c r="O141" i="1"/>
  <c r="Q141" i="1" s="1"/>
  <c r="S141" i="1" s="1"/>
  <c r="O142" i="1"/>
  <c r="Q142" i="1" s="1"/>
  <c r="S142" i="1" s="1"/>
  <c r="O143" i="1"/>
  <c r="Q143" i="1" s="1"/>
  <c r="S143" i="1" s="1"/>
  <c r="O144" i="1"/>
  <c r="Q144" i="1" s="1"/>
  <c r="S144" i="1" s="1"/>
  <c r="O145" i="1"/>
  <c r="Q145" i="1" s="1"/>
  <c r="S145" i="1" s="1"/>
  <c r="O146" i="1"/>
  <c r="Q146" i="1" s="1"/>
  <c r="S146" i="1" s="1"/>
  <c r="O147" i="1"/>
  <c r="O148" i="1"/>
  <c r="O149" i="1"/>
  <c r="Q149" i="1" s="1"/>
  <c r="S149" i="1" s="1"/>
  <c r="O150" i="1"/>
  <c r="Q150" i="1" s="1"/>
  <c r="S150" i="1" s="1"/>
  <c r="O151" i="1"/>
  <c r="Q151" i="1" s="1"/>
  <c r="S151" i="1" s="1"/>
  <c r="O152" i="1"/>
  <c r="Q152" i="1" s="1"/>
  <c r="S152" i="1" s="1"/>
  <c r="O153" i="1"/>
  <c r="Q153" i="1" s="1"/>
  <c r="S153" i="1" s="1"/>
  <c r="O154" i="1"/>
  <c r="Q154" i="1" s="1"/>
  <c r="S154" i="1" s="1"/>
  <c r="O155" i="1"/>
  <c r="Q155" i="1" s="1"/>
  <c r="S155" i="1" s="1"/>
  <c r="O156" i="1"/>
  <c r="Q156" i="1" s="1"/>
  <c r="S156" i="1" s="1"/>
  <c r="O157" i="1"/>
  <c r="Q157" i="1" s="1"/>
  <c r="S157" i="1" s="1"/>
  <c r="O158" i="1"/>
  <c r="Q158" i="1" s="1"/>
  <c r="S158" i="1" s="1"/>
  <c r="O159" i="1"/>
  <c r="Q159" i="1" s="1"/>
  <c r="S159" i="1" s="1"/>
  <c r="O160" i="1"/>
  <c r="Q160" i="1" s="1"/>
  <c r="S160" i="1" s="1"/>
  <c r="O161" i="1"/>
  <c r="Q161" i="1" s="1"/>
  <c r="S161" i="1" s="1"/>
  <c r="O162" i="1"/>
  <c r="Q162" i="1" s="1"/>
  <c r="S162" i="1" s="1"/>
  <c r="O163" i="1"/>
  <c r="Q163" i="1" s="1"/>
  <c r="S163" i="1" s="1"/>
  <c r="O164" i="1"/>
  <c r="Q164" i="1" s="1"/>
  <c r="S164" i="1" s="1"/>
  <c r="O165" i="1"/>
  <c r="Q165" i="1" s="1"/>
  <c r="S165" i="1" s="1"/>
  <c r="O166" i="1"/>
  <c r="Q166" i="1" s="1"/>
  <c r="S166" i="1" s="1"/>
  <c r="O167" i="1"/>
  <c r="Q167" i="1" s="1"/>
  <c r="S167" i="1" s="1"/>
  <c r="O168" i="1"/>
  <c r="Q168" i="1" s="1"/>
  <c r="S168" i="1" s="1"/>
  <c r="O169" i="1"/>
  <c r="Q169" i="1" s="1"/>
  <c r="S169" i="1" s="1"/>
  <c r="O170" i="1"/>
  <c r="Q170" i="1" s="1"/>
  <c r="S170" i="1" s="1"/>
  <c r="O171" i="1"/>
  <c r="Q171" i="1" s="1"/>
  <c r="S171" i="1" s="1"/>
  <c r="O172" i="1"/>
  <c r="Q172" i="1" s="1"/>
  <c r="S172" i="1" s="1"/>
  <c r="O173" i="1"/>
  <c r="Q173" i="1" s="1"/>
  <c r="S173" i="1" s="1"/>
  <c r="O174" i="1"/>
  <c r="Q174" i="1" s="1"/>
  <c r="S174" i="1" s="1"/>
  <c r="O175" i="1"/>
  <c r="Q175" i="1" s="1"/>
  <c r="S175" i="1" s="1"/>
  <c r="O176" i="1"/>
  <c r="Q176" i="1" s="1"/>
  <c r="S176" i="1" s="1"/>
  <c r="O177" i="1"/>
  <c r="Q177" i="1" s="1"/>
  <c r="S177" i="1" s="1"/>
  <c r="O178" i="1"/>
  <c r="Q178" i="1" s="1"/>
  <c r="S178" i="1" s="1"/>
  <c r="O179" i="1"/>
  <c r="Q179" i="1" s="1"/>
  <c r="S179" i="1" s="1"/>
  <c r="O180" i="1"/>
  <c r="Q180" i="1" s="1"/>
  <c r="S180" i="1" s="1"/>
  <c r="O181" i="1"/>
  <c r="Q181" i="1" s="1"/>
  <c r="S181" i="1" s="1"/>
  <c r="O182" i="1"/>
  <c r="Q182" i="1" s="1"/>
  <c r="S182" i="1" s="1"/>
  <c r="O183" i="1"/>
  <c r="Q183" i="1" s="1"/>
  <c r="S183" i="1" s="1"/>
  <c r="O184" i="1"/>
  <c r="Q184" i="1" s="1"/>
  <c r="S184" i="1" s="1"/>
  <c r="O185" i="1"/>
  <c r="Q185" i="1" s="1"/>
  <c r="S185" i="1" s="1"/>
  <c r="O186" i="1"/>
  <c r="Q186" i="1" s="1"/>
  <c r="S186" i="1" s="1"/>
  <c r="O187" i="1"/>
  <c r="Q187" i="1" s="1"/>
  <c r="S187" i="1" s="1"/>
  <c r="O188" i="1"/>
  <c r="Q188" i="1" s="1"/>
  <c r="S188" i="1" s="1"/>
  <c r="O189" i="1"/>
  <c r="Q189" i="1" s="1"/>
  <c r="S189" i="1" s="1"/>
  <c r="O190" i="1"/>
  <c r="Q190" i="1" s="1"/>
  <c r="S190" i="1" s="1"/>
  <c r="O191" i="1"/>
  <c r="Q191" i="1" s="1"/>
  <c r="S191" i="1" s="1"/>
  <c r="O192" i="1"/>
  <c r="O193" i="1"/>
  <c r="Q193" i="1" s="1"/>
  <c r="S193" i="1" s="1"/>
  <c r="O194" i="1"/>
  <c r="O195" i="1"/>
  <c r="Q195" i="1" s="1"/>
  <c r="S195" i="1" s="1"/>
  <c r="O196" i="1"/>
  <c r="Q196" i="1" s="1"/>
  <c r="S196" i="1" s="1"/>
  <c r="O197" i="1"/>
  <c r="Q197" i="1" s="1"/>
  <c r="S197" i="1" s="1"/>
  <c r="O198" i="1"/>
  <c r="Q198" i="1" s="1"/>
  <c r="S198" i="1" s="1"/>
  <c r="O199" i="1"/>
  <c r="Q199" i="1" s="1"/>
  <c r="S199" i="1" s="1"/>
  <c r="O200" i="1"/>
  <c r="Q200" i="1" s="1"/>
  <c r="S200" i="1" s="1"/>
  <c r="O201" i="1"/>
  <c r="O202" i="1"/>
  <c r="Q202" i="1" s="1"/>
  <c r="S202" i="1" s="1"/>
  <c r="O203" i="1"/>
  <c r="Q203" i="1" s="1"/>
  <c r="S203" i="1" s="1"/>
  <c r="O204" i="1"/>
  <c r="Q204" i="1" s="1"/>
  <c r="S204" i="1" s="1"/>
  <c r="O205" i="1"/>
  <c r="Q205" i="1" s="1"/>
  <c r="S205" i="1" s="1"/>
  <c r="O206" i="1"/>
  <c r="Q206" i="1" s="1"/>
  <c r="S206" i="1" s="1"/>
  <c r="O207" i="1"/>
  <c r="Q207" i="1" s="1"/>
  <c r="S207" i="1" s="1"/>
  <c r="O208" i="1"/>
  <c r="Q208" i="1" s="1"/>
  <c r="S208" i="1" s="1"/>
  <c r="O209" i="1"/>
  <c r="Q209" i="1" s="1"/>
  <c r="S209" i="1" s="1"/>
  <c r="O210" i="1"/>
  <c r="Q210" i="1" s="1"/>
  <c r="S210" i="1" s="1"/>
  <c r="O211" i="1"/>
  <c r="Q211" i="1" s="1"/>
  <c r="S211" i="1" s="1"/>
  <c r="O212" i="1"/>
  <c r="Q212" i="1" s="1"/>
  <c r="S212" i="1" s="1"/>
  <c r="O213" i="1"/>
  <c r="Q213" i="1" s="1"/>
  <c r="S213" i="1" s="1"/>
  <c r="O214" i="1"/>
  <c r="Q214" i="1" s="1"/>
  <c r="S214" i="1" s="1"/>
  <c r="O215" i="1"/>
  <c r="Q215" i="1" s="1"/>
  <c r="S215" i="1" s="1"/>
  <c r="O216" i="1"/>
  <c r="Q216" i="1" s="1"/>
  <c r="S216" i="1" s="1"/>
  <c r="O217" i="1"/>
  <c r="Q217" i="1" s="1"/>
  <c r="S217" i="1" s="1"/>
  <c r="O218" i="1"/>
  <c r="Q218" i="1" s="1"/>
  <c r="S218" i="1" s="1"/>
  <c r="O219" i="1"/>
  <c r="Q219" i="1" s="1"/>
  <c r="S219" i="1" s="1"/>
  <c r="O220" i="1"/>
  <c r="Q220" i="1" s="1"/>
  <c r="S220" i="1" s="1"/>
  <c r="O221" i="1"/>
  <c r="Q221" i="1" s="1"/>
  <c r="S221" i="1" s="1"/>
  <c r="O222" i="1"/>
  <c r="Q222" i="1" s="1"/>
  <c r="S222" i="1" s="1"/>
  <c r="O223" i="1"/>
  <c r="Q223" i="1" s="1"/>
  <c r="S223" i="1" s="1"/>
  <c r="O224" i="1"/>
  <c r="Q224" i="1" s="1"/>
  <c r="S224" i="1" s="1"/>
  <c r="O225" i="1"/>
  <c r="Q225" i="1" s="1"/>
  <c r="S225" i="1" s="1"/>
  <c r="O226" i="1"/>
  <c r="Q226" i="1" s="1"/>
  <c r="S226" i="1" s="1"/>
  <c r="O227" i="1"/>
  <c r="Q227" i="1" s="1"/>
  <c r="S227" i="1" s="1"/>
  <c r="O228" i="1"/>
  <c r="Q228" i="1" s="1"/>
  <c r="S228" i="1" s="1"/>
  <c r="O229" i="1"/>
  <c r="Q229" i="1" s="1"/>
  <c r="S229" i="1" s="1"/>
  <c r="O230" i="1"/>
  <c r="Q230" i="1" s="1"/>
  <c r="S230" i="1" s="1"/>
  <c r="O231" i="1"/>
  <c r="Q231" i="1" s="1"/>
  <c r="S231" i="1" s="1"/>
  <c r="O232" i="1"/>
  <c r="Q232" i="1" s="1"/>
  <c r="S232" i="1" s="1"/>
  <c r="O233" i="1"/>
  <c r="O234" i="1"/>
  <c r="Q234" i="1" s="1"/>
  <c r="S234" i="1" s="1"/>
  <c r="O235" i="1"/>
  <c r="Q235" i="1" s="1"/>
  <c r="S235" i="1" s="1"/>
  <c r="O236" i="1"/>
  <c r="Q236" i="1" s="1"/>
  <c r="S236" i="1" s="1"/>
  <c r="O237" i="1"/>
  <c r="Q237" i="1" s="1"/>
  <c r="S237" i="1" s="1"/>
  <c r="O238" i="1"/>
  <c r="Q238" i="1" s="1"/>
  <c r="S238" i="1" s="1"/>
  <c r="O239" i="1"/>
  <c r="Q239" i="1" s="1"/>
  <c r="S239" i="1" s="1"/>
  <c r="O240" i="1"/>
  <c r="Q240" i="1" s="1"/>
  <c r="S240" i="1" s="1"/>
  <c r="O241" i="1"/>
  <c r="Q241" i="1" s="1"/>
  <c r="S241" i="1" s="1"/>
  <c r="O242" i="1"/>
  <c r="O243" i="1"/>
  <c r="Q243" i="1" s="1"/>
  <c r="S243" i="1" s="1"/>
  <c r="O244" i="1"/>
  <c r="Q244" i="1" s="1"/>
  <c r="S244" i="1" s="1"/>
  <c r="O245" i="1"/>
  <c r="Q245" i="1" s="1"/>
  <c r="S245" i="1" s="1"/>
  <c r="O246" i="1"/>
  <c r="Q246" i="1" s="1"/>
  <c r="S246" i="1" s="1"/>
  <c r="O247" i="1"/>
  <c r="Q247" i="1" s="1"/>
  <c r="S247" i="1" s="1"/>
  <c r="O248" i="1"/>
  <c r="Q248" i="1" s="1"/>
  <c r="S248" i="1" s="1"/>
  <c r="O249" i="1"/>
  <c r="Q249" i="1" s="1"/>
  <c r="S249" i="1" s="1"/>
  <c r="O250" i="1"/>
  <c r="Q250" i="1" s="1"/>
  <c r="S250" i="1" s="1"/>
  <c r="O251" i="1"/>
  <c r="Q251" i="1" s="1"/>
  <c r="S251" i="1" s="1"/>
  <c r="O252" i="1"/>
  <c r="Q252" i="1" s="1"/>
  <c r="S252" i="1" s="1"/>
  <c r="O253" i="1"/>
  <c r="Q253" i="1" s="1"/>
  <c r="S253" i="1" s="1"/>
  <c r="O254" i="1"/>
  <c r="Q254" i="1" s="1"/>
  <c r="S254" i="1" s="1"/>
  <c r="O255" i="1"/>
  <c r="Q255" i="1" s="1"/>
  <c r="S255" i="1" s="1"/>
  <c r="O256" i="1"/>
  <c r="Q256" i="1" s="1"/>
  <c r="S256" i="1" s="1"/>
  <c r="O257" i="1"/>
  <c r="Q257" i="1" s="1"/>
  <c r="S257" i="1" s="1"/>
  <c r="O258" i="1"/>
  <c r="Q258" i="1" s="1"/>
  <c r="S258" i="1" s="1"/>
  <c r="O259" i="1"/>
  <c r="Q259" i="1" s="1"/>
  <c r="S259" i="1" s="1"/>
  <c r="O260" i="1"/>
  <c r="Q260" i="1" s="1"/>
  <c r="S260" i="1" s="1"/>
  <c r="O261" i="1"/>
  <c r="Q261" i="1" s="1"/>
  <c r="S261" i="1" s="1"/>
  <c r="O262" i="1"/>
  <c r="Q262" i="1" s="1"/>
  <c r="S262" i="1" s="1"/>
  <c r="O263" i="1"/>
  <c r="Q263" i="1" s="1"/>
  <c r="S263" i="1" s="1"/>
  <c r="O264" i="1"/>
  <c r="Q264" i="1" s="1"/>
  <c r="S264" i="1" s="1"/>
  <c r="O265" i="1"/>
  <c r="Q265" i="1" s="1"/>
  <c r="S265" i="1" s="1"/>
  <c r="O266" i="1"/>
  <c r="Q266" i="1" s="1"/>
  <c r="S266" i="1" s="1"/>
  <c r="O267" i="1"/>
  <c r="Q267" i="1" s="1"/>
  <c r="S267" i="1" s="1"/>
  <c r="O268" i="1"/>
  <c r="Q268" i="1" s="1"/>
  <c r="S268" i="1" s="1"/>
  <c r="O269" i="1"/>
  <c r="Q269" i="1" s="1"/>
  <c r="S269" i="1" s="1"/>
  <c r="O270" i="1"/>
  <c r="Q270" i="1" s="1"/>
  <c r="S270" i="1" s="1"/>
  <c r="O271" i="1"/>
  <c r="Q271" i="1" s="1"/>
  <c r="S271" i="1" s="1"/>
  <c r="O272" i="1"/>
  <c r="Q272" i="1" s="1"/>
  <c r="S272" i="1" s="1"/>
  <c r="O273" i="1"/>
  <c r="Q273" i="1" s="1"/>
  <c r="S273" i="1" s="1"/>
  <c r="O274" i="1"/>
  <c r="Q274" i="1" s="1"/>
  <c r="S274" i="1" s="1"/>
  <c r="O275" i="1"/>
  <c r="Q275" i="1" s="1"/>
  <c r="S275" i="1" s="1"/>
  <c r="O276" i="1"/>
  <c r="Q276" i="1" s="1"/>
  <c r="S276" i="1" s="1"/>
  <c r="O277" i="1"/>
  <c r="Q277" i="1" s="1"/>
  <c r="S277" i="1" s="1"/>
  <c r="O278" i="1"/>
  <c r="Q278" i="1" s="1"/>
  <c r="S278" i="1" s="1"/>
  <c r="O279" i="1"/>
  <c r="Q279" i="1" s="1"/>
  <c r="S279" i="1" s="1"/>
  <c r="O280" i="1"/>
  <c r="Q280" i="1" s="1"/>
  <c r="S280" i="1" s="1"/>
  <c r="O281" i="1"/>
  <c r="Q281" i="1" s="1"/>
  <c r="S281" i="1" s="1"/>
  <c r="O282" i="1"/>
  <c r="Q282" i="1" s="1"/>
  <c r="S282" i="1" s="1"/>
  <c r="O283" i="1"/>
  <c r="Q283" i="1" s="1"/>
  <c r="S283" i="1" s="1"/>
  <c r="O284" i="1"/>
  <c r="Q284" i="1" s="1"/>
  <c r="S284" i="1" s="1"/>
  <c r="O285" i="1"/>
  <c r="Q285" i="1" s="1"/>
  <c r="S285" i="1" s="1"/>
  <c r="O286" i="1"/>
  <c r="Q286" i="1" s="1"/>
  <c r="S286" i="1" s="1"/>
  <c r="O287" i="1"/>
  <c r="Q287" i="1" s="1"/>
  <c r="S287" i="1" s="1"/>
  <c r="O288" i="1"/>
  <c r="Q288" i="1" s="1"/>
  <c r="S288" i="1" s="1"/>
  <c r="O289" i="1"/>
  <c r="Q289" i="1" s="1"/>
  <c r="S289" i="1" s="1"/>
  <c r="O290" i="1"/>
  <c r="Q290" i="1" s="1"/>
  <c r="S290" i="1" s="1"/>
  <c r="O291" i="1"/>
  <c r="Q291" i="1" s="1"/>
  <c r="S291" i="1" s="1"/>
  <c r="O292" i="1"/>
  <c r="Q292" i="1" s="1"/>
  <c r="S292" i="1" s="1"/>
  <c r="O293" i="1"/>
  <c r="Q293" i="1" s="1"/>
  <c r="S293" i="1" s="1"/>
  <c r="O294" i="1"/>
  <c r="Q294" i="1" s="1"/>
  <c r="S294" i="1" s="1"/>
  <c r="O295" i="1"/>
  <c r="Q295" i="1" s="1"/>
  <c r="S295" i="1" s="1"/>
  <c r="O296" i="1"/>
  <c r="Q296" i="1" s="1"/>
  <c r="S296" i="1" s="1"/>
  <c r="O297" i="1"/>
  <c r="Q297" i="1" s="1"/>
  <c r="S297" i="1" s="1"/>
  <c r="O298" i="1"/>
  <c r="Q298" i="1" s="1"/>
  <c r="S298" i="1" s="1"/>
  <c r="O299" i="1"/>
  <c r="Q299" i="1" s="1"/>
  <c r="S299" i="1" s="1"/>
  <c r="O300" i="1"/>
  <c r="Q300" i="1" s="1"/>
  <c r="S300" i="1" s="1"/>
  <c r="O301" i="1"/>
  <c r="Q301" i="1" s="1"/>
  <c r="S301" i="1" s="1"/>
  <c r="O302" i="1"/>
  <c r="Q302" i="1" s="1"/>
  <c r="S302" i="1" s="1"/>
  <c r="O303" i="1"/>
  <c r="Q303" i="1" s="1"/>
  <c r="S303" i="1" s="1"/>
  <c r="O304" i="1"/>
  <c r="Q304" i="1" s="1"/>
  <c r="S304" i="1" s="1"/>
  <c r="O305" i="1"/>
  <c r="Q305" i="1" s="1"/>
  <c r="S305" i="1" s="1"/>
  <c r="O306" i="1"/>
  <c r="Q306" i="1" s="1"/>
  <c r="S306" i="1" s="1"/>
  <c r="O307" i="1"/>
  <c r="Q307" i="1" s="1"/>
  <c r="S307" i="1" s="1"/>
  <c r="O308" i="1"/>
  <c r="Q308" i="1" s="1"/>
  <c r="S308" i="1" s="1"/>
  <c r="O309" i="1"/>
  <c r="Q309" i="1" s="1"/>
  <c r="S309" i="1" s="1"/>
  <c r="O310" i="1"/>
  <c r="Q310" i="1" s="1"/>
  <c r="S310" i="1" s="1"/>
  <c r="O311" i="1"/>
  <c r="Q311" i="1" s="1"/>
  <c r="S311" i="1" s="1"/>
  <c r="O312" i="1"/>
  <c r="Q312" i="1" s="1"/>
  <c r="S312" i="1" s="1"/>
  <c r="O313" i="1"/>
  <c r="Q313" i="1" s="1"/>
  <c r="S313" i="1" s="1"/>
  <c r="O314" i="1"/>
  <c r="Q314" i="1" s="1"/>
  <c r="S314" i="1" s="1"/>
  <c r="O315" i="1"/>
  <c r="Q315" i="1" s="1"/>
  <c r="S315" i="1" s="1"/>
  <c r="O316" i="1"/>
  <c r="Q316" i="1" s="1"/>
  <c r="S316" i="1" s="1"/>
  <c r="O317" i="1"/>
  <c r="Q317" i="1" s="1"/>
  <c r="S317" i="1" s="1"/>
  <c r="O318" i="1"/>
  <c r="Q318" i="1" s="1"/>
  <c r="S318" i="1" s="1"/>
  <c r="O319" i="1"/>
  <c r="Q319" i="1" s="1"/>
  <c r="S319" i="1" s="1"/>
  <c r="O320" i="1"/>
  <c r="Q320" i="1" s="1"/>
  <c r="S320" i="1" s="1"/>
  <c r="O321" i="1"/>
  <c r="Q321" i="1" s="1"/>
  <c r="S321" i="1" s="1"/>
  <c r="O322" i="1"/>
  <c r="Q322" i="1" s="1"/>
  <c r="S322" i="1" s="1"/>
  <c r="O323" i="1"/>
  <c r="Q323" i="1" s="1"/>
  <c r="S323" i="1" s="1"/>
  <c r="O324" i="1"/>
  <c r="Q324" i="1" s="1"/>
  <c r="S324" i="1" s="1"/>
  <c r="O325" i="1"/>
  <c r="O326" i="1"/>
  <c r="O334" i="1"/>
  <c r="Q334" i="1" s="1"/>
  <c r="S334" i="1" s="1"/>
  <c r="O335" i="1"/>
  <c r="Q335" i="1" s="1"/>
  <c r="S335" i="1" s="1"/>
  <c r="O336" i="1"/>
  <c r="Q336" i="1" s="1"/>
  <c r="S336" i="1" s="1"/>
  <c r="O337" i="1"/>
  <c r="Q337" i="1" s="1"/>
  <c r="S337" i="1" s="1"/>
  <c r="O4" i="1"/>
  <c r="Q4" i="1" s="1"/>
  <c r="S4" i="1" s="1"/>
  <c r="O338" i="1"/>
  <c r="Q338" i="1" s="1"/>
  <c r="O339" i="1"/>
  <c r="Q339" i="1" s="1"/>
  <c r="O340" i="1"/>
  <c r="Q340" i="1" s="1"/>
  <c r="O341" i="1"/>
  <c r="Q341" i="1" s="1"/>
  <c r="O342" i="1"/>
  <c r="Q342" i="1" s="1"/>
  <c r="O343" i="1"/>
  <c r="Q343" i="1" s="1"/>
  <c r="O344" i="1"/>
  <c r="Q344" i="1" s="1"/>
  <c r="O345" i="1"/>
  <c r="Q345" i="1" s="1"/>
  <c r="S345" i="1" s="1"/>
  <c r="O346" i="1"/>
  <c r="Q346" i="1" s="1"/>
  <c r="S346" i="1" s="1"/>
  <c r="O347" i="1"/>
  <c r="Q347" i="1" s="1"/>
  <c r="S347" i="1" s="1"/>
  <c r="O348" i="1"/>
  <c r="Q348" i="1" s="1"/>
  <c r="O349" i="1"/>
  <c r="Q349" i="1" s="1"/>
  <c r="S349" i="1" s="1"/>
  <c r="O350" i="1"/>
  <c r="Q350" i="1" s="1"/>
  <c r="S350" i="1" s="1"/>
  <c r="O351" i="1"/>
  <c r="Q351" i="1" s="1"/>
  <c r="S351" i="1" s="1"/>
  <c r="O352" i="1"/>
  <c r="O353" i="1"/>
  <c r="Q353" i="1" s="1"/>
  <c r="S353" i="1" s="1"/>
  <c r="O354" i="1"/>
  <c r="O355" i="1"/>
  <c r="O356" i="1"/>
  <c r="Q356" i="1" s="1"/>
  <c r="S356" i="1" s="1"/>
  <c r="O357" i="1"/>
  <c r="Q357" i="1" s="1"/>
  <c r="S357" i="1" s="1"/>
  <c r="O358" i="1"/>
  <c r="O359" i="1"/>
  <c r="Q359" i="1" s="1"/>
  <c r="S359" i="1" s="1"/>
  <c r="O360" i="1"/>
  <c r="Q360" i="1" s="1"/>
  <c r="S360" i="1" s="1"/>
  <c r="O361" i="1"/>
  <c r="Q361" i="1" s="1"/>
  <c r="S361" i="1" s="1"/>
  <c r="O362" i="1"/>
  <c r="Q362" i="1" s="1"/>
  <c r="S362" i="1" s="1"/>
  <c r="O26" i="1"/>
  <c r="Q26" i="1" s="1"/>
  <c r="S26" i="1" s="1"/>
  <c r="O21" i="1"/>
  <c r="Q21" i="1" s="1"/>
  <c r="S21" i="1" s="1"/>
  <c r="AB21" i="1"/>
  <c r="Y21" i="1" s="1"/>
  <c r="AB26" i="1"/>
  <c r="Y26" i="1" s="1"/>
  <c r="AB138" i="1"/>
  <c r="Y138" i="1" s="1"/>
  <c r="AB313" i="1"/>
  <c r="Y313" i="1" s="1"/>
  <c r="AB146" i="1"/>
  <c r="Y146" i="1" s="1"/>
  <c r="AB306" i="1"/>
  <c r="Y306" i="1" s="1"/>
  <c r="AB133" i="1"/>
  <c r="Y133" i="1" s="1"/>
  <c r="AB312" i="1"/>
  <c r="AA312" i="1" s="1"/>
  <c r="AB314" i="1"/>
  <c r="Y314" i="1" s="1"/>
  <c r="AB268" i="1"/>
  <c r="Y268" i="1" s="1"/>
  <c r="AB310" i="1"/>
  <c r="Y310" i="1" s="1"/>
  <c r="AB140" i="1"/>
  <c r="Y140" i="1" s="1"/>
  <c r="AB214" i="1"/>
  <c r="Y214" i="1" s="1"/>
  <c r="Q147" i="1"/>
  <c r="S147" i="1" s="1"/>
  <c r="AB147" i="1"/>
  <c r="Y147" i="1" s="1"/>
  <c r="AB199" i="1"/>
  <c r="Y199" i="1" s="1"/>
  <c r="AB299" i="1"/>
  <c r="Y299" i="1" s="1"/>
  <c r="AB142" i="1"/>
  <c r="Y142" i="1" s="1"/>
  <c r="AB144" i="1"/>
  <c r="AA144" i="1" s="1"/>
  <c r="AB240" i="1"/>
  <c r="Y240" i="1" s="1"/>
  <c r="AB197" i="1"/>
  <c r="Y197" i="1" s="1"/>
  <c r="AB304" i="1"/>
  <c r="Y304" i="1" s="1"/>
  <c r="AB303" i="1"/>
  <c r="AA303" i="1" s="1"/>
  <c r="AB277" i="1"/>
  <c r="Y277" i="1" s="1"/>
  <c r="AB273" i="1"/>
  <c r="Y273" i="1" s="1"/>
  <c r="AB322" i="1"/>
  <c r="AA322" i="1" s="1"/>
  <c r="AB251" i="1"/>
  <c r="Y251" i="1" s="1"/>
  <c r="AB179" i="1"/>
  <c r="Y179" i="1" s="1"/>
  <c r="AB276" i="1"/>
  <c r="AA276" i="1" s="1"/>
  <c r="AB270" i="1"/>
  <c r="Y270" i="1" s="1"/>
  <c r="AB137" i="1"/>
  <c r="AA137" i="1" s="1"/>
  <c r="AB186" i="1"/>
  <c r="Y186" i="1" s="1"/>
  <c r="AB293" i="1"/>
  <c r="Y293" i="1" s="1"/>
  <c r="AB308" i="1"/>
  <c r="Y308" i="1" s="1"/>
  <c r="AB180" i="1"/>
  <c r="Y180" i="1" s="1"/>
  <c r="AB250" i="1"/>
  <c r="Y250" i="1" s="1"/>
  <c r="AB296" i="1"/>
  <c r="Y296" i="1" s="1"/>
  <c r="AB244" i="1"/>
  <c r="Y244" i="1" s="1"/>
  <c r="AB295" i="1"/>
  <c r="Y295" i="1" s="1"/>
  <c r="AB315" i="1"/>
  <c r="Y315" i="1" s="1"/>
  <c r="AB249" i="1"/>
  <c r="Y249" i="1" s="1"/>
  <c r="AB302" i="1"/>
  <c r="Y302" i="1" s="1"/>
  <c r="AB320" i="1"/>
  <c r="Y320" i="1" s="1"/>
  <c r="Q148" i="1"/>
  <c r="S148" i="1" s="1"/>
  <c r="AB148" i="1"/>
  <c r="AA148" i="1" s="1"/>
  <c r="AB196" i="1"/>
  <c r="Y196" i="1" s="1"/>
  <c r="AB265" i="1"/>
  <c r="Y265" i="1" s="1"/>
  <c r="AB182" i="1"/>
  <c r="AA182" i="1" s="1"/>
  <c r="AB213" i="1"/>
  <c r="Y213" i="1" s="1"/>
  <c r="AB289" i="1"/>
  <c r="Y289" i="1" s="1"/>
  <c r="AB297" i="1"/>
  <c r="Y297" i="1" s="1"/>
  <c r="AB252" i="1"/>
  <c r="Y252" i="1" s="1"/>
  <c r="AB198" i="1"/>
  <c r="AA198" i="1" s="1"/>
  <c r="AB139" i="1"/>
  <c r="Y139" i="1" s="1"/>
  <c r="AB150" i="1"/>
  <c r="Y150" i="1" s="1"/>
  <c r="AB181" i="1"/>
  <c r="Y181" i="1" s="1"/>
  <c r="AB160" i="1"/>
  <c r="Y160" i="1" s="1"/>
  <c r="AB215" i="1"/>
  <c r="Y215" i="1" s="1"/>
  <c r="AB283" i="1"/>
  <c r="Y283" i="1" s="1"/>
  <c r="AB285" i="1"/>
  <c r="Y285" i="1" s="1"/>
  <c r="AB216" i="1"/>
  <c r="Y216" i="1" s="1"/>
  <c r="AB264" i="1"/>
  <c r="AA264" i="1" s="1"/>
  <c r="AB224" i="1"/>
  <c r="Y224" i="1" s="1"/>
  <c r="AB162" i="1"/>
  <c r="Y162" i="1" s="1"/>
  <c r="AB298" i="1"/>
  <c r="Y298" i="1" s="1"/>
  <c r="AB292" i="1"/>
  <c r="Y292" i="1" s="1"/>
  <c r="AB184" i="1"/>
  <c r="Y184" i="1" s="1"/>
  <c r="AB228" i="1"/>
  <c r="Y228" i="1" s="1"/>
  <c r="AB280" i="1"/>
  <c r="Y280" i="1" s="1"/>
  <c r="AB149" i="1"/>
  <c r="Y149" i="1" s="1"/>
  <c r="AB217" i="1"/>
  <c r="Y217" i="1" s="1"/>
  <c r="AB141" i="1"/>
  <c r="Y141" i="1" s="1"/>
  <c r="AB321" i="1"/>
  <c r="Y321" i="1" s="1"/>
  <c r="AB275" i="1"/>
  <c r="AA275" i="1" s="1"/>
  <c r="AB143" i="1"/>
  <c r="Y143" i="1" s="1"/>
  <c r="AB222" i="1"/>
  <c r="Y222" i="1" s="1"/>
  <c r="AB158" i="1"/>
  <c r="Y158" i="1" s="1"/>
  <c r="AB165" i="1"/>
  <c r="Y165" i="1" s="1"/>
  <c r="AB166" i="1"/>
  <c r="Y166" i="1" s="1"/>
  <c r="AB187" i="1"/>
  <c r="Y187" i="1" s="1"/>
  <c r="AB282" i="1"/>
  <c r="Y282" i="1" s="1"/>
  <c r="AB168" i="1"/>
  <c r="Y168" i="1" s="1"/>
  <c r="AB208" i="1"/>
  <c r="Y208" i="1" s="1"/>
  <c r="AB170" i="1"/>
  <c r="Y170" i="1" s="1"/>
  <c r="AB290" i="1"/>
  <c r="Y290" i="1" s="1"/>
  <c r="AB195" i="1"/>
  <c r="AA195" i="1" s="1"/>
  <c r="AB272" i="1"/>
  <c r="AA272" i="1" s="1"/>
  <c r="AB319" i="1"/>
  <c r="Y319" i="1" s="1"/>
  <c r="AB172" i="1"/>
  <c r="Y172" i="1" s="1"/>
  <c r="AB211" i="1"/>
  <c r="Y211" i="1" s="1"/>
  <c r="AB318" i="1"/>
  <c r="Y318" i="1" s="1"/>
  <c r="AB193" i="1"/>
  <c r="Y193" i="1" s="1"/>
  <c r="AB286" i="1"/>
  <c r="Y286" i="1" s="1"/>
  <c r="AB253" i="1"/>
  <c r="Y253" i="1" s="1"/>
  <c r="AB220" i="1"/>
  <c r="Y220" i="1" s="1"/>
  <c r="AB223" i="1"/>
  <c r="Y223" i="1" s="1"/>
  <c r="Q233" i="1"/>
  <c r="S233" i="1" s="1"/>
  <c r="AB233" i="1"/>
  <c r="Y233" i="1" s="1"/>
  <c r="AB221" i="1"/>
  <c r="Y221" i="1" s="1"/>
  <c r="AB151" i="1"/>
  <c r="Y151" i="1" s="1"/>
  <c r="AB266" i="1"/>
  <c r="Y266" i="1" s="1"/>
  <c r="AB225" i="1"/>
  <c r="Y225" i="1" s="1"/>
  <c r="Q201" i="1"/>
  <c r="S201" i="1" s="1"/>
  <c r="AB201" i="1"/>
  <c r="AA201" i="1" s="1"/>
  <c r="AB218" i="1"/>
  <c r="Y218" i="1" s="1"/>
  <c r="AB238" i="1"/>
  <c r="AA238" i="1" s="1"/>
  <c r="AB164" i="1"/>
  <c r="Y164" i="1" s="1"/>
  <c r="AB269" i="1"/>
  <c r="Y269" i="1" s="1"/>
  <c r="AB311" i="1"/>
  <c r="Y311" i="1" s="1"/>
  <c r="AB153" i="1"/>
  <c r="Y153" i="1" s="1"/>
  <c r="AB241" i="1"/>
  <c r="AA241" i="1" s="1"/>
  <c r="AB271" i="1"/>
  <c r="Y271" i="1" s="1"/>
  <c r="AB232" i="1"/>
  <c r="AA232" i="1" s="1"/>
  <c r="AB152" i="1"/>
  <c r="Y152" i="1" s="1"/>
  <c r="AB307" i="1"/>
  <c r="AA307" i="1" s="1"/>
  <c r="Q136" i="1"/>
  <c r="S136" i="1" s="1"/>
  <c r="AB136" i="1"/>
  <c r="Y136" i="1" s="1"/>
  <c r="AB183" i="1"/>
  <c r="Y183" i="1" s="1"/>
  <c r="AB301" i="1"/>
  <c r="Y301" i="1" s="1"/>
  <c r="AB185" i="1"/>
  <c r="Y185" i="1" s="1"/>
  <c r="AB279" i="1"/>
  <c r="AA279" i="1" s="1"/>
  <c r="AB134" i="1"/>
  <c r="Y134" i="1" s="1"/>
  <c r="AB294" i="1"/>
  <c r="Y294" i="1" s="1"/>
  <c r="AB171" i="1"/>
  <c r="Y171" i="1" s="1"/>
  <c r="AB291" i="1"/>
  <c r="Y291" i="1" s="1"/>
  <c r="AB229" i="1"/>
  <c r="Y229" i="1" s="1"/>
  <c r="AB207" i="1"/>
  <c r="Y207" i="1" s="1"/>
  <c r="AB256" i="1"/>
  <c r="Y256" i="1" s="1"/>
  <c r="AB188" i="1"/>
  <c r="Y188" i="1" s="1"/>
  <c r="Q194" i="1"/>
  <c r="S194" i="1" s="1"/>
  <c r="AB194" i="1"/>
  <c r="Y194" i="1" s="1"/>
  <c r="AB263" i="1"/>
  <c r="Y263" i="1" s="1"/>
  <c r="AB236" i="1"/>
  <c r="Y236" i="1" s="1"/>
  <c r="AB257" i="1"/>
  <c r="Y257" i="1" s="1"/>
  <c r="AB239" i="1"/>
  <c r="Y239" i="1" s="1"/>
  <c r="AB254" i="1"/>
  <c r="Y254" i="1" s="1"/>
  <c r="AB284" i="1"/>
  <c r="Y284" i="1" s="1"/>
  <c r="AB226" i="1"/>
  <c r="Y226" i="1" s="1"/>
  <c r="AB163" i="1"/>
  <c r="Y163" i="1" s="1"/>
  <c r="AB155" i="1"/>
  <c r="Y155" i="1" s="1"/>
  <c r="AB154" i="1"/>
  <c r="Y154" i="1" s="1"/>
  <c r="AB281" i="1"/>
  <c r="Y281" i="1" s="1"/>
  <c r="AB175" i="1"/>
  <c r="Y175" i="1" s="1"/>
  <c r="AB237" i="1"/>
  <c r="Y237" i="1" s="1"/>
  <c r="AB145" i="1"/>
  <c r="Y145" i="1" s="1"/>
  <c r="AB169" i="1"/>
  <c r="Y169" i="1" s="1"/>
  <c r="AB316" i="1"/>
  <c r="Y316" i="1" s="1"/>
  <c r="AB135" i="1"/>
  <c r="Y135" i="1" s="1"/>
  <c r="Q192" i="1"/>
  <c r="S192" i="1" s="1"/>
  <c r="AB192" i="1"/>
  <c r="Y192" i="1" s="1"/>
  <c r="AB247" i="1"/>
  <c r="Y247" i="1" s="1"/>
  <c r="AB173" i="1"/>
  <c r="Y173" i="1" s="1"/>
  <c r="AB159" i="1"/>
  <c r="Y159" i="1" s="1"/>
  <c r="AB235" i="1"/>
  <c r="Y235" i="1" s="1"/>
  <c r="AB287" i="1"/>
  <c r="Y287" i="1" s="1"/>
  <c r="AB200" i="1"/>
  <c r="Y200" i="1" s="1"/>
  <c r="AB176" i="1"/>
  <c r="Y176" i="1" s="1"/>
  <c r="AB189" i="1"/>
  <c r="Y189" i="1" s="1"/>
  <c r="AB156" i="1"/>
  <c r="Y156" i="1" s="1"/>
  <c r="AB309" i="1"/>
  <c r="Y309" i="1" s="1"/>
  <c r="AB209" i="1"/>
  <c r="Y209" i="1" s="1"/>
  <c r="AB230" i="1"/>
  <c r="Y230" i="1" s="1"/>
  <c r="AB212" i="1"/>
  <c r="Y212" i="1" s="1"/>
  <c r="AB231" i="1"/>
  <c r="Y231" i="1" s="1"/>
  <c r="Q333" i="1"/>
  <c r="AB333" i="1"/>
  <c r="Y333" i="1" s="1"/>
  <c r="Q332" i="1"/>
  <c r="AB332" i="1"/>
  <c r="Y332" i="1" s="1"/>
  <c r="Q331" i="1"/>
  <c r="AB331" i="1"/>
  <c r="Y331" i="1" s="1"/>
  <c r="Q330" i="1"/>
  <c r="AB330" i="1"/>
  <c r="Y330" i="1" s="1"/>
  <c r="Q329" i="1"/>
  <c r="AB329" i="1"/>
  <c r="Y329" i="1" s="1"/>
  <c r="Q328" i="1"/>
  <c r="AB328" i="1"/>
  <c r="Y328" i="1" s="1"/>
  <c r="Q327" i="1"/>
  <c r="AB327" i="1"/>
  <c r="Y327" i="1" s="1"/>
  <c r="Q326" i="1"/>
  <c r="AB326" i="1"/>
  <c r="Y326" i="1" s="1"/>
  <c r="R124" i="1"/>
  <c r="R110" i="1"/>
  <c r="R121" i="1"/>
  <c r="R345" i="1"/>
  <c r="R114" i="1"/>
  <c r="R49" i="1"/>
  <c r="R52" i="1"/>
  <c r="R105" i="1"/>
  <c r="R12" i="1"/>
  <c r="Q23" i="1"/>
  <c r="S23" i="1" s="1"/>
  <c r="Q128" i="1"/>
  <c r="Q120" i="1"/>
  <c r="S120" i="1" s="1"/>
  <c r="Q48" i="1"/>
  <c r="S48" i="1" s="1"/>
  <c r="Q68" i="1"/>
  <c r="S68" i="1" s="1"/>
  <c r="Q122" i="1"/>
  <c r="S122" i="1" s="1"/>
  <c r="Q125" i="1"/>
  <c r="Q6" i="1"/>
  <c r="Q56" i="1"/>
  <c r="Q8" i="1"/>
  <c r="Q10" i="1"/>
  <c r="Q24" i="1"/>
  <c r="S24" i="1" s="1"/>
  <c r="Q28" i="1"/>
  <c r="S28" i="1" s="1"/>
  <c r="Q32" i="1"/>
  <c r="S32" i="1" s="1"/>
  <c r="Q242" i="1"/>
  <c r="S242" i="1" s="1"/>
  <c r="Y322" i="1" l="1"/>
  <c r="Y312" i="1"/>
  <c r="Y307" i="1"/>
  <c r="Y303" i="1"/>
  <c r="Y279" i="1"/>
  <c r="Y276" i="1"/>
  <c r="Y275" i="1"/>
  <c r="Y272" i="1"/>
  <c r="Y264" i="1"/>
  <c r="Y241" i="1"/>
  <c r="Y238" i="1"/>
  <c r="Y232" i="1"/>
  <c r="Y201" i="1"/>
  <c r="Y198" i="1"/>
  <c r="Y195" i="1"/>
  <c r="Y182" i="1"/>
  <c r="Y148" i="1"/>
  <c r="Y144" i="1"/>
  <c r="Y137" i="1"/>
  <c r="AA281" i="1"/>
  <c r="AA286" i="1"/>
  <c r="AA224" i="1"/>
  <c r="AA289" i="1"/>
  <c r="AA295" i="1"/>
  <c r="AA257" i="1"/>
  <c r="AA193" i="1"/>
  <c r="AA321" i="1"/>
  <c r="AA311" i="1"/>
  <c r="AA166" i="1"/>
  <c r="AA185" i="1"/>
  <c r="AA225" i="1"/>
  <c r="AA302" i="1"/>
  <c r="AA298" i="1"/>
  <c r="AA265" i="1"/>
  <c r="AA222" i="1"/>
  <c r="AA21" i="1"/>
  <c r="AA26" i="1"/>
  <c r="AA138" i="1"/>
  <c r="AA313" i="1"/>
  <c r="AA146" i="1"/>
  <c r="AA133" i="1"/>
  <c r="AA306" i="1"/>
  <c r="AA314" i="1"/>
  <c r="AA268" i="1"/>
  <c r="AA310" i="1"/>
  <c r="AA214" i="1"/>
  <c r="AA140" i="1"/>
  <c r="AA147" i="1"/>
  <c r="AA199" i="1"/>
  <c r="AA299" i="1"/>
  <c r="AA142" i="1"/>
  <c r="AA240" i="1"/>
  <c r="AA197" i="1"/>
  <c r="AA304" i="1"/>
  <c r="AA277" i="1"/>
  <c r="AA273" i="1"/>
  <c r="AA251" i="1"/>
  <c r="AA179" i="1"/>
  <c r="AA186" i="1"/>
  <c r="AA270" i="1"/>
  <c r="AA293" i="1"/>
  <c r="AA308" i="1"/>
  <c r="AA296" i="1"/>
  <c r="AA180" i="1"/>
  <c r="AA250" i="1"/>
  <c r="AA244" i="1"/>
  <c r="AA315" i="1"/>
  <c r="AA249" i="1"/>
  <c r="AA320" i="1"/>
  <c r="AA196" i="1"/>
  <c r="AA213" i="1"/>
  <c r="AA252" i="1"/>
  <c r="AA297" i="1"/>
  <c r="AA139" i="1"/>
  <c r="AA150" i="1"/>
  <c r="AA181" i="1"/>
  <c r="AA160" i="1"/>
  <c r="AA215" i="1"/>
  <c r="AA283" i="1"/>
  <c r="AA285" i="1"/>
  <c r="AA216" i="1"/>
  <c r="AA162" i="1"/>
  <c r="AA292" i="1"/>
  <c r="AA184" i="1"/>
  <c r="AA280" i="1"/>
  <c r="AA228" i="1"/>
  <c r="AA149" i="1"/>
  <c r="AA217" i="1"/>
  <c r="AA141" i="1"/>
  <c r="AA143" i="1"/>
  <c r="AA158" i="1"/>
  <c r="AA165" i="1"/>
  <c r="AA187" i="1"/>
  <c r="AA282" i="1"/>
  <c r="AA168" i="1"/>
  <c r="AA170" i="1"/>
  <c r="AA208" i="1"/>
  <c r="AA290" i="1"/>
  <c r="AA319" i="1"/>
  <c r="AA172" i="1"/>
  <c r="AA211" i="1"/>
  <c r="AA318" i="1"/>
  <c r="AA253" i="1"/>
  <c r="AA220" i="1"/>
  <c r="AA223" i="1"/>
  <c r="AA233" i="1"/>
  <c r="AA221" i="1"/>
  <c r="AA151" i="1"/>
  <c r="AA266" i="1"/>
  <c r="AA218" i="1"/>
  <c r="AA164" i="1"/>
  <c r="AA269" i="1"/>
  <c r="AA153" i="1"/>
  <c r="AA271" i="1"/>
  <c r="AA152" i="1"/>
  <c r="AA136" i="1"/>
  <c r="AA183" i="1"/>
  <c r="AA301" i="1"/>
  <c r="AA134" i="1"/>
  <c r="AA294" i="1"/>
  <c r="AA171" i="1"/>
  <c r="AA291" i="1"/>
  <c r="AA229" i="1"/>
  <c r="AA207" i="1"/>
  <c r="AA256" i="1"/>
  <c r="AA188" i="1"/>
  <c r="AA194" i="1"/>
  <c r="AA263" i="1"/>
  <c r="AA236" i="1"/>
  <c r="AA239" i="1"/>
  <c r="AA254" i="1"/>
  <c r="AA284" i="1"/>
  <c r="AA226" i="1"/>
  <c r="AA163" i="1"/>
  <c r="AA155" i="1"/>
  <c r="AA154" i="1"/>
  <c r="AA145" i="1"/>
  <c r="AA237" i="1"/>
  <c r="AA175" i="1"/>
  <c r="AA169" i="1"/>
  <c r="AA316" i="1"/>
  <c r="AA135" i="1"/>
  <c r="AA192" i="1"/>
  <c r="AA247" i="1"/>
  <c r="AA173" i="1"/>
  <c r="AA159" i="1"/>
  <c r="AA235" i="1"/>
  <c r="AA287" i="1"/>
  <c r="AA200" i="1"/>
  <c r="AA176" i="1"/>
  <c r="AA189" i="1"/>
  <c r="AA309" i="1"/>
  <c r="AA156" i="1"/>
  <c r="AA209" i="1"/>
  <c r="AA230" i="1"/>
  <c r="AA212" i="1"/>
  <c r="AA231" i="1"/>
  <c r="AA333" i="1"/>
  <c r="AA332" i="1"/>
  <c r="AA331" i="1"/>
  <c r="AA330" i="1"/>
  <c r="AA329" i="1"/>
  <c r="AA328" i="1"/>
  <c r="AA327" i="1"/>
  <c r="AA326" i="1"/>
  <c r="S114" i="1"/>
  <c r="S62" i="1"/>
  <c r="S110" i="1"/>
  <c r="S12" i="1"/>
  <c r="S124" i="1"/>
  <c r="S105" i="1"/>
  <c r="S49" i="1"/>
  <c r="R95" i="1"/>
  <c r="S95" i="1" s="1"/>
  <c r="R93" i="1"/>
  <c r="S93" i="1" s="1"/>
  <c r="R83" i="1"/>
  <c r="S83" i="1" s="1"/>
  <c r="R78" i="1"/>
  <c r="S78" i="1" s="1"/>
  <c r="R77" i="1"/>
  <c r="S77" i="1" s="1"/>
  <c r="R76" i="1"/>
  <c r="S76" i="1" s="1"/>
  <c r="R62" i="1"/>
  <c r="R61" i="1"/>
  <c r="S61" i="1" s="1"/>
  <c r="R59" i="1"/>
  <c r="S59" i="1" s="1"/>
  <c r="R58" i="1"/>
  <c r="S58" i="1" s="1"/>
  <c r="R57" i="1"/>
  <c r="S57" i="1" s="1"/>
  <c r="R56" i="1"/>
  <c r="S56" i="1" s="1"/>
  <c r="R54" i="1"/>
  <c r="S54" i="1" s="1"/>
  <c r="R103" i="1"/>
  <c r="S103" i="1" s="1"/>
  <c r="R348" i="1" l="1"/>
  <c r="S348" i="1" s="1"/>
  <c r="R344" i="1"/>
  <c r="S344" i="1" s="1"/>
  <c r="R343" i="1"/>
  <c r="S343" i="1" s="1"/>
  <c r="R342" i="1"/>
  <c r="S342" i="1" s="1"/>
  <c r="R341" i="1"/>
  <c r="S341" i="1" s="1"/>
  <c r="R340" i="1"/>
  <c r="S340" i="1" s="1"/>
  <c r="R339" i="1"/>
  <c r="S339" i="1" s="1"/>
  <c r="R338" i="1"/>
  <c r="S338" i="1" s="1"/>
  <c r="R128" i="1"/>
  <c r="S128" i="1" s="1"/>
  <c r="R126" i="1"/>
  <c r="S126" i="1" s="1"/>
  <c r="R125" i="1"/>
  <c r="S125" i="1" s="1"/>
  <c r="R119" i="1"/>
  <c r="S119" i="1" s="1"/>
  <c r="R115" i="1"/>
  <c r="S115" i="1" s="1"/>
  <c r="R113" i="1"/>
  <c r="S113" i="1" s="1"/>
  <c r="R112" i="1"/>
  <c r="S112" i="1" s="1"/>
  <c r="R111" i="1"/>
  <c r="S111" i="1" s="1"/>
  <c r="R109" i="1"/>
  <c r="S109" i="1" s="1"/>
  <c r="R108" i="1"/>
  <c r="S108" i="1" s="1"/>
  <c r="R107" i="1"/>
  <c r="S107" i="1" s="1"/>
  <c r="R106" i="1"/>
  <c r="S106" i="1" s="1"/>
  <c r="R104" i="1"/>
  <c r="S104" i="1" s="1"/>
  <c r="R102" i="1"/>
  <c r="S102" i="1" s="1"/>
  <c r="R84" i="1"/>
  <c r="S84" i="1" s="1"/>
  <c r="R50" i="1"/>
  <c r="S50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44" i="1"/>
  <c r="S44" i="1" s="1"/>
  <c r="R45" i="1"/>
  <c r="S45" i="1" s="1"/>
  <c r="R46" i="1"/>
  <c r="S46" i="1" s="1"/>
  <c r="R47" i="1"/>
  <c r="S47" i="1" s="1"/>
  <c r="R10" i="1"/>
  <c r="S10" i="1" s="1"/>
  <c r="R11" i="1"/>
  <c r="S11" i="1" s="1"/>
  <c r="R13" i="1"/>
  <c r="S13" i="1" s="1"/>
  <c r="U20" i="1"/>
  <c r="R20" i="1" s="1"/>
  <c r="S20" i="1" s="1"/>
  <c r="U9" i="1"/>
  <c r="R9" i="1" s="1"/>
  <c r="S9" i="1" s="1"/>
  <c r="U8" i="1"/>
  <c r="R8" i="1" s="1"/>
  <c r="S8" i="1" s="1"/>
  <c r="U7" i="1"/>
  <c r="R7" i="1" s="1"/>
  <c r="S7" i="1" s="1"/>
  <c r="U6" i="1"/>
  <c r="R6" i="1" s="1"/>
  <c r="S6" i="1" s="1"/>
  <c r="U5" i="1"/>
  <c r="R5" i="1" s="1"/>
  <c r="S5" i="1" s="1"/>
  <c r="AB105" i="1" l="1"/>
  <c r="Y105" i="1" s="1"/>
  <c r="AB343" i="1"/>
  <c r="Y343" i="1" s="1"/>
  <c r="AB33" i="1"/>
  <c r="Y33" i="1" s="1"/>
  <c r="AB4" i="1"/>
  <c r="Y4" i="1" s="1"/>
  <c r="AB23" i="1"/>
  <c r="Y23" i="1" s="1"/>
  <c r="AB25" i="1"/>
  <c r="Y25" i="1" s="1"/>
  <c r="AB30" i="1"/>
  <c r="Y30" i="1" s="1"/>
  <c r="AB34" i="1"/>
  <c r="Y34" i="1" s="1"/>
  <c r="AB36" i="1"/>
  <c r="Y36" i="1" s="1"/>
  <c r="AB41" i="1"/>
  <c r="Y41" i="1" s="1"/>
  <c r="AB97" i="1"/>
  <c r="Y97" i="1" s="1"/>
  <c r="AB132" i="1"/>
  <c r="Y132" i="1" s="1"/>
  <c r="AB38" i="1"/>
  <c r="Y38" i="1" s="1"/>
  <c r="AB39" i="1"/>
  <c r="Y39" i="1" s="1"/>
  <c r="AB40" i="1"/>
  <c r="Y40" i="1" s="1"/>
  <c r="AB22" i="1"/>
  <c r="Y22" i="1" s="1"/>
  <c r="AB29" i="1"/>
  <c r="Y29" i="1" s="1"/>
  <c r="AB31" i="1"/>
  <c r="Y31" i="1" s="1"/>
  <c r="AB35" i="1"/>
  <c r="Y35" i="1" s="1"/>
  <c r="AB98" i="1"/>
  <c r="Y98" i="1" s="1"/>
  <c r="AB131" i="1"/>
  <c r="Y131" i="1" s="1"/>
  <c r="AB334" i="1"/>
  <c r="Y334" i="1" s="1"/>
  <c r="AB335" i="1"/>
  <c r="Y335" i="1" s="1"/>
  <c r="AB336" i="1"/>
  <c r="Y336" i="1" s="1"/>
  <c r="AB337" i="1"/>
  <c r="Y337" i="1" s="1"/>
  <c r="AB99" i="1"/>
  <c r="Y99" i="1" s="1"/>
  <c r="AB100" i="1"/>
  <c r="Y100" i="1" s="1"/>
  <c r="AB101" i="1"/>
  <c r="Y101" i="1" s="1"/>
  <c r="AB157" i="1"/>
  <c r="Y157" i="1" s="1"/>
  <c r="AB161" i="1"/>
  <c r="Y161" i="1" s="1"/>
  <c r="AB167" i="1"/>
  <c r="Y167" i="1" s="1"/>
  <c r="AB174" i="1"/>
  <c r="Y174" i="1" s="1"/>
  <c r="AB177" i="1"/>
  <c r="Y177" i="1" s="1"/>
  <c r="AB178" i="1"/>
  <c r="Y178" i="1" s="1"/>
  <c r="AB190" i="1"/>
  <c r="Y190" i="1" s="1"/>
  <c r="AB191" i="1"/>
  <c r="Y191" i="1" s="1"/>
  <c r="AB202" i="1"/>
  <c r="Y202" i="1" s="1"/>
  <c r="AB203" i="1"/>
  <c r="Y203" i="1" s="1"/>
  <c r="AB204" i="1"/>
  <c r="Y204" i="1" s="1"/>
  <c r="AB205" i="1"/>
  <c r="Y205" i="1" s="1"/>
  <c r="AB206" i="1"/>
  <c r="Y206" i="1" s="1"/>
  <c r="AB210" i="1"/>
  <c r="Y210" i="1" s="1"/>
  <c r="AB219" i="1"/>
  <c r="Y219" i="1" s="1"/>
  <c r="AB227" i="1"/>
  <c r="Y227" i="1" s="1"/>
  <c r="AB234" i="1"/>
  <c r="Y234" i="1" s="1"/>
  <c r="AB242" i="1"/>
  <c r="Y242" i="1" s="1"/>
  <c r="AB243" i="1"/>
  <c r="Y243" i="1" s="1"/>
  <c r="AB245" i="1"/>
  <c r="Y245" i="1" s="1"/>
  <c r="AB246" i="1"/>
  <c r="Y246" i="1" s="1"/>
  <c r="AB248" i="1"/>
  <c r="Y248" i="1" s="1"/>
  <c r="AB255" i="1"/>
  <c r="Y255" i="1" s="1"/>
  <c r="AB258" i="1"/>
  <c r="Y258" i="1" s="1"/>
  <c r="AB259" i="1"/>
  <c r="Y259" i="1" s="1"/>
  <c r="AB260" i="1"/>
  <c r="Y260" i="1" s="1"/>
  <c r="AB261" i="1"/>
  <c r="Y261" i="1" s="1"/>
  <c r="AB262" i="1"/>
  <c r="Y262" i="1" s="1"/>
  <c r="AB267" i="1"/>
  <c r="Y267" i="1" s="1"/>
  <c r="AB274" i="1"/>
  <c r="Y274" i="1" s="1"/>
  <c r="AB278" i="1"/>
  <c r="Y278" i="1" s="1"/>
  <c r="AB288" i="1"/>
  <c r="Y288" i="1" s="1"/>
  <c r="AB300" i="1"/>
  <c r="Y300" i="1" s="1"/>
  <c r="AB305" i="1"/>
  <c r="Y305" i="1" s="1"/>
  <c r="AB317" i="1"/>
  <c r="Y317" i="1" s="1"/>
  <c r="AB2" i="1"/>
  <c r="Y2" i="1" s="1"/>
  <c r="AB3" i="1"/>
  <c r="Y3" i="1" s="1"/>
  <c r="AB24" i="1"/>
  <c r="Y24" i="1" s="1"/>
  <c r="AB27" i="1"/>
  <c r="Y27" i="1" s="1"/>
  <c r="AB28" i="1"/>
  <c r="Y28" i="1" s="1"/>
  <c r="AB32" i="1"/>
  <c r="Y32" i="1" s="1"/>
  <c r="AB37" i="1"/>
  <c r="Y37" i="1" s="1"/>
  <c r="AB42" i="1"/>
  <c r="Y42" i="1" s="1"/>
  <c r="AB43" i="1"/>
  <c r="Y43" i="1" s="1"/>
  <c r="AB55" i="1"/>
  <c r="Y55" i="1" s="1"/>
  <c r="AB129" i="1"/>
  <c r="Y129" i="1" s="1"/>
  <c r="AB130" i="1"/>
  <c r="Y130" i="1" s="1"/>
  <c r="AB323" i="1"/>
  <c r="Y323" i="1" s="1"/>
  <c r="AB324" i="1"/>
  <c r="Y324" i="1" s="1"/>
  <c r="AB325" i="1"/>
  <c r="Y325" i="1" s="1"/>
  <c r="AB362" i="1"/>
  <c r="Y362" i="1" s="1"/>
  <c r="AB48" i="1"/>
  <c r="Y48" i="1" s="1"/>
  <c r="AB51" i="1"/>
  <c r="Y51" i="1" s="1"/>
  <c r="AB52" i="1"/>
  <c r="Y52" i="1" s="1"/>
  <c r="AB53" i="1"/>
  <c r="Y53" i="1" s="1"/>
  <c r="AB54" i="1"/>
  <c r="Y54" i="1" s="1"/>
  <c r="AB56" i="1"/>
  <c r="Y56" i="1" s="1"/>
  <c r="AB57" i="1"/>
  <c r="Y57" i="1" s="1"/>
  <c r="AB58" i="1"/>
  <c r="Y58" i="1" s="1"/>
  <c r="AB59" i="1"/>
  <c r="Y59" i="1" s="1"/>
  <c r="AB60" i="1"/>
  <c r="Y60" i="1" s="1"/>
  <c r="AB61" i="1"/>
  <c r="Y61" i="1" s="1"/>
  <c r="AB62" i="1"/>
  <c r="Y62" i="1" s="1"/>
  <c r="AB63" i="1"/>
  <c r="Y63" i="1" s="1"/>
  <c r="AB64" i="1"/>
  <c r="Y64" i="1" s="1"/>
  <c r="AB65" i="1"/>
  <c r="Y65" i="1" s="1"/>
  <c r="AB66" i="1"/>
  <c r="Y66" i="1" s="1"/>
  <c r="AB67" i="1"/>
  <c r="Y67" i="1" s="1"/>
  <c r="AB68" i="1"/>
  <c r="Y68" i="1" s="1"/>
  <c r="AB69" i="1"/>
  <c r="Y69" i="1" s="1"/>
  <c r="AB70" i="1"/>
  <c r="Y70" i="1" s="1"/>
  <c r="AB71" i="1"/>
  <c r="Y71" i="1" s="1"/>
  <c r="AB72" i="1"/>
  <c r="Y72" i="1" s="1"/>
  <c r="AB73" i="1"/>
  <c r="Y73" i="1" s="1"/>
  <c r="AB74" i="1"/>
  <c r="Y74" i="1" s="1"/>
  <c r="AB75" i="1"/>
  <c r="Y75" i="1" s="1"/>
  <c r="AB76" i="1"/>
  <c r="Y76" i="1" s="1"/>
  <c r="AB77" i="1"/>
  <c r="Y77" i="1" s="1"/>
  <c r="AB78" i="1"/>
  <c r="Y78" i="1" s="1"/>
  <c r="AB79" i="1"/>
  <c r="AB80" i="1"/>
  <c r="Y80" i="1" s="1"/>
  <c r="AB81" i="1"/>
  <c r="Y81" i="1" s="1"/>
  <c r="AB82" i="1"/>
  <c r="Y82" i="1" s="1"/>
  <c r="AB83" i="1"/>
  <c r="Y83" i="1" s="1"/>
  <c r="AB84" i="1"/>
  <c r="Y84" i="1" s="1"/>
  <c r="AB85" i="1"/>
  <c r="Y85" i="1" s="1"/>
  <c r="AB86" i="1"/>
  <c r="Y86" i="1" s="1"/>
  <c r="AB87" i="1"/>
  <c r="Y87" i="1" s="1"/>
  <c r="AB88" i="1"/>
  <c r="Y88" i="1" s="1"/>
  <c r="AB89" i="1"/>
  <c r="Y89" i="1" s="1"/>
  <c r="AB90" i="1"/>
  <c r="Y90" i="1" s="1"/>
  <c r="AB91" i="1"/>
  <c r="Y91" i="1" s="1"/>
  <c r="AB92" i="1"/>
  <c r="Y92" i="1" s="1"/>
  <c r="AB93" i="1"/>
  <c r="Y93" i="1" s="1"/>
  <c r="AB94" i="1"/>
  <c r="Y94" i="1" s="1"/>
  <c r="AB95" i="1"/>
  <c r="Y95" i="1" s="1"/>
  <c r="AB96" i="1"/>
  <c r="Y96" i="1" s="1"/>
  <c r="AB110" i="1"/>
  <c r="Y110" i="1" s="1"/>
  <c r="AB111" i="1"/>
  <c r="Y111" i="1" s="1"/>
  <c r="AB116" i="1"/>
  <c r="Y116" i="1" s="1"/>
  <c r="AB117" i="1"/>
  <c r="Y117" i="1" s="1"/>
  <c r="AB118" i="1"/>
  <c r="Y118" i="1" s="1"/>
  <c r="AB120" i="1"/>
  <c r="Y120" i="1" s="1"/>
  <c r="AB121" i="1"/>
  <c r="Y121" i="1" s="1"/>
  <c r="AB122" i="1"/>
  <c r="Y122" i="1" s="1"/>
  <c r="AB123" i="1"/>
  <c r="Y123" i="1" s="1"/>
  <c r="AB127" i="1"/>
  <c r="Y127" i="1" s="1"/>
  <c r="AB345" i="1"/>
  <c r="Y345" i="1" s="1"/>
  <c r="AB346" i="1"/>
  <c r="Y346" i="1" s="1"/>
  <c r="AB347" i="1"/>
  <c r="Y347" i="1" s="1"/>
  <c r="AB349" i="1"/>
  <c r="Y349" i="1" s="1"/>
  <c r="AB350" i="1"/>
  <c r="Y350" i="1" s="1"/>
  <c r="AB351" i="1"/>
  <c r="Y351" i="1" s="1"/>
  <c r="AB352" i="1"/>
  <c r="Y352" i="1" s="1"/>
  <c r="AB353" i="1"/>
  <c r="Y353" i="1" s="1"/>
  <c r="AB354" i="1"/>
  <c r="Y354" i="1" s="1"/>
  <c r="AB355" i="1"/>
  <c r="Y355" i="1" s="1"/>
  <c r="AB356" i="1"/>
  <c r="Y356" i="1" s="1"/>
  <c r="AB357" i="1"/>
  <c r="Y357" i="1" s="1"/>
  <c r="AB358" i="1"/>
  <c r="Y358" i="1" s="1"/>
  <c r="AB359" i="1"/>
  <c r="Y359" i="1" s="1"/>
  <c r="AB360" i="1"/>
  <c r="Y360" i="1" s="1"/>
  <c r="AB361" i="1"/>
  <c r="Y361" i="1" s="1"/>
  <c r="M358" i="1"/>
  <c r="Q358" i="1" s="1"/>
  <c r="S358" i="1" s="1"/>
  <c r="M355" i="1"/>
  <c r="Q355" i="1" s="1"/>
  <c r="S355" i="1" s="1"/>
  <c r="M354" i="1"/>
  <c r="Q354" i="1" s="1"/>
  <c r="S354" i="1" s="1"/>
  <c r="M352" i="1"/>
  <c r="Q352" i="1" s="1"/>
  <c r="S352" i="1" s="1"/>
  <c r="M325" i="1"/>
  <c r="Q325" i="1" s="1"/>
  <c r="S325" i="1" s="1"/>
  <c r="M43" i="1"/>
  <c r="Q43" i="1" s="1"/>
  <c r="S43" i="1" s="1"/>
  <c r="M37" i="1"/>
  <c r="Q37" i="1" s="1"/>
  <c r="S37" i="1" s="1"/>
  <c r="M3" i="1"/>
  <c r="Q3" i="1" s="1"/>
  <c r="S3" i="1" s="1"/>
  <c r="N99" i="1"/>
  <c r="M99" i="1"/>
  <c r="M132" i="1"/>
  <c r="Q132" i="1" s="1"/>
  <c r="S132" i="1" s="1"/>
  <c r="N41" i="1"/>
  <c r="M41" i="1"/>
  <c r="N34" i="1"/>
  <c r="M34" i="1"/>
  <c r="Y79" i="1" l="1"/>
  <c r="AA79" i="1"/>
  <c r="Q41" i="1"/>
  <c r="S41" i="1" s="1"/>
  <c r="Q34" i="1"/>
  <c r="S34" i="1" s="1"/>
  <c r="Q99" i="1"/>
  <c r="S99" i="1" s="1"/>
  <c r="AA105" i="1"/>
  <c r="AA3" i="1"/>
  <c r="AA361" i="1"/>
  <c r="AA353" i="1"/>
  <c r="AA116" i="1"/>
  <c r="AA91" i="1"/>
  <c r="AA83" i="1"/>
  <c r="AA75" i="1"/>
  <c r="AA67" i="1"/>
  <c r="AA59" i="1"/>
  <c r="AA48" i="1"/>
  <c r="AA43" i="1"/>
  <c r="AA2" i="1"/>
  <c r="AA262" i="1"/>
  <c r="AA245" i="1"/>
  <c r="AA205" i="1"/>
  <c r="AA174" i="1"/>
  <c r="AA336" i="1"/>
  <c r="AA22" i="1"/>
  <c r="AA34" i="1"/>
  <c r="AA92" i="1"/>
  <c r="AA246" i="1"/>
  <c r="AA360" i="1"/>
  <c r="AA352" i="1"/>
  <c r="AA127" i="1"/>
  <c r="AA90" i="1"/>
  <c r="AA82" i="1"/>
  <c r="AA74" i="1"/>
  <c r="AA66" i="1"/>
  <c r="AA58" i="1"/>
  <c r="AA362" i="1"/>
  <c r="AA42" i="1"/>
  <c r="AA317" i="1"/>
  <c r="AA261" i="1"/>
  <c r="AA243" i="1"/>
  <c r="AA204" i="1"/>
  <c r="AA167" i="1"/>
  <c r="AA335" i="1"/>
  <c r="AA40" i="1"/>
  <c r="AA30" i="1"/>
  <c r="AA345" i="1"/>
  <c r="AA60" i="1"/>
  <c r="AA29" i="1"/>
  <c r="AA359" i="1"/>
  <c r="AA351" i="1"/>
  <c r="AA123" i="1"/>
  <c r="AA89" i="1"/>
  <c r="AA81" i="1"/>
  <c r="AA73" i="1"/>
  <c r="AA65" i="1"/>
  <c r="AA57" i="1"/>
  <c r="AA325" i="1"/>
  <c r="AA37" i="1"/>
  <c r="AA305" i="1"/>
  <c r="AA260" i="1"/>
  <c r="AA242" i="1"/>
  <c r="AA203" i="1"/>
  <c r="AA161" i="1"/>
  <c r="AA334" i="1"/>
  <c r="AA39" i="1"/>
  <c r="AA25" i="1"/>
  <c r="AA117" i="1"/>
  <c r="AA76" i="1"/>
  <c r="AA267" i="1"/>
  <c r="AA177" i="1"/>
  <c r="AA358" i="1"/>
  <c r="AA350" i="1"/>
  <c r="AA122" i="1"/>
  <c r="AA96" i="1"/>
  <c r="AA88" i="1"/>
  <c r="AA80" i="1"/>
  <c r="AA72" i="1"/>
  <c r="AA64" i="1"/>
  <c r="AA56" i="1"/>
  <c r="AA324" i="1"/>
  <c r="AA32" i="1"/>
  <c r="AA300" i="1"/>
  <c r="AA259" i="1"/>
  <c r="AA234" i="1"/>
  <c r="AA202" i="1"/>
  <c r="AA157" i="1"/>
  <c r="AA131" i="1"/>
  <c r="AA38" i="1"/>
  <c r="AA23" i="1"/>
  <c r="AA51" i="1"/>
  <c r="AA206" i="1"/>
  <c r="AA36" i="1"/>
  <c r="AA357" i="1"/>
  <c r="AA349" i="1"/>
  <c r="AA121" i="1"/>
  <c r="AA95" i="1"/>
  <c r="AA87" i="1"/>
  <c r="AA71" i="1"/>
  <c r="AA63" i="1"/>
  <c r="AA54" i="1"/>
  <c r="AA323" i="1"/>
  <c r="AA28" i="1"/>
  <c r="AA288" i="1"/>
  <c r="AA258" i="1"/>
  <c r="AA227" i="1"/>
  <c r="AA191" i="1"/>
  <c r="AA101" i="1"/>
  <c r="AA98" i="1"/>
  <c r="AA132" i="1"/>
  <c r="AA4" i="1"/>
  <c r="AA343" i="1"/>
  <c r="AA354" i="1"/>
  <c r="AA55" i="1"/>
  <c r="AA356" i="1"/>
  <c r="AA347" i="1"/>
  <c r="AA120" i="1"/>
  <c r="AA94" i="1"/>
  <c r="AA86" i="1"/>
  <c r="AA78" i="1"/>
  <c r="AA70" i="1"/>
  <c r="AA62" i="1"/>
  <c r="AA53" i="1"/>
  <c r="AA130" i="1"/>
  <c r="AA27" i="1"/>
  <c r="AA278" i="1"/>
  <c r="AA255" i="1"/>
  <c r="AA219" i="1"/>
  <c r="AA190" i="1"/>
  <c r="AA100" i="1"/>
  <c r="AA35" i="1"/>
  <c r="AA97" i="1"/>
  <c r="AA33" i="1"/>
  <c r="AA110" i="1"/>
  <c r="AA68" i="1"/>
  <c r="AA337" i="1"/>
  <c r="AA355" i="1"/>
  <c r="AA346" i="1"/>
  <c r="AA118" i="1"/>
  <c r="AA93" i="1"/>
  <c r="AA85" i="1"/>
  <c r="AA77" i="1"/>
  <c r="AA69" i="1"/>
  <c r="AA61" i="1"/>
  <c r="AA52" i="1"/>
  <c r="AA129" i="1"/>
  <c r="AA24" i="1"/>
  <c r="AA274" i="1"/>
  <c r="AA248" i="1"/>
  <c r="AA210" i="1"/>
  <c r="AA178" i="1"/>
  <c r="AA99" i="1"/>
  <c r="AA31" i="1"/>
  <c r="AA41" i="1"/>
  <c r="AA84" i="1"/>
  <c r="AA111" i="1"/>
  <c r="AB8" i="1"/>
  <c r="Y8" i="1" s="1"/>
  <c r="AB128" i="1"/>
  <c r="Y128" i="1" s="1"/>
  <c r="AB49" i="1"/>
  <c r="Y49" i="1" s="1"/>
  <c r="AB109" i="1"/>
  <c r="Y109" i="1" s="1"/>
  <c r="AB341" i="1"/>
  <c r="Y341" i="1" s="1"/>
  <c r="AB45" i="1"/>
  <c r="Y45" i="1" s="1"/>
  <c r="AB104" i="1"/>
  <c r="Y104" i="1" s="1"/>
  <c r="AB106" i="1"/>
  <c r="Y106" i="1" s="1"/>
  <c r="AB108" i="1"/>
  <c r="Y108" i="1" s="1"/>
  <c r="AB18" i="1"/>
  <c r="Y18" i="1" s="1"/>
  <c r="AB10" i="1"/>
  <c r="Y10" i="1" s="1"/>
  <c r="AB15" i="1"/>
  <c r="Y15" i="1" s="1"/>
  <c r="AB107" i="1"/>
  <c r="Y107" i="1" s="1"/>
  <c r="AB342" i="1"/>
  <c r="Y342" i="1" s="1"/>
  <c r="AB119" i="1"/>
  <c r="Y119" i="1" s="1"/>
  <c r="AB6" i="1"/>
  <c r="Y6" i="1" s="1"/>
  <c r="AB20" i="1"/>
  <c r="Y20" i="1" s="1"/>
  <c r="AB114" i="1"/>
  <c r="Y114" i="1" s="1"/>
  <c r="AB340" i="1"/>
  <c r="Y340" i="1" s="1"/>
  <c r="AB12" i="1"/>
  <c r="Y12" i="1" s="1"/>
  <c r="AB9" i="1"/>
  <c r="Y9" i="1" s="1"/>
  <c r="AB339" i="1"/>
  <c r="Y339" i="1" s="1"/>
  <c r="AB44" i="1"/>
  <c r="Y44" i="1" s="1"/>
  <c r="AB103" i="1"/>
  <c r="Y103" i="1" s="1"/>
  <c r="AB113" i="1"/>
  <c r="Y113" i="1" s="1"/>
  <c r="AB344" i="1"/>
  <c r="Y344" i="1" s="1"/>
  <c r="AB112" i="1"/>
  <c r="Y112" i="1" s="1"/>
  <c r="AB338" i="1"/>
  <c r="Y338" i="1" s="1"/>
  <c r="AB126" i="1"/>
  <c r="Y126" i="1" s="1"/>
  <c r="AB7" i="1"/>
  <c r="Y7" i="1" s="1"/>
  <c r="AB16" i="1"/>
  <c r="Y16" i="1" s="1"/>
  <c r="AB19" i="1"/>
  <c r="Y19" i="1" s="1"/>
  <c r="AB50" i="1"/>
  <c r="Y50" i="1" s="1"/>
  <c r="AB348" i="1"/>
  <c r="Y348" i="1" s="1"/>
  <c r="AB47" i="1"/>
  <c r="Y47" i="1" s="1"/>
  <c r="AB14" i="1"/>
  <c r="Y14" i="1" s="1"/>
  <c r="AB124" i="1"/>
  <c r="Y124" i="1" s="1"/>
  <c r="AB125" i="1"/>
  <c r="Y125" i="1" s="1"/>
  <c r="AB115" i="1"/>
  <c r="Y115" i="1" s="1"/>
  <c r="AB5" i="1"/>
  <c r="Y5" i="1" s="1"/>
  <c r="AB46" i="1"/>
  <c r="Y46" i="1" s="1"/>
  <c r="AB102" i="1"/>
  <c r="Y102" i="1" s="1"/>
  <c r="AB17" i="1"/>
  <c r="Y17" i="1" s="1"/>
  <c r="AB13" i="1"/>
  <c r="Y13" i="1" s="1"/>
  <c r="AB11" i="1"/>
  <c r="Y11" i="1" s="1"/>
  <c r="AE100" i="1" l="1"/>
  <c r="AD100" i="1" s="1"/>
  <c r="AE125" i="1"/>
  <c r="AE102" i="1"/>
  <c r="AE18" i="1"/>
  <c r="AE348" i="1"/>
  <c r="AE128" i="1"/>
  <c r="AE36" i="1"/>
  <c r="AC36" i="1" s="1"/>
  <c r="AE70" i="1"/>
  <c r="AC70" i="1" s="1"/>
  <c r="AE81" i="1"/>
  <c r="AC81" i="1" s="1"/>
  <c r="AE11" i="1"/>
  <c r="AE126" i="1"/>
  <c r="AE29" i="1"/>
  <c r="AD29" i="1" s="1"/>
  <c r="AE129" i="1"/>
  <c r="AC129" i="1" s="1"/>
  <c r="AE227" i="1"/>
  <c r="AC227" i="1" s="1"/>
  <c r="AE131" i="1"/>
  <c r="AC131" i="1" s="1"/>
  <c r="AE302" i="1"/>
  <c r="AE279" i="1"/>
  <c r="AD279" i="1" s="1"/>
  <c r="AE297" i="1"/>
  <c r="AE17" i="1"/>
  <c r="AE47" i="1"/>
  <c r="AE112" i="1"/>
  <c r="AE340" i="1"/>
  <c r="AE10" i="1"/>
  <c r="AE104" i="1"/>
  <c r="AE177" i="1"/>
  <c r="AC177" i="1" s="1"/>
  <c r="AE68" i="1"/>
  <c r="AC68" i="1" s="1"/>
  <c r="AE41" i="1"/>
  <c r="AC41" i="1" s="1"/>
  <c r="AE93" i="1"/>
  <c r="AC93" i="1" s="1"/>
  <c r="AE255" i="1"/>
  <c r="AC255" i="1" s="1"/>
  <c r="AE357" i="1"/>
  <c r="AC357" i="1" s="1"/>
  <c r="AE288" i="1"/>
  <c r="AC288" i="1" s="1"/>
  <c r="AE95" i="1"/>
  <c r="AC95" i="1" s="1"/>
  <c r="AE243" i="1"/>
  <c r="AC243" i="1" s="1"/>
  <c r="AE202" i="1"/>
  <c r="AC202" i="1" s="1"/>
  <c r="AE72" i="1"/>
  <c r="AC72" i="1" s="1"/>
  <c r="AE223" i="1"/>
  <c r="AE289" i="1"/>
  <c r="AC289" i="1" s="1"/>
  <c r="AE201" i="1"/>
  <c r="AE332" i="1"/>
  <c r="AE273" i="1"/>
  <c r="AE181" i="1"/>
  <c r="AD181" i="1" s="1"/>
  <c r="AE168" i="1"/>
  <c r="AE254" i="1"/>
  <c r="AE326" i="1"/>
  <c r="AC326" i="1" s="1"/>
  <c r="AE249" i="1"/>
  <c r="AE294" i="1"/>
  <c r="AD294" i="1" s="1"/>
  <c r="AE159" i="1"/>
  <c r="AE282" i="1"/>
  <c r="AE183" i="1"/>
  <c r="AE330" i="1"/>
  <c r="AE296" i="1"/>
  <c r="AD296" i="1" s="1"/>
  <c r="AE284" i="1"/>
  <c r="AD284" i="1" s="1"/>
  <c r="AE228" i="1"/>
  <c r="AC228" i="1" s="1"/>
  <c r="AE216" i="1"/>
  <c r="AC216" i="1" s="1"/>
  <c r="AE331" i="1"/>
  <c r="AD331" i="1" s="1"/>
  <c r="AE171" i="1"/>
  <c r="AE203" i="1"/>
  <c r="AC203" i="1" s="1"/>
  <c r="AE123" i="1"/>
  <c r="AC123" i="1" s="1"/>
  <c r="AE204" i="1"/>
  <c r="AC204" i="1" s="1"/>
  <c r="AE66" i="1"/>
  <c r="AC66" i="1" s="1"/>
  <c r="AE262" i="1"/>
  <c r="AC262" i="1" s="1"/>
  <c r="AE91" i="1"/>
  <c r="AC91" i="1" s="1"/>
  <c r="AE85" i="1"/>
  <c r="AC85" i="1" s="1"/>
  <c r="AE45" i="1"/>
  <c r="AE31" i="1"/>
  <c r="AC31" i="1" s="1"/>
  <c r="AE4" i="1"/>
  <c r="AD4" i="1" s="1"/>
  <c r="AE121" i="1"/>
  <c r="AC121" i="1" s="1"/>
  <c r="AE80" i="1"/>
  <c r="AC80" i="1" s="1"/>
  <c r="AE311" i="1"/>
  <c r="AC311" i="1" s="1"/>
  <c r="AE151" i="1"/>
  <c r="AC151" i="1" s="1"/>
  <c r="AE263" i="1"/>
  <c r="AC263" i="1" s="1"/>
  <c r="AE319" i="1"/>
  <c r="AE283" i="1"/>
  <c r="AC283" i="1" s="1"/>
  <c r="AE218" i="1"/>
  <c r="AD218" i="1" s="1"/>
  <c r="AE222" i="1"/>
  <c r="AE182" i="1"/>
  <c r="AD182" i="1" s="1"/>
  <c r="AE186" i="1"/>
  <c r="AD186" i="1" s="1"/>
  <c r="AE214" i="1"/>
  <c r="AE310" i="1"/>
  <c r="AC310" i="1" s="1"/>
  <c r="AE266" i="1"/>
  <c r="AE169" i="1"/>
  <c r="AE251" i="1"/>
  <c r="AE207" i="1"/>
  <c r="AD207" i="1" s="1"/>
  <c r="AE264" i="1"/>
  <c r="AE244" i="1"/>
  <c r="AE304" i="1"/>
  <c r="AE208" i="1"/>
  <c r="AD208" i="1" s="1"/>
  <c r="AE315" i="1"/>
  <c r="AC315" i="1" s="1"/>
  <c r="AE163" i="1"/>
  <c r="AD163" i="1" s="1"/>
  <c r="AE242" i="1"/>
  <c r="AC242" i="1" s="1"/>
  <c r="AE360" i="1"/>
  <c r="AC360" i="1" s="1"/>
  <c r="AE362" i="1"/>
  <c r="AC362" i="1" s="1"/>
  <c r="AE111" i="1"/>
  <c r="AC111" i="1" s="1"/>
  <c r="AE2" i="1"/>
  <c r="AC2" i="1" s="1"/>
  <c r="AE116" i="1"/>
  <c r="AD116" i="1" s="1"/>
  <c r="AE118" i="1"/>
  <c r="AC118" i="1" s="1"/>
  <c r="AE76" i="1"/>
  <c r="AC76" i="1" s="1"/>
  <c r="AE28" i="1"/>
  <c r="AC28" i="1" s="1"/>
  <c r="AE46" i="1"/>
  <c r="AE20" i="1"/>
  <c r="AE246" i="1"/>
  <c r="AC246" i="1" s="1"/>
  <c r="AE35" i="1"/>
  <c r="AC35" i="1" s="1"/>
  <c r="AE323" i="1"/>
  <c r="AC323" i="1" s="1"/>
  <c r="AE259" i="1"/>
  <c r="AC259" i="1" s="1"/>
  <c r="AE149" i="1"/>
  <c r="AC149" i="1" s="1"/>
  <c r="AE301" i="1"/>
  <c r="AD301" i="1" s="1"/>
  <c r="AE175" i="1"/>
  <c r="AE226" i="1"/>
  <c r="AE281" i="1"/>
  <c r="AD281" i="1" s="1"/>
  <c r="AE306" i="1"/>
  <c r="AE189" i="1"/>
  <c r="AE179" i="1"/>
  <c r="AC179" i="1" s="1"/>
  <c r="AE155" i="1"/>
  <c r="AE140" i="1"/>
  <c r="AE180" i="1"/>
  <c r="AC180" i="1" s="1"/>
  <c r="AE272" i="1"/>
  <c r="AE192" i="1"/>
  <c r="AD192" i="1" s="1"/>
  <c r="AE307" i="1"/>
  <c r="AE147" i="1"/>
  <c r="AE260" i="1"/>
  <c r="AC260" i="1" s="1"/>
  <c r="AE167" i="1"/>
  <c r="AC167" i="1" s="1"/>
  <c r="AE82" i="1"/>
  <c r="AC82" i="1" s="1"/>
  <c r="AE34" i="1"/>
  <c r="AC34" i="1" s="1"/>
  <c r="AE43" i="1"/>
  <c r="AC43" i="1" s="1"/>
  <c r="AE345" i="1"/>
  <c r="AC345" i="1" s="1"/>
  <c r="AE356" i="1"/>
  <c r="AC356" i="1" s="1"/>
  <c r="AE344" i="1"/>
  <c r="AE62" i="1"/>
  <c r="AC62" i="1" s="1"/>
  <c r="AE234" i="1"/>
  <c r="AC234" i="1" s="1"/>
  <c r="AE113" i="1"/>
  <c r="AE341" i="1"/>
  <c r="AE84" i="1"/>
  <c r="AC84" i="1" s="1"/>
  <c r="AE94" i="1"/>
  <c r="AC94" i="1" s="1"/>
  <c r="AE350" i="1"/>
  <c r="AC350" i="1" s="1"/>
  <c r="AE88" i="1"/>
  <c r="AC88" i="1" s="1"/>
  <c r="AE209" i="1"/>
  <c r="AD209" i="1" s="1"/>
  <c r="AE313" i="1"/>
  <c r="AE231" i="1"/>
  <c r="AE5" i="1"/>
  <c r="AE19" i="1"/>
  <c r="AE103" i="1"/>
  <c r="AE6" i="1"/>
  <c r="AE109" i="1"/>
  <c r="AE267" i="1"/>
  <c r="AC267" i="1" s="1"/>
  <c r="AE92" i="1"/>
  <c r="AC92" i="1" s="1"/>
  <c r="AE178" i="1"/>
  <c r="AD178" i="1" s="1"/>
  <c r="AE219" i="1"/>
  <c r="AC219" i="1" s="1"/>
  <c r="AE33" i="1"/>
  <c r="AC33" i="1" s="1"/>
  <c r="AE98" i="1"/>
  <c r="AC98" i="1" s="1"/>
  <c r="AE54" i="1"/>
  <c r="AC54" i="1" s="1"/>
  <c r="AE358" i="1"/>
  <c r="AC358" i="1" s="1"/>
  <c r="AE127" i="1"/>
  <c r="AC127" i="1" s="1"/>
  <c r="AE300" i="1"/>
  <c r="AC300" i="1" s="1"/>
  <c r="AE96" i="1"/>
  <c r="AC96" i="1" s="1"/>
  <c r="AE215" i="1"/>
  <c r="AE217" i="1"/>
  <c r="AE225" i="1"/>
  <c r="AD225" i="1" s="1"/>
  <c r="AE162" i="1"/>
  <c r="AD162" i="1" s="1"/>
  <c r="AE250" i="1"/>
  <c r="AE170" i="1"/>
  <c r="AE280" i="1"/>
  <c r="AD280" i="1" s="1"/>
  <c r="AE197" i="1"/>
  <c r="AE134" i="1"/>
  <c r="AE200" i="1"/>
  <c r="AC200" i="1" s="1"/>
  <c r="AE322" i="1"/>
  <c r="AD322" i="1" s="1"/>
  <c r="AE265" i="1"/>
  <c r="AE158" i="1"/>
  <c r="AC158" i="1" s="1"/>
  <c r="AE211" i="1"/>
  <c r="AE237" i="1"/>
  <c r="AE196" i="1"/>
  <c r="AE312" i="1"/>
  <c r="AE220" i="1"/>
  <c r="AE184" i="1"/>
  <c r="AE299" i="1"/>
  <c r="AD299" i="1" s="1"/>
  <c r="AE139" i="1"/>
  <c r="AC139" i="1" s="1"/>
  <c r="AE305" i="1"/>
  <c r="AC305" i="1" s="1"/>
  <c r="AE317" i="1"/>
  <c r="AD317" i="1" s="1"/>
  <c r="AE353" i="1"/>
  <c r="AC353" i="1" s="1"/>
  <c r="AE22" i="1"/>
  <c r="AC22" i="1" s="1"/>
  <c r="AE48" i="1"/>
  <c r="AD48" i="1" s="1"/>
  <c r="AE354" i="1"/>
  <c r="AC354" i="1" s="1"/>
  <c r="AE114" i="1"/>
  <c r="AE206" i="1"/>
  <c r="AC206" i="1" s="1"/>
  <c r="AE347" i="1"/>
  <c r="AC347" i="1" s="1"/>
  <c r="AE42" i="1"/>
  <c r="AD42" i="1" s="1"/>
  <c r="AE50" i="1"/>
  <c r="AE108" i="1"/>
  <c r="AE99" i="1"/>
  <c r="AC99" i="1" s="1"/>
  <c r="AE132" i="1"/>
  <c r="AC132" i="1" s="1"/>
  <c r="AE74" i="1"/>
  <c r="AC74" i="1" s="1"/>
  <c r="AE269" i="1"/>
  <c r="AE176" i="1"/>
  <c r="AE141" i="1"/>
  <c r="AD141" i="1" s="1"/>
  <c r="AE115" i="1"/>
  <c r="AE16" i="1"/>
  <c r="AE44" i="1"/>
  <c r="AE119" i="1"/>
  <c r="AE106" i="1"/>
  <c r="AE49" i="1"/>
  <c r="AE105" i="1"/>
  <c r="AE3" i="1"/>
  <c r="AC3" i="1" s="1"/>
  <c r="AE117" i="1"/>
  <c r="AC117" i="1" s="1"/>
  <c r="AE248" i="1"/>
  <c r="AC248" i="1" s="1"/>
  <c r="AE27" i="1"/>
  <c r="AC27" i="1" s="1"/>
  <c r="AE97" i="1"/>
  <c r="AC97" i="1" s="1"/>
  <c r="AE101" i="1"/>
  <c r="AC101" i="1" s="1"/>
  <c r="AE63" i="1"/>
  <c r="AC63" i="1" s="1"/>
  <c r="AE65" i="1"/>
  <c r="AC65" i="1" s="1"/>
  <c r="AE23" i="1"/>
  <c r="AC23" i="1" s="1"/>
  <c r="AE32" i="1"/>
  <c r="AD32" i="1" s="1"/>
  <c r="AE122" i="1"/>
  <c r="AC122" i="1" s="1"/>
  <c r="AE271" i="1"/>
  <c r="AE154" i="1"/>
  <c r="AE290" i="1"/>
  <c r="AE309" i="1"/>
  <c r="AE285" i="1"/>
  <c r="AE333" i="1"/>
  <c r="AC333" i="1" s="1"/>
  <c r="AE229" i="1"/>
  <c r="AE173" i="1"/>
  <c r="AC173" i="1" s="1"/>
  <c r="AE318" i="1"/>
  <c r="AD318" i="1" s="1"/>
  <c r="AE21" i="1"/>
  <c r="AE150" i="1"/>
  <c r="AE165" i="1"/>
  <c r="AE143" i="1"/>
  <c r="AE193" i="1"/>
  <c r="AE138" i="1"/>
  <c r="AC138" i="1" s="1"/>
  <c r="AE320" i="1"/>
  <c r="AE236" i="1"/>
  <c r="AE156" i="1"/>
  <c r="AC156" i="1" s="1"/>
  <c r="AE160" i="1"/>
  <c r="AE291" i="1"/>
  <c r="AC291" i="1" s="1"/>
  <c r="AE25" i="1"/>
  <c r="AC25" i="1" s="1"/>
  <c r="AE37" i="1"/>
  <c r="AC37" i="1" s="1"/>
  <c r="AE58" i="1"/>
  <c r="AC58" i="1" s="1"/>
  <c r="AE30" i="1"/>
  <c r="AC30" i="1" s="1"/>
  <c r="AE336" i="1"/>
  <c r="AC336" i="1" s="1"/>
  <c r="AE59" i="1"/>
  <c r="AC59" i="1" s="1"/>
  <c r="AE210" i="1"/>
  <c r="AC210" i="1" s="1"/>
  <c r="AE278" i="1"/>
  <c r="AD278" i="1" s="1"/>
  <c r="AE339" i="1"/>
  <c r="AE346" i="1"/>
  <c r="AC346" i="1" s="1"/>
  <c r="AE191" i="1"/>
  <c r="AC191" i="1" s="1"/>
  <c r="AE71" i="1"/>
  <c r="AC71" i="1" s="1"/>
  <c r="AE324" i="1"/>
  <c r="AC324" i="1" s="1"/>
  <c r="AE194" i="1"/>
  <c r="AE293" i="1"/>
  <c r="AC293" i="1" s="1"/>
  <c r="AE26" i="1"/>
  <c r="AC26" i="1" s="1"/>
  <c r="AE238" i="1"/>
  <c r="AE185" i="1"/>
  <c r="AE270" i="1"/>
  <c r="AC270" i="1" s="1"/>
  <c r="AE321" i="1"/>
  <c r="AE146" i="1"/>
  <c r="AC146" i="1" s="1"/>
  <c r="AE303" i="1"/>
  <c r="AE199" i="1"/>
  <c r="AE135" i="1"/>
  <c r="AE133" i="1"/>
  <c r="AC133" i="1" s="1"/>
  <c r="AE137" i="1"/>
  <c r="AD137" i="1" s="1"/>
  <c r="AE295" i="1"/>
  <c r="AE268" i="1"/>
  <c r="AE252" i="1"/>
  <c r="AD252" i="1" s="1"/>
  <c r="AE172" i="1"/>
  <c r="AC172" i="1" s="1"/>
  <c r="AE256" i="1"/>
  <c r="AE144" i="1"/>
  <c r="AD144" i="1" s="1"/>
  <c r="AE275" i="1"/>
  <c r="AD275" i="1" s="1"/>
  <c r="AE39" i="1"/>
  <c r="AC39" i="1" s="1"/>
  <c r="AE57" i="1"/>
  <c r="AC57" i="1" s="1"/>
  <c r="AE90" i="1"/>
  <c r="AC90" i="1" s="1"/>
  <c r="AE40" i="1"/>
  <c r="AC40" i="1" s="1"/>
  <c r="AE174" i="1"/>
  <c r="AC174" i="1" s="1"/>
  <c r="AE67" i="1"/>
  <c r="AD67" i="1" s="1"/>
  <c r="AE274" i="1"/>
  <c r="AC274" i="1" s="1"/>
  <c r="AE53" i="1"/>
  <c r="AC53" i="1" s="1"/>
  <c r="AE342" i="1"/>
  <c r="AE55" i="1"/>
  <c r="AC55" i="1" s="1"/>
  <c r="AE190" i="1"/>
  <c r="AC190" i="1" s="1"/>
  <c r="AE351" i="1"/>
  <c r="AC351" i="1" s="1"/>
  <c r="AE9" i="1"/>
  <c r="AE51" i="1"/>
  <c r="AC51" i="1" s="1"/>
  <c r="AE120" i="1"/>
  <c r="AC120" i="1" s="1"/>
  <c r="AE79" i="1"/>
  <c r="AD79" i="1" s="1"/>
  <c r="AE56" i="1"/>
  <c r="AC56" i="1" s="1"/>
  <c r="AE230" i="1"/>
  <c r="AE213" i="1"/>
  <c r="AE314" i="1"/>
  <c r="AC314" i="1" s="1"/>
  <c r="AE198" i="1"/>
  <c r="AE327" i="1"/>
  <c r="AE166" i="1"/>
  <c r="AE253" i="1"/>
  <c r="AC253" i="1" s="1"/>
  <c r="AE286" i="1"/>
  <c r="AE212" i="1"/>
  <c r="AC212" i="1" s="1"/>
  <c r="AE188" i="1"/>
  <c r="AD188" i="1" s="1"/>
  <c r="AE308" i="1"/>
  <c r="AE240" i="1"/>
  <c r="AE136" i="1"/>
  <c r="AC136" i="1" s="1"/>
  <c r="AE195" i="1"/>
  <c r="AD195" i="1" s="1"/>
  <c r="AE334" i="1"/>
  <c r="AC334" i="1" s="1"/>
  <c r="AE73" i="1"/>
  <c r="AC73" i="1" s="1"/>
  <c r="AE361" i="1"/>
  <c r="AC361" i="1" s="1"/>
  <c r="AE335" i="1"/>
  <c r="AC335" i="1" s="1"/>
  <c r="AE205" i="1"/>
  <c r="AC205" i="1" s="1"/>
  <c r="AE75" i="1"/>
  <c r="AC75" i="1" s="1"/>
  <c r="AE52" i="1"/>
  <c r="AC52" i="1" s="1"/>
  <c r="AE78" i="1"/>
  <c r="AC78" i="1" s="1"/>
  <c r="AE7" i="1"/>
  <c r="AE24" i="1"/>
  <c r="AC24" i="1" s="1"/>
  <c r="AE38" i="1"/>
  <c r="AC38" i="1" s="1"/>
  <c r="AE124" i="1"/>
  <c r="AE107" i="1"/>
  <c r="AE355" i="1"/>
  <c r="AC355" i="1" s="1"/>
  <c r="AE130" i="1"/>
  <c r="AC130" i="1" s="1"/>
  <c r="AE110" i="1"/>
  <c r="AD110" i="1" s="1"/>
  <c r="AE145" i="1"/>
  <c r="AD145" i="1" s="1"/>
  <c r="AE247" i="1"/>
  <c r="AE287" i="1"/>
  <c r="AE277" i="1"/>
  <c r="AC277" i="1" s="1"/>
  <c r="AE13" i="1"/>
  <c r="AE14" i="1"/>
  <c r="AE338" i="1"/>
  <c r="AE12" i="1"/>
  <c r="AE15" i="1"/>
  <c r="AE8" i="1"/>
  <c r="AE337" i="1"/>
  <c r="AC337" i="1" s="1"/>
  <c r="AE60" i="1"/>
  <c r="AC60" i="1" s="1"/>
  <c r="AE343" i="1"/>
  <c r="AC343" i="1" s="1"/>
  <c r="AE61" i="1"/>
  <c r="AC61" i="1" s="1"/>
  <c r="AE77" i="1"/>
  <c r="AC77" i="1" s="1"/>
  <c r="AE86" i="1"/>
  <c r="AC86" i="1" s="1"/>
  <c r="AE258" i="1"/>
  <c r="AD258" i="1" s="1"/>
  <c r="AE87" i="1"/>
  <c r="AC87" i="1" s="1"/>
  <c r="AE352" i="1"/>
  <c r="AC352" i="1" s="1"/>
  <c r="AE157" i="1"/>
  <c r="AC157" i="1" s="1"/>
  <c r="AE64" i="1"/>
  <c r="AC64" i="1" s="1"/>
  <c r="AE298" i="1"/>
  <c r="AE221" i="1"/>
  <c r="AE239" i="1"/>
  <c r="AC239" i="1" s="1"/>
  <c r="AE257" i="1"/>
  <c r="AE233" i="1"/>
  <c r="AC233" i="1" s="1"/>
  <c r="AE292" i="1"/>
  <c r="AC292" i="1" s="1"/>
  <c r="AE241" i="1"/>
  <c r="AD241" i="1" s="1"/>
  <c r="AE328" i="1"/>
  <c r="AC328" i="1" s="1"/>
  <c r="AE153" i="1"/>
  <c r="AE164" i="1"/>
  <c r="AD164" i="1" s="1"/>
  <c r="AE224" i="1"/>
  <c r="AE329" i="1"/>
  <c r="AC329" i="1" s="1"/>
  <c r="AE152" i="1"/>
  <c r="AC152" i="1" s="1"/>
  <c r="AE235" i="1"/>
  <c r="AC235" i="1" s="1"/>
  <c r="AE142" i="1"/>
  <c r="AE148" i="1"/>
  <c r="AE316" i="1"/>
  <c r="AC316" i="1" s="1"/>
  <c r="AE276" i="1"/>
  <c r="AE232" i="1"/>
  <c r="AE359" i="1"/>
  <c r="AC359" i="1" s="1"/>
  <c r="AE187" i="1"/>
  <c r="AC187" i="1" s="1"/>
  <c r="AE161" i="1"/>
  <c r="AC161" i="1" s="1"/>
  <c r="AE89" i="1"/>
  <c r="AC89" i="1" s="1"/>
  <c r="AE325" i="1"/>
  <c r="AC325" i="1" s="1"/>
  <c r="AE261" i="1"/>
  <c r="AC261" i="1" s="1"/>
  <c r="AE245" i="1"/>
  <c r="AC245" i="1" s="1"/>
  <c r="AE83" i="1"/>
  <c r="AC83" i="1" s="1"/>
  <c r="AE69" i="1"/>
  <c r="AC69" i="1" s="1"/>
  <c r="AE349" i="1"/>
  <c r="AC349" i="1" s="1"/>
  <c r="AA114" i="1"/>
  <c r="AA45" i="1"/>
  <c r="AA6" i="1"/>
  <c r="AA106" i="1"/>
  <c r="AA341" i="1"/>
  <c r="AA19" i="1"/>
  <c r="AA339" i="1"/>
  <c r="AA128" i="1"/>
  <c r="AA50" i="1"/>
  <c r="AA107" i="1"/>
  <c r="AA109" i="1"/>
  <c r="AA124" i="1"/>
  <c r="AA14" i="1"/>
  <c r="AA340" i="1"/>
  <c r="AA113" i="1"/>
  <c r="AA115" i="1"/>
  <c r="AA344" i="1"/>
  <c r="AA18" i="1"/>
  <c r="AA102" i="1"/>
  <c r="AA49" i="1"/>
  <c r="AA119" i="1"/>
  <c r="AA7" i="1"/>
  <c r="AA5" i="1"/>
  <c r="AA8" i="1"/>
  <c r="AA10" i="1"/>
  <c r="AA17" i="1"/>
  <c r="AA108" i="1"/>
  <c r="AA11" i="1"/>
  <c r="AA9" i="1"/>
  <c r="AA47" i="1"/>
  <c r="AA16" i="1"/>
  <c r="AA348" i="1"/>
  <c r="AA125" i="1"/>
  <c r="AA20" i="1"/>
  <c r="AA103" i="1"/>
  <c r="AA338" i="1"/>
  <c r="AA126" i="1"/>
  <c r="AA46" i="1"/>
  <c r="AA104" i="1"/>
  <c r="AA112" i="1"/>
  <c r="AA44" i="1"/>
  <c r="AA12" i="1"/>
  <c r="AA342" i="1"/>
  <c r="AA15" i="1"/>
  <c r="AA13" i="1"/>
  <c r="AC125" i="1" l="1"/>
  <c r="AC18" i="1"/>
  <c r="AC10" i="1"/>
  <c r="AD107" i="1"/>
  <c r="AD339" i="1"/>
  <c r="AC7" i="1"/>
  <c r="AD26" i="1"/>
  <c r="AD21" i="1"/>
  <c r="AC21" i="1"/>
  <c r="AD138" i="1"/>
  <c r="AD146" i="1"/>
  <c r="AC313" i="1"/>
  <c r="AD313" i="1"/>
  <c r="AD133" i="1"/>
  <c r="AD306" i="1"/>
  <c r="AC306" i="1"/>
  <c r="AD314" i="1"/>
  <c r="AD312" i="1"/>
  <c r="AC312" i="1"/>
  <c r="AD310" i="1"/>
  <c r="AC299" i="1"/>
  <c r="AC268" i="1"/>
  <c r="AD268" i="1"/>
  <c r="AC140" i="1"/>
  <c r="AD140" i="1"/>
  <c r="AD214" i="1"/>
  <c r="AC214" i="1"/>
  <c r="AC147" i="1"/>
  <c r="AD147" i="1"/>
  <c r="AC199" i="1"/>
  <c r="AD199" i="1"/>
  <c r="AC144" i="1"/>
  <c r="AC142" i="1"/>
  <c r="AD142" i="1"/>
  <c r="AD277" i="1"/>
  <c r="AC240" i="1"/>
  <c r="AD240" i="1"/>
  <c r="AC197" i="1"/>
  <c r="AD197" i="1"/>
  <c r="AC304" i="1"/>
  <c r="AD304" i="1"/>
  <c r="AC303" i="1"/>
  <c r="AD303" i="1"/>
  <c r="AC322" i="1"/>
  <c r="AC273" i="1"/>
  <c r="AD273" i="1"/>
  <c r="AD179" i="1"/>
  <c r="AC251" i="1"/>
  <c r="AD251" i="1"/>
  <c r="AD270" i="1"/>
  <c r="AD276" i="1"/>
  <c r="AC276" i="1"/>
  <c r="AC137" i="1"/>
  <c r="AC186" i="1"/>
  <c r="AD293" i="1"/>
  <c r="AD180" i="1"/>
  <c r="AD308" i="1"/>
  <c r="AC308" i="1"/>
  <c r="AC296" i="1"/>
  <c r="AC250" i="1"/>
  <c r="AD250" i="1"/>
  <c r="AC182" i="1"/>
  <c r="AD315" i="1"/>
  <c r="AC244" i="1"/>
  <c r="AD244" i="1"/>
  <c r="AD295" i="1"/>
  <c r="AC295" i="1"/>
  <c r="AD249" i="1"/>
  <c r="AC249" i="1"/>
  <c r="AC302" i="1"/>
  <c r="AD302" i="1"/>
  <c r="AC320" i="1"/>
  <c r="AD320" i="1"/>
  <c r="AD148" i="1"/>
  <c r="AC148" i="1"/>
  <c r="AC196" i="1"/>
  <c r="AD196" i="1"/>
  <c r="AD265" i="1"/>
  <c r="AC265" i="1"/>
  <c r="AD289" i="1"/>
  <c r="AC213" i="1"/>
  <c r="AD213" i="1"/>
  <c r="AC252" i="1"/>
  <c r="AC297" i="1"/>
  <c r="AD297" i="1"/>
  <c r="AD139" i="1"/>
  <c r="AD198" i="1"/>
  <c r="AC198" i="1"/>
  <c r="AC181" i="1"/>
  <c r="AC150" i="1"/>
  <c r="AD150" i="1"/>
  <c r="AD283" i="1"/>
  <c r="AC160" i="1"/>
  <c r="AD160" i="1"/>
  <c r="AD215" i="1"/>
  <c r="AC215" i="1"/>
  <c r="AC280" i="1"/>
  <c r="AD216" i="1"/>
  <c r="AD285" i="1"/>
  <c r="AC285" i="1"/>
  <c r="AC162" i="1"/>
  <c r="AD264" i="1"/>
  <c r="AC264" i="1"/>
  <c r="AD224" i="1"/>
  <c r="AC224" i="1"/>
  <c r="AD292" i="1"/>
  <c r="AD298" i="1"/>
  <c r="AC298" i="1"/>
  <c r="AD228" i="1"/>
  <c r="AD184" i="1"/>
  <c r="AC184" i="1"/>
  <c r="AD149" i="1"/>
  <c r="AC141" i="1"/>
  <c r="AC217" i="1"/>
  <c r="AD217" i="1"/>
  <c r="AC275" i="1"/>
  <c r="AD321" i="1"/>
  <c r="AC321" i="1"/>
  <c r="AD158" i="1"/>
  <c r="AC143" i="1"/>
  <c r="AD143" i="1"/>
  <c r="AD222" i="1"/>
  <c r="AC222" i="1"/>
  <c r="AD187" i="1"/>
  <c r="AC165" i="1"/>
  <c r="AD165" i="1"/>
  <c r="AD166" i="1"/>
  <c r="AC166" i="1"/>
  <c r="AC208" i="1"/>
  <c r="AC282" i="1"/>
  <c r="AD282" i="1"/>
  <c r="AD168" i="1"/>
  <c r="AC168" i="1"/>
  <c r="AC195" i="1"/>
  <c r="AD170" i="1"/>
  <c r="AC170" i="1"/>
  <c r="AD290" i="1"/>
  <c r="AC290" i="1"/>
  <c r="AD172" i="1"/>
  <c r="AD272" i="1"/>
  <c r="AC272" i="1"/>
  <c r="AC319" i="1"/>
  <c r="AD319" i="1"/>
  <c r="AC318" i="1"/>
  <c r="AC211" i="1"/>
  <c r="AD211" i="1"/>
  <c r="AD253" i="1"/>
  <c r="AC193" i="1"/>
  <c r="AD193" i="1"/>
  <c r="AD286" i="1"/>
  <c r="AC286" i="1"/>
  <c r="AD233" i="1"/>
  <c r="AC220" i="1"/>
  <c r="AD220" i="1"/>
  <c r="AD223" i="1"/>
  <c r="AC223" i="1"/>
  <c r="AD151" i="1"/>
  <c r="AD221" i="1"/>
  <c r="AC221" i="1"/>
  <c r="AC225" i="1"/>
  <c r="AC266" i="1"/>
  <c r="AD266" i="1"/>
  <c r="AC218" i="1"/>
  <c r="AD201" i="1"/>
  <c r="AC201" i="1"/>
  <c r="AC164" i="1"/>
  <c r="AC238" i="1"/>
  <c r="AD238" i="1"/>
  <c r="AD311" i="1"/>
  <c r="AC269" i="1"/>
  <c r="AD269" i="1"/>
  <c r="AC241" i="1"/>
  <c r="AD153" i="1"/>
  <c r="AC153" i="1"/>
  <c r="AD152" i="1"/>
  <c r="AD271" i="1"/>
  <c r="AC271" i="1"/>
  <c r="AD232" i="1"/>
  <c r="AC232" i="1"/>
  <c r="AD136" i="1"/>
  <c r="AD307" i="1"/>
  <c r="AC307" i="1"/>
  <c r="AC301" i="1"/>
  <c r="AC183" i="1"/>
  <c r="AD183" i="1"/>
  <c r="AC279" i="1"/>
  <c r="AD185" i="1"/>
  <c r="AC185" i="1"/>
  <c r="AC294" i="1"/>
  <c r="AC134" i="1"/>
  <c r="AD134" i="1"/>
  <c r="AD291" i="1"/>
  <c r="AC171" i="1"/>
  <c r="AD171" i="1"/>
  <c r="AC207" i="1"/>
  <c r="AC229" i="1"/>
  <c r="AD229" i="1"/>
  <c r="AC188" i="1"/>
  <c r="AD256" i="1"/>
  <c r="AC256" i="1"/>
  <c r="AD263" i="1"/>
  <c r="AD194" i="1"/>
  <c r="AC194" i="1"/>
  <c r="AD239" i="1"/>
  <c r="AD236" i="1"/>
  <c r="AC236" i="1"/>
  <c r="AD257" i="1"/>
  <c r="AC257" i="1"/>
  <c r="AC284" i="1"/>
  <c r="AC254" i="1"/>
  <c r="AD254" i="1"/>
  <c r="AC163" i="1"/>
  <c r="AC226" i="1"/>
  <c r="AD226" i="1"/>
  <c r="AC281" i="1"/>
  <c r="AC155" i="1"/>
  <c r="AD155" i="1"/>
  <c r="AD154" i="1"/>
  <c r="AC154" i="1"/>
  <c r="AC145" i="1"/>
  <c r="AD175" i="1"/>
  <c r="AC175" i="1"/>
  <c r="AD237" i="1"/>
  <c r="AC237" i="1"/>
  <c r="AD316" i="1"/>
  <c r="AC169" i="1"/>
  <c r="AD169" i="1"/>
  <c r="AC192" i="1"/>
  <c r="AD135" i="1"/>
  <c r="AC135" i="1"/>
  <c r="AD173" i="1"/>
  <c r="AD247" i="1"/>
  <c r="AC247" i="1"/>
  <c r="AD235" i="1"/>
  <c r="AC159" i="1"/>
  <c r="AD159" i="1"/>
  <c r="AD200" i="1"/>
  <c r="AC287" i="1"/>
  <c r="AD287" i="1"/>
  <c r="AD156" i="1"/>
  <c r="AC176" i="1"/>
  <c r="AD176" i="1"/>
  <c r="AC189" i="1"/>
  <c r="AD189" i="1"/>
  <c r="AC209" i="1"/>
  <c r="AD309" i="1"/>
  <c r="AC309" i="1"/>
  <c r="AD128" i="1"/>
  <c r="AC15" i="1"/>
  <c r="AD212" i="1"/>
  <c r="AC102" i="1"/>
  <c r="AD341" i="1"/>
  <c r="AC230" i="1"/>
  <c r="AD230" i="1"/>
  <c r="AD333" i="1"/>
  <c r="AC231" i="1"/>
  <c r="AD231" i="1"/>
  <c r="AD124" i="1"/>
  <c r="AD50" i="1"/>
  <c r="AC331" i="1"/>
  <c r="AC332" i="1"/>
  <c r="AD332" i="1"/>
  <c r="AC47" i="1"/>
  <c r="AC17" i="1"/>
  <c r="AC338" i="1"/>
  <c r="AD329" i="1"/>
  <c r="AC330" i="1"/>
  <c r="AD330" i="1"/>
  <c r="AD328" i="1"/>
  <c r="AD326" i="1"/>
  <c r="AC327" i="1"/>
  <c r="AD327" i="1"/>
  <c r="AC112" i="1"/>
  <c r="AC49" i="1"/>
  <c r="AC12" i="1"/>
  <c r="AC108" i="1"/>
  <c r="AC5" i="1"/>
  <c r="AC8" i="1"/>
  <c r="AC340" i="1"/>
  <c r="AD109" i="1"/>
  <c r="AD19" i="1"/>
  <c r="AC348" i="1"/>
  <c r="AD6" i="1"/>
  <c r="AD106" i="1"/>
  <c r="AC45" i="1"/>
  <c r="AC9" i="1"/>
  <c r="AC11" i="1"/>
  <c r="AC113" i="1"/>
  <c r="AC13" i="1"/>
  <c r="AC103" i="1"/>
  <c r="AD114" i="1"/>
  <c r="AC20" i="1"/>
  <c r="AC115" i="1"/>
  <c r="AC16" i="1"/>
  <c r="AC126" i="1"/>
  <c r="AD14" i="1"/>
  <c r="AC44" i="1"/>
  <c r="AC344" i="1"/>
  <c r="AC104" i="1"/>
  <c r="AC119" i="1"/>
  <c r="AC342" i="1"/>
  <c r="AC46" i="1"/>
  <c r="AD46" i="1"/>
  <c r="AC105" i="1"/>
  <c r="AD105" i="1"/>
  <c r="AD10" i="1"/>
  <c r="AD102" i="1"/>
  <c r="AC100" i="1"/>
  <c r="AC178" i="1"/>
  <c r="AC4" i="1"/>
  <c r="AC128" i="1"/>
  <c r="AD127" i="1"/>
  <c r="AD177" i="1"/>
  <c r="AD323" i="1"/>
  <c r="AD111" i="1"/>
  <c r="AD246" i="1"/>
  <c r="AD255" i="1"/>
  <c r="AD161" i="1"/>
  <c r="AD121" i="1"/>
  <c r="AD274" i="1"/>
  <c r="AD360" i="1"/>
  <c r="AD130" i="1"/>
  <c r="AD89" i="1"/>
  <c r="AD234" i="1"/>
  <c r="AD85" i="1"/>
  <c r="AD34" i="1"/>
  <c r="AD70" i="1"/>
  <c r="AD81" i="1"/>
  <c r="AD202" i="1"/>
  <c r="AD346" i="1"/>
  <c r="AD13" i="1"/>
  <c r="AD126" i="1"/>
  <c r="AD16" i="1"/>
  <c r="AD18" i="1"/>
  <c r="AC339" i="1"/>
  <c r="AC6" i="1"/>
  <c r="AC110" i="1"/>
  <c r="AD66" i="1"/>
  <c r="AD45" i="1"/>
  <c r="AD96" i="1"/>
  <c r="AD227" i="1"/>
  <c r="AD90" i="1"/>
  <c r="AD35" i="1"/>
  <c r="AD117" i="1"/>
  <c r="AD71" i="1"/>
  <c r="AD99" i="1"/>
  <c r="AD82" i="1"/>
  <c r="AD219" i="1"/>
  <c r="AD57" i="1"/>
  <c r="AD38" i="1"/>
  <c r="AD52" i="1"/>
  <c r="AD352" i="1"/>
  <c r="AD27" i="1"/>
  <c r="AD325" i="1"/>
  <c r="AD23" i="1"/>
  <c r="AD77" i="1"/>
  <c r="AD15" i="1"/>
  <c r="AD338" i="1"/>
  <c r="AD47" i="1"/>
  <c r="AC42" i="1"/>
  <c r="AC48" i="1"/>
  <c r="AC317" i="1"/>
  <c r="AD345" i="1"/>
  <c r="AD64" i="1"/>
  <c r="AD132" i="1"/>
  <c r="AD58" i="1"/>
  <c r="AD84" i="1"/>
  <c r="AD358" i="1"/>
  <c r="AD28" i="1"/>
  <c r="AD362" i="1"/>
  <c r="AD97" i="1"/>
  <c r="AD260" i="1"/>
  <c r="AD36" i="1"/>
  <c r="AD248" i="1"/>
  <c r="AD74" i="1"/>
  <c r="AD190" i="1"/>
  <c r="AD242" i="1"/>
  <c r="AD357" i="1"/>
  <c r="AD129" i="1"/>
  <c r="AD342" i="1"/>
  <c r="AD103" i="1"/>
  <c r="AD9" i="1"/>
  <c r="AD8" i="1"/>
  <c r="AD115" i="1"/>
  <c r="AC32" i="1"/>
  <c r="AC116" i="1"/>
  <c r="AD167" i="1"/>
  <c r="AD351" i="1"/>
  <c r="AD300" i="1"/>
  <c r="AD68" i="1"/>
  <c r="AD3" i="1"/>
  <c r="AD261" i="1"/>
  <c r="AD88" i="1"/>
  <c r="AD191" i="1"/>
  <c r="AD361" i="1"/>
  <c r="AD243" i="1"/>
  <c r="AD334" i="1"/>
  <c r="AD95" i="1"/>
  <c r="AD31" i="1"/>
  <c r="AD33" i="1"/>
  <c r="AD39" i="1"/>
  <c r="AD87" i="1"/>
  <c r="AD210" i="1"/>
  <c r="AD12" i="1"/>
  <c r="AD20" i="1"/>
  <c r="AD11" i="1"/>
  <c r="AD5" i="1"/>
  <c r="AC14" i="1"/>
  <c r="AC258" i="1"/>
  <c r="AC67" i="1"/>
  <c r="AD55" i="1"/>
  <c r="AD73" i="1"/>
  <c r="AD157" i="1"/>
  <c r="AD118" i="1"/>
  <c r="AD91" i="1"/>
  <c r="AD335" i="1"/>
  <c r="AD60" i="1"/>
  <c r="AD56" i="1"/>
  <c r="AD83" i="1"/>
  <c r="AD40" i="1"/>
  <c r="AD76" i="1"/>
  <c r="AD63" i="1"/>
  <c r="AD353" i="1"/>
  <c r="AD204" i="1"/>
  <c r="AD267" i="1"/>
  <c r="AD54" i="1"/>
  <c r="AD41" i="1"/>
  <c r="AD44" i="1"/>
  <c r="AD125" i="1"/>
  <c r="AD7" i="1"/>
  <c r="AD344" i="1"/>
  <c r="AD113" i="1"/>
  <c r="AD2" i="1"/>
  <c r="AD94" i="1"/>
  <c r="AD37" i="1"/>
  <c r="AD51" i="1"/>
  <c r="AD69" i="1"/>
  <c r="AD59" i="1"/>
  <c r="AD356" i="1"/>
  <c r="AD123" i="1"/>
  <c r="AD259" i="1"/>
  <c r="AD337" i="1"/>
  <c r="AD343" i="1"/>
  <c r="AD350" i="1"/>
  <c r="AD288" i="1"/>
  <c r="AD75" i="1"/>
  <c r="AD30" i="1"/>
  <c r="AD122" i="1"/>
  <c r="AD112" i="1"/>
  <c r="AD348" i="1"/>
  <c r="AD108" i="1"/>
  <c r="AD119" i="1"/>
  <c r="AC29" i="1"/>
  <c r="AD174" i="1"/>
  <c r="AD62" i="1"/>
  <c r="AD203" i="1"/>
  <c r="AD349" i="1"/>
  <c r="AD24" i="1"/>
  <c r="AD262" i="1"/>
  <c r="AD86" i="1"/>
  <c r="AD65" i="1"/>
  <c r="AD131" i="1"/>
  <c r="AD93" i="1"/>
  <c r="AD245" i="1"/>
  <c r="AD347" i="1"/>
  <c r="AD80" i="1"/>
  <c r="AD101" i="1"/>
  <c r="AD43" i="1"/>
  <c r="AD354" i="1"/>
  <c r="AD340" i="1"/>
  <c r="AD72" i="1"/>
  <c r="AD98" i="1"/>
  <c r="AD104" i="1"/>
  <c r="AD17" i="1"/>
  <c r="AD49" i="1"/>
  <c r="AC278" i="1"/>
  <c r="AC79" i="1"/>
  <c r="AD92" i="1"/>
  <c r="AD25" i="1"/>
  <c r="AD336" i="1"/>
  <c r="AD53" i="1"/>
  <c r="AD305" i="1"/>
  <c r="AD206" i="1"/>
  <c r="AD61" i="1"/>
  <c r="AD22" i="1"/>
  <c r="AD78" i="1"/>
  <c r="AD324" i="1"/>
  <c r="AD355" i="1"/>
  <c r="AD205" i="1"/>
  <c r="AD120" i="1"/>
  <c r="AD359" i="1"/>
  <c r="AC106" i="1"/>
  <c r="AC107" i="1"/>
  <c r="AC109" i="1"/>
  <c r="AC341" i="1"/>
  <c r="AC50" i="1"/>
  <c r="AC114" i="1"/>
  <c r="AC19" i="1"/>
  <c r="AC124" i="1"/>
</calcChain>
</file>

<file path=xl/sharedStrings.xml><?xml version="1.0" encoding="utf-8"?>
<sst xmlns="http://schemas.openxmlformats.org/spreadsheetml/2006/main" count="3255" uniqueCount="426">
  <si>
    <t>BC Hydro Names</t>
  </si>
  <si>
    <t>Project Type</t>
  </si>
  <si>
    <t>Region</t>
  </si>
  <si>
    <t>Latitude</t>
  </si>
  <si>
    <t>Longitude</t>
  </si>
  <si>
    <t>Installed Capacity (MW)</t>
  </si>
  <si>
    <t>Dependable Generating Capacity (MW)</t>
  </si>
  <si>
    <t>Effective Load-Carrying Capacity (MW)</t>
  </si>
  <si>
    <t>Annual Firm Energy (GWh/yr)</t>
  </si>
  <si>
    <t>UEC ($/MWh)</t>
  </si>
  <si>
    <t>UCC ($/kW-yr)</t>
  </si>
  <si>
    <t>R1 Length (km)</t>
  </si>
  <si>
    <t>T1 Length (km)</t>
  </si>
  <si>
    <t>Line Voltage</t>
  </si>
  <si>
    <t>Plateau or Ridgeline - WIND</t>
  </si>
  <si>
    <t>Footprint of Plant (ha) - SOLAR</t>
  </si>
  <si>
    <t>Footprint of Panels (ha) - SOLAR</t>
  </si>
  <si>
    <t>Raw Terrestrial Score</t>
  </si>
  <si>
    <t>Raw Freshwater Score</t>
  </si>
  <si>
    <t>Summed Raw Scores</t>
  </si>
  <si>
    <t>Battery</t>
  </si>
  <si>
    <t>Vancouver Island</t>
  </si>
  <si>
    <t>NA</t>
  </si>
  <si>
    <t>Canoe Creek - Valemount</t>
  </si>
  <si>
    <t>Geothermal</t>
  </si>
  <si>
    <t>Kelly Nicola</t>
  </si>
  <si>
    <t>Clarke Lake</t>
  </si>
  <si>
    <t>Peace River</t>
  </si>
  <si>
    <t>Jedney Area</t>
  </si>
  <si>
    <t>Lakelse Lake</t>
  </si>
  <si>
    <t>North Coast</t>
  </si>
  <si>
    <t>Meager Creek</t>
  </si>
  <si>
    <t>Lower Mainland</t>
  </si>
  <si>
    <t>Mt. Cayley</t>
  </si>
  <si>
    <t>Pebble Creek</t>
  </si>
  <si>
    <t>Sloquet Creek</t>
  </si>
  <si>
    <t>MSW 1</t>
  </si>
  <si>
    <t>Biomass</t>
  </si>
  <si>
    <t>MSW 2</t>
  </si>
  <si>
    <t>MSW 3</t>
  </si>
  <si>
    <t>Selkirk</t>
  </si>
  <si>
    <t>Bookhout 2</t>
  </si>
  <si>
    <t>Pumped Storage</t>
  </si>
  <si>
    <t>Hirsch - storage for 16 hrs of generation</t>
  </si>
  <si>
    <t>Kenyon - Stave</t>
  </si>
  <si>
    <t>Lower Falls - storage for 16 hrs of generation</t>
  </si>
  <si>
    <t>Quimper - Bulson</t>
  </si>
  <si>
    <t>Sleeman - storage for 16 hrs of generation</t>
  </si>
  <si>
    <t>Upper Clore - Storage for 16 hrs of generation</t>
  </si>
  <si>
    <t>Upper Deserted - Un-named</t>
  </si>
  <si>
    <t>Upper Misery - Lower Misery</t>
  </si>
  <si>
    <t>Upper Vancouver - Lower Vancouver</t>
  </si>
  <si>
    <t>ROR_5018</t>
  </si>
  <si>
    <t>Run of River</t>
  </si>
  <si>
    <t>ROR_5101</t>
  </si>
  <si>
    <t>ROR_5332</t>
  </si>
  <si>
    <t>Mica</t>
  </si>
  <si>
    <t>Solar35274</t>
  </si>
  <si>
    <t>Solar</t>
  </si>
  <si>
    <t>Central Interior</t>
  </si>
  <si>
    <t>Solar35279</t>
  </si>
  <si>
    <t>Solar36063</t>
  </si>
  <si>
    <t>Solar36070</t>
  </si>
  <si>
    <t>Solar36073</t>
  </si>
  <si>
    <t>Solar36074</t>
  </si>
  <si>
    <t>Solar36893</t>
  </si>
  <si>
    <t>Solar36894</t>
  </si>
  <si>
    <t>Solar37703</t>
  </si>
  <si>
    <t>Solar37705</t>
  </si>
  <si>
    <t>Solar37706</t>
  </si>
  <si>
    <t>Solar37707</t>
  </si>
  <si>
    <t>Solar37708</t>
  </si>
  <si>
    <t>Solar38465</t>
  </si>
  <si>
    <t>Solar62049</t>
  </si>
  <si>
    <t>Solar65978</t>
  </si>
  <si>
    <t>Solar67498</t>
  </si>
  <si>
    <t>Solar69283</t>
  </si>
  <si>
    <t>Solar69284</t>
  </si>
  <si>
    <t>Solar70163</t>
  </si>
  <si>
    <t>Solar70164</t>
  </si>
  <si>
    <t>Solar70167</t>
  </si>
  <si>
    <t>Solar70982</t>
  </si>
  <si>
    <t>Solar70986</t>
  </si>
  <si>
    <t>Solar70988</t>
  </si>
  <si>
    <t>Solar70989</t>
  </si>
  <si>
    <t>Solar70993</t>
  </si>
  <si>
    <t>Solar71004</t>
  </si>
  <si>
    <t>Revelstoke</t>
  </si>
  <si>
    <t>Solar71774</t>
  </si>
  <si>
    <t>Solar72534</t>
  </si>
  <si>
    <t>Solar72543</t>
  </si>
  <si>
    <t>Solar73988</t>
  </si>
  <si>
    <t>Solar76979</t>
  </si>
  <si>
    <t>Solar78421</t>
  </si>
  <si>
    <t>Solar79910</t>
  </si>
  <si>
    <t>East Kootenay</t>
  </si>
  <si>
    <t>Anudol_Creek_A-8hr</t>
  </si>
  <si>
    <t>Small Storage Hydro</t>
  </si>
  <si>
    <t>Ball_Creek-8hr</t>
  </si>
  <si>
    <t>Chemainus_River-8hr</t>
  </si>
  <si>
    <t>Elaho_River-8hr</t>
  </si>
  <si>
    <t>Freda_Creek-8hr</t>
  </si>
  <si>
    <t>Kinskuch_River-8hr</t>
  </si>
  <si>
    <t>More_Creek-8hr</t>
  </si>
  <si>
    <t>Nahatlatch_River-8hr</t>
  </si>
  <si>
    <t>Nass_River-8hr</t>
  </si>
  <si>
    <t>Nimpkish_River_B-8hr</t>
  </si>
  <si>
    <t>Silverhope_Creek-8hr</t>
  </si>
  <si>
    <t>Siwash_Creek-8hr</t>
  </si>
  <si>
    <t>South_Creek-8hr</t>
  </si>
  <si>
    <t>Spuzzum_Creek-8hr</t>
  </si>
  <si>
    <t>Squamish_River_B-8hr</t>
  </si>
  <si>
    <t>Zymoetz_River-8hr</t>
  </si>
  <si>
    <t>BC08</t>
  </si>
  <si>
    <t>Onshore Wind</t>
  </si>
  <si>
    <t>P</t>
  </si>
  <si>
    <t>BC09</t>
  </si>
  <si>
    <t>BC10</t>
  </si>
  <si>
    <t>BC11</t>
  </si>
  <si>
    <t>BC13</t>
  </si>
  <si>
    <t>BC15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</si>
  <si>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</si>
  <si>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</si>
  <si>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</si>
  <si>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</si>
  <si>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</si>
  <si>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</si>
  <si>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</si>
  <si>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</si>
  <si>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</si>
  <si>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</si>
  <si>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NC01</t>
  </si>
  <si>
    <t>NC02</t>
  </si>
  <si>
    <t>NC05</t>
  </si>
  <si>
    <t>NC06</t>
  </si>
  <si>
    <t>NC07</t>
  </si>
  <si>
    <t>R</t>
  </si>
  <si>
    <t>NC08</t>
  </si>
  <si>
    <t>NC09</t>
  </si>
  <si>
    <t>NC10</t>
  </si>
  <si>
    <t>NC11</t>
  </si>
  <si>
    <t>NC12</t>
  </si>
  <si>
    <t>NC13</t>
  </si>
  <si>
    <t>PC01</t>
  </si>
  <si>
    <t>PC02</t>
  </si>
  <si>
    <t>PC04</t>
  </si>
  <si>
    <t>PC05</t>
  </si>
  <si>
    <t>PC06</t>
  </si>
  <si>
    <t>PC07</t>
  </si>
  <si>
    <t>PC08</t>
  </si>
  <si>
    <t>PC09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</si>
  <si>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</si>
  <si>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</si>
  <si>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</si>
  <si>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</si>
  <si>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</si>
  <si>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</si>
  <si>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</si>
  <si>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</si>
  <si>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</si>
  <si>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</si>
  <si>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</si>
  <si>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</si>
  <si>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</si>
  <si>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</si>
  <si>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</si>
  <si>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</si>
  <si>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</si>
  <si>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</si>
  <si>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</si>
  <si>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</si>
  <si>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PC32</t>
  </si>
  <si>
    <t>PC34</t>
  </si>
  <si>
    <t>PC36</t>
  </si>
  <si>
    <t>PC37</t>
  </si>
  <si>
    <t>PC38</t>
  </si>
  <si>
    <t>PC39</t>
  </si>
  <si>
    <t>PC40</t>
  </si>
  <si>
    <t>PC41</t>
  </si>
  <si>
    <t>PC42</t>
  </si>
  <si>
    <t>PC43</t>
  </si>
  <si>
    <t>PC46</t>
  </si>
  <si>
    <t>PC47</t>
  </si>
  <si>
    <t>PC48</t>
  </si>
  <si>
    <t>SI01</t>
  </si>
  <si>
    <t>SI02</t>
  </si>
  <si>
    <t>SI03</t>
  </si>
  <si>
    <t>SI04</t>
  </si>
  <si>
    <t>Both</t>
  </si>
  <si>
    <t>SI05</t>
  </si>
  <si>
    <t>SI06</t>
  </si>
  <si>
    <t>SI08</t>
  </si>
  <si>
    <t>SI09</t>
  </si>
  <si>
    <t>SI10</t>
  </si>
  <si>
    <t>SI11</t>
  </si>
  <si>
    <t>SI12</t>
  </si>
  <si>
    <t>SI13</t>
  </si>
  <si>
    <t>SI14</t>
  </si>
  <si>
    <t>SI15</t>
  </si>
  <si>
    <t>SI18</t>
  </si>
  <si>
    <t>SI19</t>
  </si>
  <si>
    <t>SI20</t>
  </si>
  <si>
    <t>SI22</t>
  </si>
  <si>
    <t>SI23</t>
  </si>
  <si>
    <t>SI27</t>
  </si>
  <si>
    <t>SI28</t>
  </si>
  <si>
    <t>SI29</t>
  </si>
  <si>
    <t>SI30</t>
  </si>
  <si>
    <t>SI31</t>
  </si>
  <si>
    <t>SI33</t>
  </si>
  <si>
    <t>SI37</t>
  </si>
  <si>
    <t>SI38</t>
  </si>
  <si>
    <t>VI02</t>
  </si>
  <si>
    <t>VI04</t>
  </si>
  <si>
    <t>VI05</t>
  </si>
  <si>
    <t>VI06</t>
  </si>
  <si>
    <t>VI07</t>
  </si>
  <si>
    <t>VI08</t>
  </si>
  <si>
    <t>VI09</t>
  </si>
  <si>
    <t>VI10</t>
  </si>
  <si>
    <t>VI11</t>
  </si>
  <si>
    <t>VI12</t>
  </si>
  <si>
    <t>VI13</t>
  </si>
  <si>
    <t>VI14</t>
  </si>
  <si>
    <t>VI15</t>
  </si>
  <si>
    <t>WBBio_CB_RR</t>
  </si>
  <si>
    <t>WBBio_LM_RR</t>
  </si>
  <si>
    <t>WBBio_LM_ST_1</t>
  </si>
  <si>
    <t>WBBio_LM_ST_2</t>
  </si>
  <si>
    <t>WBBio_NE_ST_1</t>
  </si>
  <si>
    <t>WBBio_NE_ST_2</t>
  </si>
  <si>
    <t>WBBio_NE_ST_3</t>
  </si>
  <si>
    <t>WBBio_NW_ST</t>
  </si>
  <si>
    <t>WBBio_SP_RR</t>
  </si>
  <si>
    <t>WBBio_SP_ST</t>
  </si>
  <si>
    <t>WBBio_WPR_PL</t>
  </si>
  <si>
    <t>Knight - Fourth</t>
  </si>
  <si>
    <t>Municipal Solid Waste</t>
  </si>
  <si>
    <t>Number of Turbines - WIND</t>
  </si>
  <si>
    <t>ATG (ha)</t>
  </si>
  <si>
    <t>Notes</t>
  </si>
  <si>
    <t>Terrestrial % of Summed Score</t>
  </si>
  <si>
    <t>Freshwater % of Summed Score</t>
  </si>
  <si>
    <t>Scaled Summed Score</t>
  </si>
  <si>
    <t>Linear Features (km)</t>
  </si>
  <si>
    <t>Terrestrial Proportion of Scaled Score</t>
  </si>
  <si>
    <t>Freshwater Proportion of Scaled Score</t>
  </si>
  <si>
    <t>Linear Area (ha)</t>
  </si>
  <si>
    <t>ATG/Linear Ratio</t>
  </si>
  <si>
    <t>In 2021?</t>
  </si>
  <si>
    <t>y</t>
  </si>
  <si>
    <t>T_2L129</t>
  </si>
  <si>
    <t>T_5L003</t>
  </si>
  <si>
    <t>T_5L007</t>
  </si>
  <si>
    <t>T_5L013</t>
  </si>
  <si>
    <t>T_5L042</t>
  </si>
  <si>
    <t>T_5L061</t>
  </si>
  <si>
    <t>T_5L062</t>
  </si>
  <si>
    <t>T_5L063</t>
  </si>
  <si>
    <t>Transmission</t>
  </si>
  <si>
    <t>Solar66723</t>
  </si>
  <si>
    <t>Solar51483</t>
  </si>
  <si>
    <t>Solar66722</t>
  </si>
  <si>
    <t>Solar38464</t>
  </si>
  <si>
    <t>Solar79182</t>
  </si>
  <si>
    <t>Solar35273</t>
  </si>
  <si>
    <t>Solar36892</t>
  </si>
  <si>
    <t>Solar36072</t>
  </si>
  <si>
    <t>Solar37701</t>
  </si>
  <si>
    <t>Solar73987</t>
  </si>
  <si>
    <t>Solar68366</t>
  </si>
  <si>
    <t>Solar35276</t>
  </si>
  <si>
    <t>Solar36069</t>
  </si>
  <si>
    <t>Solar70166</t>
  </si>
  <si>
    <t>Solar36895</t>
  </si>
  <si>
    <t>Solar21118</t>
  </si>
  <si>
    <t>Solar79908</t>
  </si>
  <si>
    <t>Solar36065</t>
  </si>
  <si>
    <t>Solar27672</t>
  </si>
  <si>
    <t>Solar68377</t>
  </si>
  <si>
    <t>Solar36071</t>
  </si>
  <si>
    <t>Solar73257</t>
  </si>
  <si>
    <t>Solar35271</t>
  </si>
  <si>
    <t>Solar35272</t>
  </si>
  <si>
    <t>Solar36059</t>
  </si>
  <si>
    <t>Solar65976</t>
  </si>
  <si>
    <t>Solar73260</t>
  </si>
  <si>
    <t>Solar70981</t>
  </si>
  <si>
    <t>Solar68379</t>
  </si>
  <si>
    <t>Solar70984</t>
  </si>
  <si>
    <t>Solar68372</t>
  </si>
  <si>
    <t>Solar71006</t>
  </si>
  <si>
    <t>Solar36897</t>
  </si>
  <si>
    <t>Solar36891</t>
  </si>
  <si>
    <t>Solar70983</t>
  </si>
  <si>
    <t>Solar37709</t>
  </si>
  <si>
    <t>Solar66721</t>
  </si>
  <si>
    <t>Solar73997</t>
  </si>
  <si>
    <t>Solar36067</t>
  </si>
  <si>
    <t>Solar75466</t>
  </si>
  <si>
    <t>Solar20369</t>
  </si>
  <si>
    <t>Solar73255</t>
  </si>
  <si>
    <t>Solar36888</t>
  </si>
  <si>
    <t>Solar76981</t>
  </si>
  <si>
    <t>Solar36886</t>
  </si>
  <si>
    <t>Solar21844</t>
  </si>
  <si>
    <t>Solar78446</t>
  </si>
  <si>
    <t>Solar32665</t>
  </si>
  <si>
    <t>Solar66726</t>
  </si>
  <si>
    <t>Solar71783</t>
  </si>
  <si>
    <t>Solar68400</t>
  </si>
  <si>
    <t>Solar35270</t>
  </si>
  <si>
    <t>Solar79201</t>
  </si>
  <si>
    <t>Solar71781</t>
  </si>
  <si>
    <t>Solar36060</t>
  </si>
  <si>
    <t>Solar68378</t>
  </si>
  <si>
    <t>Solar62047</t>
  </si>
  <si>
    <t>Solar37702</t>
  </si>
  <si>
    <t>Solar65972</t>
  </si>
  <si>
    <t>Solar71769</t>
  </si>
  <si>
    <t>Solar32664</t>
  </si>
  <si>
    <t>Solar62881</t>
  </si>
  <si>
    <t>Solar67480</t>
  </si>
  <si>
    <t>Solar64496</t>
  </si>
  <si>
    <t>Solar62055</t>
  </si>
  <si>
    <t>Solar70980</t>
  </si>
  <si>
    <t>Solar73984</t>
  </si>
  <si>
    <t>Solar36896</t>
  </si>
  <si>
    <t>Solar79919</t>
  </si>
  <si>
    <t>Solar38468</t>
  </si>
  <si>
    <t>Solar36068</t>
  </si>
  <si>
    <t>Solar80640</t>
  </si>
  <si>
    <t>Solar72530</t>
  </si>
  <si>
    <t>Solar36898</t>
  </si>
  <si>
    <t>Solar73991</t>
  </si>
  <si>
    <t>Solar36066</t>
  </si>
  <si>
    <t>Solar37710</t>
  </si>
  <si>
    <t>Solar36064</t>
  </si>
  <si>
    <t>Solar73258</t>
  </si>
  <si>
    <t>Solar36890</t>
  </si>
  <si>
    <t>Solar36062</t>
  </si>
  <si>
    <t>Solar36061</t>
  </si>
  <si>
    <t>Solar35275</t>
  </si>
  <si>
    <t>Solar64495</t>
  </si>
  <si>
    <t>Solar27670</t>
  </si>
  <si>
    <t>Solar72536</t>
  </si>
  <si>
    <t>Solar81355</t>
  </si>
  <si>
    <t>Solar23940</t>
  </si>
  <si>
    <t>Solar62046</t>
  </si>
  <si>
    <t>Solar32661</t>
  </si>
  <si>
    <t>Solar73256</t>
  </si>
  <si>
    <t>Solar66720</t>
  </si>
  <si>
    <t>Solar36887</t>
  </si>
  <si>
    <t>Solar74711</t>
  </si>
  <si>
    <t>Solar76238</t>
  </si>
  <si>
    <t>Solar36056</t>
  </si>
  <si>
    <t>Solar65228</t>
  </si>
  <si>
    <t>Solar71767</t>
  </si>
  <si>
    <t>Solar60401</t>
  </si>
  <si>
    <t>Solar73982</t>
  </si>
  <si>
    <t>Solar73259</t>
  </si>
  <si>
    <t>Solar59571</t>
  </si>
  <si>
    <t>Solar35277</t>
  </si>
  <si>
    <t>Solar36884</t>
  </si>
  <si>
    <t>Solar32662</t>
  </si>
  <si>
    <t>Solar23229</t>
  </si>
  <si>
    <t>Solar37698</t>
  </si>
  <si>
    <t>Solar70974</t>
  </si>
  <si>
    <t>Solar76234</t>
  </si>
  <si>
    <t>Solar73989</t>
  </si>
  <si>
    <t>Solar58731</t>
  </si>
  <si>
    <t>Solar36885</t>
  </si>
  <si>
    <t>Solar71768</t>
  </si>
  <si>
    <t>Solar36899</t>
  </si>
  <si>
    <t>Solar31787</t>
  </si>
  <si>
    <t>Solar81353</t>
  </si>
  <si>
    <t>Solar77691</t>
  </si>
  <si>
    <t>Solar70181</t>
  </si>
  <si>
    <t>Solar79905</t>
  </si>
  <si>
    <t>Solar75468</t>
  </si>
  <si>
    <t>Solar69285</t>
  </si>
  <si>
    <t>Solar76231</t>
  </si>
  <si>
    <t>Solar70190</t>
  </si>
  <si>
    <t>Solar36883</t>
  </si>
  <si>
    <t>Solar79181</t>
  </si>
  <si>
    <t>Solar74712</t>
  </si>
  <si>
    <t>Solar36889</t>
  </si>
  <si>
    <t>Solar22545</t>
  </si>
  <si>
    <t>Solar71782</t>
  </si>
  <si>
    <t>Solar72538</t>
  </si>
  <si>
    <t>Solar36077</t>
  </si>
  <si>
    <t>Solar70973</t>
  </si>
  <si>
    <t>Solar81356</t>
  </si>
  <si>
    <t>Solar72533</t>
  </si>
  <si>
    <t>Solar72541</t>
  </si>
  <si>
    <t>Solar77693</t>
  </si>
  <si>
    <t>Solar77711</t>
  </si>
  <si>
    <t>Solar37697</t>
  </si>
  <si>
    <t>Solar68395</t>
  </si>
  <si>
    <t>Solar27671</t>
  </si>
  <si>
    <t>Solar26927</t>
  </si>
  <si>
    <t>Solar76239</t>
  </si>
  <si>
    <t>Solar37700</t>
  </si>
  <si>
    <t>Solar29217</t>
  </si>
  <si>
    <t>Solar59570</t>
  </si>
  <si>
    <t>Solar23231</t>
  </si>
  <si>
    <t>Solar79198</t>
  </si>
  <si>
    <t>Solar71777</t>
  </si>
  <si>
    <t>Solar79903</t>
  </si>
  <si>
    <t>Solar79890</t>
  </si>
  <si>
    <t>Solar20367</t>
  </si>
  <si>
    <t>Solar78434</t>
  </si>
  <si>
    <t>Solar28399</t>
  </si>
  <si>
    <t>Solar79893</t>
  </si>
  <si>
    <t>Solar23228</t>
  </si>
  <si>
    <t>Diana - storage for 16 hrs of generation</t>
  </si>
  <si>
    <t>Blinch - Stave</t>
  </si>
  <si>
    <t>ARN - Arnott -&gt; VIT - Vancouver Island</t>
  </si>
  <si>
    <t>PCN - Peace Canyon G.S. -&gt; KDY - Kennedy Capacitor STN</t>
  </si>
  <si>
    <t>KDY - Kennedy Capacitor STN -&gt; WSN - Williston Sub</t>
  </si>
  <si>
    <t>WSN - Williston -&gt; KLY - Kelly Lake</t>
  </si>
  <si>
    <t>KLY - Kelly Lake -&gt; CKY - Cheekye</t>
  </si>
  <si>
    <t>WSN - Williston -&gt; GLN - Glenannan</t>
  </si>
  <si>
    <t>GLN - Glenannan -&gt; TKW - Telkwa</t>
  </si>
  <si>
    <t>TKW - Telkwa Sub -&gt; SKA - Skeena Sub</t>
  </si>
  <si>
    <t>Batt_VI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</si>
</sst>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3">
    <xf numFmtId="0" fontId="0" fillId="0" borderId="0" xfId="0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0" fillId="0" borderId="1" xfId="1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 wrapText="1"/>
    </xf>
    <xf numFmtId="1" fontId="0" fillId="0" borderId="1" xfId="1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2" fontId="0" fillId="0" borderId="0" xfId="0" applyNumberFormat="1" applyFont="1"/>
    <xf numFmtId="2" fontId="0" fillId="0" borderId="0" xfId="0" applyNumberFormat="1" applyFont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/>
    <xf numFmtId="164" fontId="0" fillId="0" borderId="0" xfId="0" applyNumberFormat="1" applyFont="1"/>
    <xf numFmtId="164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 2 2" xfId="2" xr:uid="{4C9ABCE0-DE0E-40CC-9FE3-15F4DD800425}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border outline="0"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'All projects'!$AC$1</c:f>
              <c:strCache>
                <c:ptCount val="1"/>
                <c:pt idx="0">
                  <c:v>Terrestrial Proportion of Scaled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projects'!$A$2:$A$362</c:f>
              <c:strCache>
                <c:ptCount val="361"/>
                <c:pt idx="0">
                  <c:v>Anudol_Creek_A-8hr</c:v>
                </c:pt>
                <c:pt idx="1">
                  <c:v>Ball_Creek-8hr</c:v>
                </c:pt>
                <c:pt idx="2">
                  <c:v>Batt_VI</c:v>
                </c:pt>
                <c:pt idx="3">
                  <c:v>BC08</c:v>
                </c:pt>
                <c:pt idx="4">
                  <c:v>BC09</c:v>
                </c:pt>
                <c:pt idx="5">
                  <c:v>BC10</c:v>
                </c:pt>
                <c:pt idx="6">
                  <c:v>BC11</c:v>
                </c:pt>
                <c:pt idx="7">
                  <c:v>BC13</c:v>
                </c:pt>
                <c:pt idx="8">
                  <c:v>BC15</c:v>
                </c:pt>
                <c:pt idx="9">
                  <c:v>BC17</c:v>
                </c:pt>
                <c:pt idx="10">
                  <c:v>BC18</c:v>
                </c:pt>
                <c:pt idx="11">
                  <c:v>BC19</c:v>
                </c:pt>
                <c:pt idx="12">
                  <c:v>BC20</c:v>
                </c:pt>
                <c:pt idx="13">
                  <c:v>BC21</c:v>
                </c:pt>
                <c:pt idx="14">
                  <c:v>BC22</c:v>
                </c:pt>
                <c:pt idx="15">
                  <c:v>BC23</c:v>
                </c:pt>
                <c:pt idx="16">
                  <c:v>BC24</c:v>
                </c:pt>
                <c:pt idx="17">
                  <c:v>BC25</c:v>
                </c:pt>
                <c:pt idx="18">
                  <c:v>BC26</c:v>
                </c:pt>
                <c:pt idx="19">
                  <c:v>Blinch - Stave</c:v>
                </c:pt>
                <c:pt idx="20">
                  <c:v>Bookhout 2</c:v>
                </c:pt>
                <c:pt idx="21">
                  <c:v>Canoe Creek - Valemount</c:v>
                </c:pt>
                <c:pt idx="22">
                  <c:v>Chemainus_River-8hr</c:v>
                </c:pt>
                <c:pt idx="23">
                  <c:v>Clarke Lake</c:v>
                </c:pt>
                <c:pt idx="24">
                  <c:v>Diana - storage for 16 hrs of generation</c:v>
                </c:pt>
                <c:pt idx="25">
                  <c:v>Elaho_River-8hr</c:v>
                </c:pt>
                <c:pt idx="26">
                  <c:v>Freda_Creek-8hr</c:v>
                </c:pt>
                <c:pt idx="27">
                  <c:v>Hirsch - storage for 16 hrs of generation</c:v>
                </c:pt>
                <c:pt idx="28">
                  <c:v>Jedney Area</c:v>
                </c:pt>
                <c:pt idx="29">
                  <c:v>Kenyon - Stave</c:v>
                </c:pt>
                <c:pt idx="30">
                  <c:v>Kinskuch_River-8hr</c:v>
                </c:pt>
                <c:pt idx="31">
                  <c:v>Knight - Fourth</c:v>
                </c:pt>
                <c:pt idx="32">
                  <c:v>Lakelse Lake</c:v>
                </c:pt>
                <c:pt idx="33">
                  <c:v>Lower Falls - storage for 16 hrs of generation</c:v>
                </c:pt>
                <c:pt idx="34">
                  <c:v>Meager Creek</c:v>
                </c:pt>
                <c:pt idx="35">
                  <c:v>More_Creek-8hr</c:v>
                </c:pt>
                <c:pt idx="36">
                  <c:v>MSW 1</c:v>
                </c:pt>
                <c:pt idx="37">
                  <c:v>MSW 2</c:v>
                </c:pt>
                <c:pt idx="38">
                  <c:v>MSW 3</c:v>
                </c:pt>
                <c:pt idx="39">
                  <c:v>Mt. Cayley</c:v>
                </c:pt>
                <c:pt idx="40">
                  <c:v>Nahatlatch_River-8hr</c:v>
                </c:pt>
                <c:pt idx="41">
                  <c:v>Nass_River-8hr</c:v>
                </c:pt>
                <c:pt idx="42">
                  <c:v>NC01</c:v>
                </c:pt>
                <c:pt idx="43">
                  <c:v>NC02</c:v>
                </c:pt>
                <c:pt idx="44">
                  <c:v>NC05</c:v>
                </c:pt>
                <c:pt idx="45">
                  <c:v>NC06</c:v>
                </c:pt>
                <c:pt idx="46">
                  <c:v>NC07</c:v>
                </c:pt>
                <c:pt idx="47">
                  <c:v>NC08</c:v>
                </c:pt>
                <c:pt idx="48">
                  <c:v>NC09</c:v>
                </c:pt>
                <c:pt idx="49">
                  <c:v>NC10</c:v>
                </c:pt>
                <c:pt idx="50">
                  <c:v>NC11</c:v>
                </c:pt>
                <c:pt idx="51">
                  <c:v>NC12</c:v>
                </c:pt>
                <c:pt idx="52">
                  <c:v>NC13</c:v>
                </c:pt>
                <c:pt idx="53">
                  <c:v>Nimpkish_River_B-8hr</c:v>
                </c:pt>
                <c:pt idx="54">
                  <c:v>PC01</c:v>
                </c:pt>
                <c:pt idx="55">
                  <c:v>PC02</c:v>
                </c:pt>
                <c:pt idx="56">
                  <c:v>PC04</c:v>
                </c:pt>
                <c:pt idx="57">
                  <c:v>PC05</c:v>
                </c:pt>
                <c:pt idx="58">
                  <c:v>PC06</c:v>
                </c:pt>
                <c:pt idx="59">
                  <c:v>PC07</c:v>
                </c:pt>
                <c:pt idx="60">
                  <c:v>PC08</c:v>
                </c:pt>
                <c:pt idx="61">
                  <c:v>PC09</c:v>
                </c:pt>
                <c:pt idx="62">
                  <c:v>PC10</c:v>
                </c:pt>
                <c:pt idx="63">
                  <c:v>PC11</c:v>
                </c:pt>
                <c:pt idx="64">
                  <c:v>PC12</c:v>
                </c:pt>
                <c:pt idx="65">
                  <c:v>PC13</c:v>
                </c:pt>
                <c:pt idx="66">
                  <c:v>PC14</c:v>
                </c:pt>
                <c:pt idx="67">
                  <c:v>PC15</c:v>
                </c:pt>
                <c:pt idx="68">
                  <c:v>PC16</c:v>
                </c:pt>
                <c:pt idx="69">
                  <c:v>PC17</c:v>
                </c:pt>
                <c:pt idx="70">
                  <c:v>PC18</c:v>
                </c:pt>
                <c:pt idx="71">
                  <c:v>PC19</c:v>
                </c:pt>
                <c:pt idx="72">
                  <c:v>PC20</c:v>
                </c:pt>
                <c:pt idx="73">
                  <c:v>PC21</c:v>
                </c:pt>
                <c:pt idx="74">
                  <c:v>PC22</c:v>
                </c:pt>
                <c:pt idx="75">
                  <c:v>PC23</c:v>
                </c:pt>
                <c:pt idx="76">
                  <c:v>PC24</c:v>
                </c:pt>
                <c:pt idx="77">
                  <c:v>PC25</c:v>
                </c:pt>
                <c:pt idx="78">
                  <c:v>PC26</c:v>
                </c:pt>
                <c:pt idx="79">
                  <c:v>PC27</c:v>
                </c:pt>
                <c:pt idx="80">
                  <c:v>PC28</c:v>
                </c:pt>
                <c:pt idx="81">
                  <c:v>PC29</c:v>
                </c:pt>
                <c:pt idx="82">
                  <c:v>PC32</c:v>
                </c:pt>
                <c:pt idx="83">
                  <c:v>PC34</c:v>
                </c:pt>
                <c:pt idx="84">
                  <c:v>PC36</c:v>
                </c:pt>
                <c:pt idx="85">
                  <c:v>PC37</c:v>
                </c:pt>
                <c:pt idx="86">
                  <c:v>PC38</c:v>
                </c:pt>
                <c:pt idx="87">
                  <c:v>PC39</c:v>
                </c:pt>
                <c:pt idx="88">
                  <c:v>PC40</c:v>
                </c:pt>
                <c:pt idx="89">
                  <c:v>PC41</c:v>
                </c:pt>
                <c:pt idx="90">
                  <c:v>PC42</c:v>
                </c:pt>
                <c:pt idx="91">
                  <c:v>PC43</c:v>
                </c:pt>
                <c:pt idx="92">
                  <c:v>PC46</c:v>
                </c:pt>
                <c:pt idx="93">
                  <c:v>PC47</c:v>
                </c:pt>
                <c:pt idx="94">
                  <c:v>PC48</c:v>
                </c:pt>
                <c:pt idx="95">
                  <c:v>Pebble Creek</c:v>
                </c:pt>
                <c:pt idx="96">
                  <c:v>Quimper - Bulson</c:v>
                </c:pt>
                <c:pt idx="97">
                  <c:v>ROR_5018</c:v>
                </c:pt>
                <c:pt idx="98">
                  <c:v>ROR_5101</c:v>
                </c:pt>
                <c:pt idx="99">
                  <c:v>ROR_5332</c:v>
                </c:pt>
                <c:pt idx="100">
                  <c:v>SI01</c:v>
                </c:pt>
                <c:pt idx="101">
                  <c:v>SI02</c:v>
                </c:pt>
                <c:pt idx="102">
                  <c:v>SI03</c:v>
                </c:pt>
                <c:pt idx="103">
                  <c:v>SI04</c:v>
                </c:pt>
                <c:pt idx="104">
                  <c:v>SI05</c:v>
                </c:pt>
                <c:pt idx="105">
                  <c:v>SI06</c:v>
                </c:pt>
                <c:pt idx="106">
                  <c:v>SI08</c:v>
                </c:pt>
                <c:pt idx="107">
                  <c:v>SI09</c:v>
                </c:pt>
                <c:pt idx="108">
                  <c:v>SI10</c:v>
                </c:pt>
                <c:pt idx="109">
                  <c:v>SI11</c:v>
                </c:pt>
                <c:pt idx="110">
                  <c:v>SI12</c:v>
                </c:pt>
                <c:pt idx="111">
                  <c:v>SI13</c:v>
                </c:pt>
                <c:pt idx="112">
                  <c:v>SI14</c:v>
                </c:pt>
                <c:pt idx="113">
                  <c:v>SI15</c:v>
                </c:pt>
                <c:pt idx="114">
                  <c:v>SI18</c:v>
                </c:pt>
                <c:pt idx="115">
                  <c:v>SI19</c:v>
                </c:pt>
                <c:pt idx="116">
                  <c:v>SI20</c:v>
                </c:pt>
                <c:pt idx="117">
                  <c:v>SI22</c:v>
                </c:pt>
                <c:pt idx="118">
                  <c:v>SI23</c:v>
                </c:pt>
                <c:pt idx="119">
                  <c:v>SI27</c:v>
                </c:pt>
                <c:pt idx="120">
                  <c:v>SI28</c:v>
                </c:pt>
                <c:pt idx="121">
                  <c:v>SI29</c:v>
                </c:pt>
                <c:pt idx="122">
                  <c:v>SI30</c:v>
                </c:pt>
                <c:pt idx="123">
                  <c:v>SI31</c:v>
                </c:pt>
                <c:pt idx="124">
                  <c:v>SI33</c:v>
                </c:pt>
                <c:pt idx="125">
                  <c:v>SI37</c:v>
                </c:pt>
                <c:pt idx="126">
                  <c:v>SI38</c:v>
                </c:pt>
                <c:pt idx="127">
                  <c:v>Silverhope_Creek-8hr</c:v>
                </c:pt>
                <c:pt idx="128">
                  <c:v>Siwash_Creek-8hr</c:v>
                </c:pt>
                <c:pt idx="129">
                  <c:v>Sleeman - storage for 16 hrs of generation</c:v>
                </c:pt>
                <c:pt idx="130">
                  <c:v>Sloquet Creek</c:v>
                </c:pt>
                <c:pt idx="131">
                  <c:v>Solar20367</c:v>
                </c:pt>
                <c:pt idx="132">
                  <c:v>Solar20369</c:v>
                </c:pt>
                <c:pt idx="133">
                  <c:v>Solar21118</c:v>
                </c:pt>
                <c:pt idx="134">
                  <c:v>Solar21844</c:v>
                </c:pt>
                <c:pt idx="135">
                  <c:v>Solar22545</c:v>
                </c:pt>
                <c:pt idx="136">
                  <c:v>Solar23228</c:v>
                </c:pt>
                <c:pt idx="137">
                  <c:v>Solar23229</c:v>
                </c:pt>
                <c:pt idx="138">
                  <c:v>Solar23231</c:v>
                </c:pt>
                <c:pt idx="139">
                  <c:v>Solar23940</c:v>
                </c:pt>
                <c:pt idx="140">
                  <c:v>Solar26927</c:v>
                </c:pt>
                <c:pt idx="141">
                  <c:v>Solar27670</c:v>
                </c:pt>
                <c:pt idx="142">
                  <c:v>Solar27671</c:v>
                </c:pt>
                <c:pt idx="143">
                  <c:v>Solar27672</c:v>
                </c:pt>
                <c:pt idx="144">
                  <c:v>Solar28399</c:v>
                </c:pt>
                <c:pt idx="145">
                  <c:v>Solar29217</c:v>
                </c:pt>
                <c:pt idx="146">
                  <c:v>Solar31787</c:v>
                </c:pt>
                <c:pt idx="147">
                  <c:v>Solar32661</c:v>
                </c:pt>
                <c:pt idx="148">
                  <c:v>Solar32662</c:v>
                </c:pt>
                <c:pt idx="149">
                  <c:v>Solar32664</c:v>
                </c:pt>
                <c:pt idx="150">
                  <c:v>Solar32665</c:v>
                </c:pt>
                <c:pt idx="151">
                  <c:v>Solar35270</c:v>
                </c:pt>
                <c:pt idx="152">
                  <c:v>Solar35271</c:v>
                </c:pt>
                <c:pt idx="153">
                  <c:v>Solar35272</c:v>
                </c:pt>
                <c:pt idx="154">
                  <c:v>Solar35273</c:v>
                </c:pt>
                <c:pt idx="155">
                  <c:v>Solar35274</c:v>
                </c:pt>
                <c:pt idx="156">
                  <c:v>Solar35275</c:v>
                </c:pt>
                <c:pt idx="157">
                  <c:v>Solar35276</c:v>
                </c:pt>
                <c:pt idx="158">
                  <c:v>Solar35277</c:v>
                </c:pt>
                <c:pt idx="159">
                  <c:v>Solar35279</c:v>
                </c:pt>
                <c:pt idx="160">
                  <c:v>Solar36056</c:v>
                </c:pt>
                <c:pt idx="161">
                  <c:v>Solar36059</c:v>
                </c:pt>
                <c:pt idx="162">
                  <c:v>Solar36060</c:v>
                </c:pt>
                <c:pt idx="163">
                  <c:v>Solar36061</c:v>
                </c:pt>
                <c:pt idx="164">
                  <c:v>Solar36062</c:v>
                </c:pt>
                <c:pt idx="165">
                  <c:v>Solar36063</c:v>
                </c:pt>
                <c:pt idx="166">
                  <c:v>Solar36064</c:v>
                </c:pt>
                <c:pt idx="167">
                  <c:v>Solar36065</c:v>
                </c:pt>
                <c:pt idx="168">
                  <c:v>Solar36066</c:v>
                </c:pt>
                <c:pt idx="169">
                  <c:v>Solar36067</c:v>
                </c:pt>
                <c:pt idx="170">
                  <c:v>Solar36068</c:v>
                </c:pt>
                <c:pt idx="171">
                  <c:v>Solar36069</c:v>
                </c:pt>
                <c:pt idx="172">
                  <c:v>Solar36070</c:v>
                </c:pt>
                <c:pt idx="173">
                  <c:v>Solar36071</c:v>
                </c:pt>
                <c:pt idx="174">
                  <c:v>Solar36072</c:v>
                </c:pt>
                <c:pt idx="175">
                  <c:v>Solar36073</c:v>
                </c:pt>
                <c:pt idx="176">
                  <c:v>Solar36074</c:v>
                </c:pt>
                <c:pt idx="177">
                  <c:v>Solar36077</c:v>
                </c:pt>
                <c:pt idx="178">
                  <c:v>Solar36883</c:v>
                </c:pt>
                <c:pt idx="179">
                  <c:v>Solar36884</c:v>
                </c:pt>
                <c:pt idx="180">
                  <c:v>Solar36885</c:v>
                </c:pt>
                <c:pt idx="181">
                  <c:v>Solar36886</c:v>
                </c:pt>
                <c:pt idx="182">
                  <c:v>Solar36887</c:v>
                </c:pt>
                <c:pt idx="183">
                  <c:v>Solar36888</c:v>
                </c:pt>
                <c:pt idx="184">
                  <c:v>Solar36889</c:v>
                </c:pt>
                <c:pt idx="185">
                  <c:v>Solar36890</c:v>
                </c:pt>
                <c:pt idx="186">
                  <c:v>Solar36891</c:v>
                </c:pt>
                <c:pt idx="187">
                  <c:v>Solar36892</c:v>
                </c:pt>
                <c:pt idx="188">
                  <c:v>Solar36893</c:v>
                </c:pt>
                <c:pt idx="189">
                  <c:v>Solar36894</c:v>
                </c:pt>
                <c:pt idx="190">
                  <c:v>Solar36895</c:v>
                </c:pt>
                <c:pt idx="191">
                  <c:v>Solar36896</c:v>
                </c:pt>
                <c:pt idx="192">
                  <c:v>Solar36897</c:v>
                </c:pt>
                <c:pt idx="193">
                  <c:v>Solar36898</c:v>
                </c:pt>
                <c:pt idx="194">
                  <c:v>Solar36899</c:v>
                </c:pt>
                <c:pt idx="195">
                  <c:v>Solar37697</c:v>
                </c:pt>
                <c:pt idx="196">
                  <c:v>Solar37698</c:v>
                </c:pt>
                <c:pt idx="197">
                  <c:v>Solar37700</c:v>
                </c:pt>
                <c:pt idx="198">
                  <c:v>Solar37701</c:v>
                </c:pt>
                <c:pt idx="199">
                  <c:v>Solar37702</c:v>
                </c:pt>
                <c:pt idx="200">
                  <c:v>Solar37703</c:v>
                </c:pt>
                <c:pt idx="201">
                  <c:v>Solar37705</c:v>
                </c:pt>
                <c:pt idx="202">
                  <c:v>Solar37706</c:v>
                </c:pt>
                <c:pt idx="203">
                  <c:v>Solar37707</c:v>
                </c:pt>
                <c:pt idx="204">
                  <c:v>Solar37708</c:v>
                </c:pt>
                <c:pt idx="205">
                  <c:v>Solar37709</c:v>
                </c:pt>
                <c:pt idx="206">
                  <c:v>Solar37710</c:v>
                </c:pt>
                <c:pt idx="207">
                  <c:v>Solar38464</c:v>
                </c:pt>
                <c:pt idx="208">
                  <c:v>Solar38465</c:v>
                </c:pt>
                <c:pt idx="209">
                  <c:v>Solar38468</c:v>
                </c:pt>
                <c:pt idx="210">
                  <c:v>Solar51483</c:v>
                </c:pt>
                <c:pt idx="211">
                  <c:v>Solar58731</c:v>
                </c:pt>
                <c:pt idx="212">
                  <c:v>Solar59570</c:v>
                </c:pt>
                <c:pt idx="213">
                  <c:v>Solar59571</c:v>
                </c:pt>
                <c:pt idx="214">
                  <c:v>Solar60401</c:v>
                </c:pt>
                <c:pt idx="215">
                  <c:v>Solar62046</c:v>
                </c:pt>
                <c:pt idx="216">
                  <c:v>Solar62047</c:v>
                </c:pt>
                <c:pt idx="217">
                  <c:v>Solar62049</c:v>
                </c:pt>
                <c:pt idx="218">
                  <c:v>Solar62055</c:v>
                </c:pt>
                <c:pt idx="219">
                  <c:v>Solar62881</c:v>
                </c:pt>
                <c:pt idx="220">
                  <c:v>Solar64495</c:v>
                </c:pt>
                <c:pt idx="221">
                  <c:v>Solar64496</c:v>
                </c:pt>
                <c:pt idx="222">
                  <c:v>Solar65228</c:v>
                </c:pt>
                <c:pt idx="223">
                  <c:v>Solar65972</c:v>
                </c:pt>
                <c:pt idx="224">
                  <c:v>Solar65976</c:v>
                </c:pt>
                <c:pt idx="225">
                  <c:v>Solar65978</c:v>
                </c:pt>
                <c:pt idx="226">
                  <c:v>Solar66720</c:v>
                </c:pt>
                <c:pt idx="227">
                  <c:v>Solar66721</c:v>
                </c:pt>
                <c:pt idx="228">
                  <c:v>Solar66722</c:v>
                </c:pt>
                <c:pt idx="229">
                  <c:v>Solar66723</c:v>
                </c:pt>
                <c:pt idx="230">
                  <c:v>Solar66726</c:v>
                </c:pt>
                <c:pt idx="231">
                  <c:v>Solar67480</c:v>
                </c:pt>
                <c:pt idx="232">
                  <c:v>Solar67498</c:v>
                </c:pt>
                <c:pt idx="233">
                  <c:v>Solar68366</c:v>
                </c:pt>
                <c:pt idx="234">
                  <c:v>Solar68372</c:v>
                </c:pt>
                <c:pt idx="235">
                  <c:v>Solar68377</c:v>
                </c:pt>
                <c:pt idx="236">
                  <c:v>Solar68378</c:v>
                </c:pt>
                <c:pt idx="237">
                  <c:v>Solar68379</c:v>
                </c:pt>
                <c:pt idx="238">
                  <c:v>Solar68395</c:v>
                </c:pt>
                <c:pt idx="239">
                  <c:v>Solar68400</c:v>
                </c:pt>
                <c:pt idx="240">
                  <c:v>Solar69283</c:v>
                </c:pt>
                <c:pt idx="241">
                  <c:v>Solar69284</c:v>
                </c:pt>
                <c:pt idx="242">
                  <c:v>Solar69285</c:v>
                </c:pt>
                <c:pt idx="243">
                  <c:v>Solar70163</c:v>
                </c:pt>
                <c:pt idx="244">
                  <c:v>Solar70164</c:v>
                </c:pt>
                <c:pt idx="245">
                  <c:v>Solar70166</c:v>
                </c:pt>
                <c:pt idx="246">
                  <c:v>Solar70167</c:v>
                </c:pt>
                <c:pt idx="247">
                  <c:v>Solar70181</c:v>
                </c:pt>
                <c:pt idx="248">
                  <c:v>Solar70190</c:v>
                </c:pt>
                <c:pt idx="249">
                  <c:v>Solar70973</c:v>
                </c:pt>
                <c:pt idx="250">
                  <c:v>Solar70974</c:v>
                </c:pt>
                <c:pt idx="251">
                  <c:v>Solar70980</c:v>
                </c:pt>
                <c:pt idx="252">
                  <c:v>Solar70981</c:v>
                </c:pt>
                <c:pt idx="253">
                  <c:v>Solar70982</c:v>
                </c:pt>
                <c:pt idx="254">
                  <c:v>Solar70983</c:v>
                </c:pt>
                <c:pt idx="255">
                  <c:v>Solar70984</c:v>
                </c:pt>
                <c:pt idx="256">
                  <c:v>Solar70986</c:v>
                </c:pt>
                <c:pt idx="257">
                  <c:v>Solar70988</c:v>
                </c:pt>
                <c:pt idx="258">
                  <c:v>Solar70989</c:v>
                </c:pt>
                <c:pt idx="259">
                  <c:v>Solar70993</c:v>
                </c:pt>
                <c:pt idx="260">
                  <c:v>Solar71004</c:v>
                </c:pt>
                <c:pt idx="261">
                  <c:v>Solar71006</c:v>
                </c:pt>
                <c:pt idx="262">
                  <c:v>Solar71767</c:v>
                </c:pt>
                <c:pt idx="263">
                  <c:v>Solar71768</c:v>
                </c:pt>
                <c:pt idx="264">
                  <c:v>Solar71769</c:v>
                </c:pt>
                <c:pt idx="265">
                  <c:v>Solar71774</c:v>
                </c:pt>
                <c:pt idx="266">
                  <c:v>Solar71777</c:v>
                </c:pt>
                <c:pt idx="267">
                  <c:v>Solar71781</c:v>
                </c:pt>
                <c:pt idx="268">
                  <c:v>Solar71782</c:v>
                </c:pt>
                <c:pt idx="269">
                  <c:v>Solar71783</c:v>
                </c:pt>
                <c:pt idx="270">
                  <c:v>Solar72530</c:v>
                </c:pt>
                <c:pt idx="271">
                  <c:v>Solar72533</c:v>
                </c:pt>
                <c:pt idx="272">
                  <c:v>Solar72534</c:v>
                </c:pt>
                <c:pt idx="273">
                  <c:v>Solar72536</c:v>
                </c:pt>
                <c:pt idx="274">
                  <c:v>Solar72538</c:v>
                </c:pt>
                <c:pt idx="275">
                  <c:v>Solar72541</c:v>
                </c:pt>
                <c:pt idx="276">
                  <c:v>Solar72543</c:v>
                </c:pt>
                <c:pt idx="277">
                  <c:v>Solar73255</c:v>
                </c:pt>
                <c:pt idx="278">
                  <c:v>Solar73256</c:v>
                </c:pt>
                <c:pt idx="279">
                  <c:v>Solar73257</c:v>
                </c:pt>
                <c:pt idx="280">
                  <c:v>Solar73258</c:v>
                </c:pt>
                <c:pt idx="281">
                  <c:v>Solar73259</c:v>
                </c:pt>
                <c:pt idx="282">
                  <c:v>Solar73260</c:v>
                </c:pt>
                <c:pt idx="283">
                  <c:v>Solar73982</c:v>
                </c:pt>
                <c:pt idx="284">
                  <c:v>Solar73984</c:v>
                </c:pt>
                <c:pt idx="285">
                  <c:v>Solar73987</c:v>
                </c:pt>
                <c:pt idx="286">
                  <c:v>Solar73988</c:v>
                </c:pt>
                <c:pt idx="287">
                  <c:v>Solar73989</c:v>
                </c:pt>
                <c:pt idx="288">
                  <c:v>Solar73991</c:v>
                </c:pt>
                <c:pt idx="289">
                  <c:v>Solar73997</c:v>
                </c:pt>
                <c:pt idx="290">
                  <c:v>Solar74711</c:v>
                </c:pt>
                <c:pt idx="291">
                  <c:v>Solar74712</c:v>
                </c:pt>
                <c:pt idx="292">
                  <c:v>Solar75466</c:v>
                </c:pt>
                <c:pt idx="293">
                  <c:v>Solar75468</c:v>
                </c:pt>
                <c:pt idx="294">
                  <c:v>Solar76231</c:v>
                </c:pt>
                <c:pt idx="295">
                  <c:v>Solar76234</c:v>
                </c:pt>
                <c:pt idx="296">
                  <c:v>Solar76238</c:v>
                </c:pt>
                <c:pt idx="297">
                  <c:v>Solar76239</c:v>
                </c:pt>
                <c:pt idx="298">
                  <c:v>Solar76979</c:v>
                </c:pt>
                <c:pt idx="299">
                  <c:v>Solar76981</c:v>
                </c:pt>
                <c:pt idx="300">
                  <c:v>Solar77691</c:v>
                </c:pt>
                <c:pt idx="301">
                  <c:v>Solar77693</c:v>
                </c:pt>
                <c:pt idx="302">
                  <c:v>Solar77711</c:v>
                </c:pt>
                <c:pt idx="303">
                  <c:v>Solar78421</c:v>
                </c:pt>
                <c:pt idx="304">
                  <c:v>Solar78434</c:v>
                </c:pt>
                <c:pt idx="305">
                  <c:v>Solar78446</c:v>
                </c:pt>
                <c:pt idx="306">
                  <c:v>Solar79181</c:v>
                </c:pt>
                <c:pt idx="307">
                  <c:v>Solar79182</c:v>
                </c:pt>
                <c:pt idx="308">
                  <c:v>Solar79198</c:v>
                </c:pt>
                <c:pt idx="309">
                  <c:v>Solar79201</c:v>
                </c:pt>
                <c:pt idx="310">
                  <c:v>Solar79890</c:v>
                </c:pt>
                <c:pt idx="311">
                  <c:v>Solar79893</c:v>
                </c:pt>
                <c:pt idx="312">
                  <c:v>Solar79903</c:v>
                </c:pt>
                <c:pt idx="313">
                  <c:v>Solar79905</c:v>
                </c:pt>
                <c:pt idx="314">
                  <c:v>Solar79908</c:v>
                </c:pt>
                <c:pt idx="315">
                  <c:v>Solar79910</c:v>
                </c:pt>
                <c:pt idx="316">
                  <c:v>Solar79919</c:v>
                </c:pt>
                <c:pt idx="317">
                  <c:v>Solar80640</c:v>
                </c:pt>
                <c:pt idx="318">
                  <c:v>Solar81353</c:v>
                </c:pt>
                <c:pt idx="319">
                  <c:v>Solar81355</c:v>
                </c:pt>
                <c:pt idx="320">
                  <c:v>Solar81356</c:v>
                </c:pt>
                <c:pt idx="321">
                  <c:v>South_Creek-8hr</c:v>
                </c:pt>
                <c:pt idx="322">
                  <c:v>Spuzzum_Creek-8hr</c:v>
                </c:pt>
                <c:pt idx="323">
                  <c:v>Squamish_River_B-8hr</c:v>
                </c:pt>
                <c:pt idx="324">
                  <c:v>T_2L129</c:v>
                </c:pt>
                <c:pt idx="325">
                  <c:v>T_5L003</c:v>
                </c:pt>
                <c:pt idx="326">
                  <c:v>T_5L007</c:v>
                </c:pt>
                <c:pt idx="327">
                  <c:v>T_5L013</c:v>
                </c:pt>
                <c:pt idx="328">
                  <c:v>T_5L042</c:v>
                </c:pt>
                <c:pt idx="329">
                  <c:v>T_5L061</c:v>
                </c:pt>
                <c:pt idx="330">
                  <c:v>T_5L062</c:v>
                </c:pt>
                <c:pt idx="331">
                  <c:v>T_5L063</c:v>
                </c:pt>
                <c:pt idx="332">
                  <c:v>Upper Clore - Storage for 16 hrs of generation</c:v>
                </c:pt>
                <c:pt idx="333">
                  <c:v>Upper Deserted - Un-named</c:v>
                </c:pt>
                <c:pt idx="334">
                  <c:v>Upper Misery - Lower Misery</c:v>
                </c:pt>
                <c:pt idx="335">
                  <c:v>Upper Vancouver - Lower Vancouver</c:v>
                </c:pt>
                <c:pt idx="336">
                  <c:v>VI02</c:v>
                </c:pt>
                <c:pt idx="337">
                  <c:v>VI04</c:v>
                </c:pt>
                <c:pt idx="338">
                  <c:v>VI05</c:v>
                </c:pt>
                <c:pt idx="339">
                  <c:v>VI06</c:v>
                </c:pt>
                <c:pt idx="340">
                  <c:v>VI07</c:v>
                </c:pt>
                <c:pt idx="341">
                  <c:v>VI08</c:v>
                </c:pt>
                <c:pt idx="342">
                  <c:v>VI09</c:v>
                </c:pt>
                <c:pt idx="343">
                  <c:v>VI10</c:v>
                </c:pt>
                <c:pt idx="344">
                  <c:v>VI11</c:v>
                </c:pt>
                <c:pt idx="345">
                  <c:v>VI12</c:v>
                </c:pt>
                <c:pt idx="346">
                  <c:v>VI13</c:v>
                </c:pt>
                <c:pt idx="347">
                  <c:v>VI14</c:v>
                </c:pt>
                <c:pt idx="348">
                  <c:v>VI15</c:v>
                </c:pt>
                <c:pt idx="349">
                  <c:v>WBBio_CB_RR</c:v>
                </c:pt>
                <c:pt idx="350">
                  <c:v>WBBio_LM_RR</c:v>
                </c:pt>
                <c:pt idx="351">
                  <c:v>WBBio_LM_ST_1</c:v>
                </c:pt>
                <c:pt idx="352">
                  <c:v>WBBio_LM_ST_2</c:v>
                </c:pt>
                <c:pt idx="353">
                  <c:v>WBBio_NE_ST_1</c:v>
                </c:pt>
                <c:pt idx="354">
                  <c:v>WBBio_NE_ST_2</c:v>
                </c:pt>
                <c:pt idx="355">
                  <c:v>WBBio_NE_ST_3</c:v>
                </c:pt>
                <c:pt idx="356">
                  <c:v>WBBio_NW_ST</c:v>
                </c:pt>
                <c:pt idx="357">
                  <c:v>WBBio_SP_RR</c:v>
                </c:pt>
                <c:pt idx="358">
                  <c:v>WBBio_SP_ST</c:v>
                </c:pt>
                <c:pt idx="359">
                  <c:v>WBBio_WPR_PL</c:v>
                </c:pt>
                <c:pt idx="360">
                  <c:v>Zymoetz_River-8hr</c:v>
                </c:pt>
              </c:strCache>
            </c:strRef>
          </c:cat>
          <c:val>
            <c:numRef>
              <c:f>'All projects'!$AC$2:$AC$362</c:f>
              <c:numCache>
                <c:formatCode>0.0000</c:formatCode>
                <c:ptCount val="361"/>
                <c:pt idx="0">
                  <c:v>2.962364313460604E-2</c:v>
                </c:pt>
                <c:pt idx="1">
                  <c:v>3.9192812854849282E-2</c:v>
                </c:pt>
                <c:pt idx="2">
                  <c:v>2.981413159397984E-3</c:v>
                </c:pt>
                <c:pt idx="3">
                  <c:v>0.15130252629922578</c:v>
                </c:pt>
                <c:pt idx="4">
                  <c:v>0.19590464083462542</c:v>
                </c:pt>
                <c:pt idx="5">
                  <c:v>0.30107874703290421</c:v>
                </c:pt>
                <c:pt idx="6">
                  <c:v>0.18780568490103916</c:v>
                </c:pt>
                <c:pt idx="7">
                  <c:v>0.11835476050272731</c:v>
                </c:pt>
                <c:pt idx="8">
                  <c:v>0.1721358142431601</c:v>
                </c:pt>
                <c:pt idx="9">
                  <c:v>0.18912105399285697</c:v>
                </c:pt>
                <c:pt idx="10">
                  <c:v>4.0498835008584581E-2</c:v>
                </c:pt>
                <c:pt idx="11">
                  <c:v>0.12159325326944539</c:v>
                </c:pt>
                <c:pt idx="12">
                  <c:v>0.16402945386615442</c:v>
                </c:pt>
                <c:pt idx="13">
                  <c:v>9.4801410610438425E-2</c:v>
                </c:pt>
                <c:pt idx="14">
                  <c:v>3.8487927952194717E-2</c:v>
                </c:pt>
                <c:pt idx="15">
                  <c:v>8.4959239385039756E-2</c:v>
                </c:pt>
                <c:pt idx="16">
                  <c:v>0.33447759485029044</c:v>
                </c:pt>
                <c:pt idx="17">
                  <c:v>0.20176723089026766</c:v>
                </c:pt>
                <c:pt idx="18">
                  <c:v>0.1367816823054861</c:v>
                </c:pt>
                <c:pt idx="19">
                  <c:v>5.9920410125444981E-2</c:v>
                </c:pt>
                <c:pt idx="20">
                  <c:v>3.4765233714237453E-2</c:v>
                </c:pt>
                <c:pt idx="21">
                  <c:v>2.3557686905764725E-2</c:v>
                </c:pt>
                <c:pt idx="22">
                  <c:v>8.3646529961936284E-4</c:v>
                </c:pt>
                <c:pt idx="23">
                  <c:v>0.2061152793189038</c:v>
                </c:pt>
                <c:pt idx="24">
                  <c:v>0.12985084436719652</c:v>
                </c:pt>
                <c:pt idx="25">
                  <c:v>5.0384200902576379E-2</c:v>
                </c:pt>
                <c:pt idx="26">
                  <c:v>1.5521488228709246E-2</c:v>
                </c:pt>
                <c:pt idx="27">
                  <c:v>9.3948523231868517E-2</c:v>
                </c:pt>
                <c:pt idx="28">
                  <c:v>0.18477729264044424</c:v>
                </c:pt>
                <c:pt idx="29">
                  <c:v>5.3287225685775097E-2</c:v>
                </c:pt>
                <c:pt idx="30">
                  <c:v>0.10767594757514128</c:v>
                </c:pt>
                <c:pt idx="31">
                  <c:v>7.0882164056314229E-2</c:v>
                </c:pt>
                <c:pt idx="32">
                  <c:v>1.9191807194814628E-2</c:v>
                </c:pt>
                <c:pt idx="33">
                  <c:v>0.15574499476912312</c:v>
                </c:pt>
                <c:pt idx="34">
                  <c:v>0.13045179007364405</c:v>
                </c:pt>
                <c:pt idx="35">
                  <c:v>2.9522618563203189E-2</c:v>
                </c:pt>
                <c:pt idx="36">
                  <c:v>5.7107018298867126E-3</c:v>
                </c:pt>
                <c:pt idx="37">
                  <c:v>9.2924410590303555E-3</c:v>
                </c:pt>
                <c:pt idx="38">
                  <c:v>6.0785562573147253E-2</c:v>
                </c:pt>
                <c:pt idx="39">
                  <c:v>0.11344935502202069</c:v>
                </c:pt>
                <c:pt idx="40">
                  <c:v>0.11496735254408878</c:v>
                </c:pt>
                <c:pt idx="41">
                  <c:v>6.3602388816791366E-2</c:v>
                </c:pt>
                <c:pt idx="42">
                  <c:v>0.20797897296092691</c:v>
                </c:pt>
                <c:pt idx="43">
                  <c:v>4.6556839309951442E-2</c:v>
                </c:pt>
                <c:pt idx="44">
                  <c:v>0.22336161003863461</c:v>
                </c:pt>
                <c:pt idx="45">
                  <c:v>0.2988612312152375</c:v>
                </c:pt>
                <c:pt idx="46">
                  <c:v>3.4905296062064863E-2</c:v>
                </c:pt>
                <c:pt idx="47">
                  <c:v>2.4277519950374315E-2</c:v>
                </c:pt>
                <c:pt idx="48">
                  <c:v>3.9268539139044788E-2</c:v>
                </c:pt>
                <c:pt idx="49">
                  <c:v>3.9225186781553657E-2</c:v>
                </c:pt>
                <c:pt idx="50">
                  <c:v>4.9825234741409812E-2</c:v>
                </c:pt>
                <c:pt idx="51">
                  <c:v>6.9428508376499679E-2</c:v>
                </c:pt>
                <c:pt idx="52">
                  <c:v>9.6300826483746143E-3</c:v>
                </c:pt>
                <c:pt idx="53">
                  <c:v>3.1672176103000474E-3</c:v>
                </c:pt>
                <c:pt idx="54">
                  <c:v>0.20414750496005685</c:v>
                </c:pt>
                <c:pt idx="55">
                  <c:v>0.18949087585529792</c:v>
                </c:pt>
                <c:pt idx="56">
                  <c:v>0.1476971484232808</c:v>
                </c:pt>
                <c:pt idx="57">
                  <c:v>0.13078516842690127</c:v>
                </c:pt>
                <c:pt idx="58">
                  <c:v>0.12789743031846251</c:v>
                </c:pt>
                <c:pt idx="59">
                  <c:v>0.13765992126791649</c:v>
                </c:pt>
                <c:pt idx="60">
                  <c:v>6.5104688608687761E-2</c:v>
                </c:pt>
                <c:pt idx="61">
                  <c:v>0.11805033843940559</c:v>
                </c:pt>
                <c:pt idx="62">
                  <c:v>0.14641958662856108</c:v>
                </c:pt>
                <c:pt idx="63">
                  <c:v>0.20102725078614692</c:v>
                </c:pt>
                <c:pt idx="64">
                  <c:v>8.667199926480422E-2</c:v>
                </c:pt>
                <c:pt idx="65">
                  <c:v>0.15518657862058569</c:v>
                </c:pt>
                <c:pt idx="66">
                  <c:v>2.9626076261172793E-2</c:v>
                </c:pt>
                <c:pt idx="67">
                  <c:v>2.3974913269040273E-2</c:v>
                </c:pt>
                <c:pt idx="68">
                  <c:v>6.4084889955148994E-2</c:v>
                </c:pt>
                <c:pt idx="69">
                  <c:v>0.12245417005446048</c:v>
                </c:pt>
                <c:pt idx="70">
                  <c:v>1.6791129119842194E-2</c:v>
                </c:pt>
                <c:pt idx="71">
                  <c:v>0.10348970345843825</c:v>
                </c:pt>
                <c:pt idx="72">
                  <c:v>5.9643478486251192E-2</c:v>
                </c:pt>
                <c:pt idx="73">
                  <c:v>0.1219519379135586</c:v>
                </c:pt>
                <c:pt idx="74">
                  <c:v>0.22098705546545114</c:v>
                </c:pt>
                <c:pt idx="75">
                  <c:v>9.3546859358108039E-2</c:v>
                </c:pt>
                <c:pt idx="76">
                  <c:v>8.9471169019954944E-2</c:v>
                </c:pt>
                <c:pt idx="77">
                  <c:v>5.1312038572376151E-2</c:v>
                </c:pt>
                <c:pt idx="78">
                  <c:v>0.10242672516783904</c:v>
                </c:pt>
                <c:pt idx="79">
                  <c:v>2.7192711853002555E-2</c:v>
                </c:pt>
                <c:pt idx="80">
                  <c:v>9.5039486562891892E-2</c:v>
                </c:pt>
                <c:pt idx="81">
                  <c:v>8.8597938423785657E-3</c:v>
                </c:pt>
                <c:pt idx="82">
                  <c:v>2.0151412731508646E-3</c:v>
                </c:pt>
                <c:pt idx="83">
                  <c:v>3.4374488527130098E-2</c:v>
                </c:pt>
                <c:pt idx="84">
                  <c:v>9.7065820152657273E-2</c:v>
                </c:pt>
                <c:pt idx="85">
                  <c:v>8.0236842833795174E-2</c:v>
                </c:pt>
                <c:pt idx="86">
                  <c:v>2.8601154398806668E-2</c:v>
                </c:pt>
                <c:pt idx="87">
                  <c:v>8.4768343647091918E-2</c:v>
                </c:pt>
                <c:pt idx="88">
                  <c:v>5.9128839162217832E-2</c:v>
                </c:pt>
                <c:pt idx="89">
                  <c:v>4.3812077884686974E-2</c:v>
                </c:pt>
                <c:pt idx="90">
                  <c:v>2.7990928302178163E-2</c:v>
                </c:pt>
                <c:pt idx="91">
                  <c:v>3.6947678249843366E-2</c:v>
                </c:pt>
                <c:pt idx="92">
                  <c:v>8.5131144844863369E-3</c:v>
                </c:pt>
                <c:pt idx="93">
                  <c:v>0.16261490886083227</c:v>
                </c:pt>
                <c:pt idx="94">
                  <c:v>4.8525105760441382E-2</c:v>
                </c:pt>
                <c:pt idx="95">
                  <c:v>0.12999332206504946</c:v>
                </c:pt>
                <c:pt idx="96">
                  <c:v>0.12219129298902719</c:v>
                </c:pt>
                <c:pt idx="97">
                  <c:v>1.8012864243018449E-2</c:v>
                </c:pt>
                <c:pt idx="98">
                  <c:v>5.6754404410214503E-2</c:v>
                </c:pt>
                <c:pt idx="99">
                  <c:v>6.4358793499839709E-3</c:v>
                </c:pt>
                <c:pt idx="100">
                  <c:v>0.10256628193865343</c:v>
                </c:pt>
                <c:pt idx="101">
                  <c:v>0.10432179625424545</c:v>
                </c:pt>
                <c:pt idx="102">
                  <c:v>9.3992968486513465E-2</c:v>
                </c:pt>
                <c:pt idx="103">
                  <c:v>5.3642769086099766E-2</c:v>
                </c:pt>
                <c:pt idx="104">
                  <c:v>2.2193868698418971E-2</c:v>
                </c:pt>
                <c:pt idx="105">
                  <c:v>3.1782472072825967E-2</c:v>
                </c:pt>
                <c:pt idx="106">
                  <c:v>3.6791545580540222E-2</c:v>
                </c:pt>
                <c:pt idx="107">
                  <c:v>5.4141108394810282E-2</c:v>
                </c:pt>
                <c:pt idx="108">
                  <c:v>7.9360459375591191E-2</c:v>
                </c:pt>
                <c:pt idx="109">
                  <c:v>1.2518931838505257E-2</c:v>
                </c:pt>
                <c:pt idx="110">
                  <c:v>6.7994702892355791E-2</c:v>
                </c:pt>
                <c:pt idx="111">
                  <c:v>0.1557178211090211</c:v>
                </c:pt>
                <c:pt idx="112">
                  <c:v>8.4783973695859299E-2</c:v>
                </c:pt>
                <c:pt idx="113">
                  <c:v>0.12852435526306435</c:v>
                </c:pt>
                <c:pt idx="114">
                  <c:v>0.12240717402379918</c:v>
                </c:pt>
                <c:pt idx="115">
                  <c:v>3.748354763723874E-2</c:v>
                </c:pt>
                <c:pt idx="116">
                  <c:v>5.2173040989777618E-2</c:v>
                </c:pt>
                <c:pt idx="117">
                  <c:v>7.8407892250186607E-3</c:v>
                </c:pt>
                <c:pt idx="118">
                  <c:v>4.641372679195465E-2</c:v>
                </c:pt>
                <c:pt idx="119">
                  <c:v>8.0636863267478848E-2</c:v>
                </c:pt>
                <c:pt idx="120">
                  <c:v>6.1228184764900766E-2</c:v>
                </c:pt>
                <c:pt idx="121">
                  <c:v>6.6589253206206664E-2</c:v>
                </c:pt>
                <c:pt idx="122">
                  <c:v>6.6833212595571984E-2</c:v>
                </c:pt>
                <c:pt idx="123">
                  <c:v>0.16745548292753612</c:v>
                </c:pt>
                <c:pt idx="124">
                  <c:v>0.1401234687149884</c:v>
                </c:pt>
                <c:pt idx="125">
                  <c:v>2.4269527268567886E-2</c:v>
                </c:pt>
                <c:pt idx="126">
                  <c:v>8.2071910984272939E-2</c:v>
                </c:pt>
                <c:pt idx="127">
                  <c:v>3.3964043036867807E-2</c:v>
                </c:pt>
                <c:pt idx="128">
                  <c:v>4.117998071424657E-2</c:v>
                </c:pt>
                <c:pt idx="129">
                  <c:v>0.1354486923650407</c:v>
                </c:pt>
                <c:pt idx="130">
                  <c:v>1.1816070242905903E-2</c:v>
                </c:pt>
                <c:pt idx="131">
                  <c:v>4.1592582937369317E-2</c:v>
                </c:pt>
                <c:pt idx="132">
                  <c:v>3.1023584816309003E-2</c:v>
                </c:pt>
                <c:pt idx="133">
                  <c:v>6.5091044695704731E-2</c:v>
                </c:pt>
                <c:pt idx="134">
                  <c:v>1.4674208858941598E-3</c:v>
                </c:pt>
                <c:pt idx="135">
                  <c:v>1.0557386582855025E-2</c:v>
                </c:pt>
                <c:pt idx="136">
                  <c:v>5.2253815920355516E-2</c:v>
                </c:pt>
                <c:pt idx="137">
                  <c:v>0.10716645548482445</c:v>
                </c:pt>
                <c:pt idx="138">
                  <c:v>5.1466981610969194E-2</c:v>
                </c:pt>
                <c:pt idx="139">
                  <c:v>2.4430895626398566E-2</c:v>
                </c:pt>
                <c:pt idx="140">
                  <c:v>1.3463066312523928E-2</c:v>
                </c:pt>
                <c:pt idx="141">
                  <c:v>5.5522118653325214E-3</c:v>
                </c:pt>
                <c:pt idx="142">
                  <c:v>1.1770392699458272E-2</c:v>
                </c:pt>
                <c:pt idx="143">
                  <c:v>1.6362584470943558E-2</c:v>
                </c:pt>
                <c:pt idx="144">
                  <c:v>7.1295645610014377E-3</c:v>
                </c:pt>
                <c:pt idx="145">
                  <c:v>1.8041782423392303E-2</c:v>
                </c:pt>
                <c:pt idx="146">
                  <c:v>9.4457670830653609E-3</c:v>
                </c:pt>
                <c:pt idx="147">
                  <c:v>2.436578909511317E-3</c:v>
                </c:pt>
                <c:pt idx="148">
                  <c:v>1.8258584905646663E-2</c:v>
                </c:pt>
                <c:pt idx="149">
                  <c:v>2.3587117973830278E-2</c:v>
                </c:pt>
                <c:pt idx="150">
                  <c:v>1.573143460911609E-2</c:v>
                </c:pt>
                <c:pt idx="151">
                  <c:v>2.2833801108938706E-2</c:v>
                </c:pt>
                <c:pt idx="152">
                  <c:v>3.5506884862190377E-2</c:v>
                </c:pt>
                <c:pt idx="153">
                  <c:v>4.2803249929606248E-2</c:v>
                </c:pt>
                <c:pt idx="154">
                  <c:v>4.6969852693226587E-2</c:v>
                </c:pt>
                <c:pt idx="155">
                  <c:v>3.4113091552339742E-2</c:v>
                </c:pt>
                <c:pt idx="156">
                  <c:v>1.9427063603553472E-2</c:v>
                </c:pt>
                <c:pt idx="157">
                  <c:v>2.0871493737874388E-2</c:v>
                </c:pt>
                <c:pt idx="158">
                  <c:v>1.3841089649103428E-2</c:v>
                </c:pt>
                <c:pt idx="159">
                  <c:v>2.6483844686709626E-2</c:v>
                </c:pt>
                <c:pt idx="160">
                  <c:v>4.05197093456185E-2</c:v>
                </c:pt>
                <c:pt idx="161">
                  <c:v>7.9584898547378102E-2</c:v>
                </c:pt>
                <c:pt idx="162">
                  <c:v>1.5457701692729113E-2</c:v>
                </c:pt>
                <c:pt idx="163">
                  <c:v>6.4166540772806521E-2</c:v>
                </c:pt>
                <c:pt idx="164">
                  <c:v>1.2977457852926288E-2</c:v>
                </c:pt>
                <c:pt idx="165">
                  <c:v>9.356078511487198E-2</c:v>
                </c:pt>
                <c:pt idx="166">
                  <c:v>1.3152048586198046E-2</c:v>
                </c:pt>
                <c:pt idx="167">
                  <c:v>6.279714056749934E-2</c:v>
                </c:pt>
                <c:pt idx="168">
                  <c:v>4.7932507808229899E-2</c:v>
                </c:pt>
                <c:pt idx="169">
                  <c:v>3.4526882381750772E-2</c:v>
                </c:pt>
                <c:pt idx="170">
                  <c:v>2.8166275710811498E-2</c:v>
                </c:pt>
                <c:pt idx="171">
                  <c:v>2.9458474754022475E-2</c:v>
                </c:pt>
                <c:pt idx="172">
                  <c:v>3.3586147349650458E-2</c:v>
                </c:pt>
                <c:pt idx="173">
                  <c:v>3.5260980594378641E-2</c:v>
                </c:pt>
                <c:pt idx="174">
                  <c:v>3.4054054238211798E-2</c:v>
                </c:pt>
                <c:pt idx="175">
                  <c:v>4.0351435875358145E-2</c:v>
                </c:pt>
                <c:pt idx="176">
                  <c:v>6.4489384932626723E-2</c:v>
                </c:pt>
                <c:pt idx="177">
                  <c:v>4.640515982977831E-2</c:v>
                </c:pt>
                <c:pt idx="178">
                  <c:v>8.8054457831616886E-3</c:v>
                </c:pt>
                <c:pt idx="179">
                  <c:v>5.7466274733248675E-2</c:v>
                </c:pt>
                <c:pt idx="180">
                  <c:v>6.4976807386384408E-2</c:v>
                </c:pt>
                <c:pt idx="181">
                  <c:v>5.3738375047901271E-2</c:v>
                </c:pt>
                <c:pt idx="182">
                  <c:v>6.4855901658042406E-2</c:v>
                </c:pt>
                <c:pt idx="183">
                  <c:v>4.1041289858195766E-2</c:v>
                </c:pt>
                <c:pt idx="184">
                  <c:v>5.7464360407057262E-2</c:v>
                </c:pt>
                <c:pt idx="185">
                  <c:v>4.0054429106801325E-3</c:v>
                </c:pt>
                <c:pt idx="186">
                  <c:v>3.9899154835769349E-2</c:v>
                </c:pt>
                <c:pt idx="187">
                  <c:v>3.402442488492595E-2</c:v>
                </c:pt>
                <c:pt idx="188">
                  <c:v>4.8334441912173114E-2</c:v>
                </c:pt>
                <c:pt idx="189">
                  <c:v>2.1608082037994199E-2</c:v>
                </c:pt>
                <c:pt idx="190">
                  <c:v>4.8475727167494209E-2</c:v>
                </c:pt>
                <c:pt idx="191">
                  <c:v>1.9632685177994689E-2</c:v>
                </c:pt>
                <c:pt idx="192">
                  <c:v>2.7313454150282048E-2</c:v>
                </c:pt>
                <c:pt idx="193">
                  <c:v>2.2452861018244941E-2</c:v>
                </c:pt>
                <c:pt idx="194">
                  <c:v>2.8257773753698152E-2</c:v>
                </c:pt>
                <c:pt idx="195">
                  <c:v>1.6478505020278318E-2</c:v>
                </c:pt>
                <c:pt idx="196">
                  <c:v>6.9108862777246413E-2</c:v>
                </c:pt>
                <c:pt idx="197">
                  <c:v>4.9178123769766505E-2</c:v>
                </c:pt>
                <c:pt idx="198">
                  <c:v>4.5897392479810652E-2</c:v>
                </c:pt>
                <c:pt idx="199">
                  <c:v>3.7902020842699259E-2</c:v>
                </c:pt>
                <c:pt idx="200">
                  <c:v>3.7290033664532617E-2</c:v>
                </c:pt>
                <c:pt idx="201">
                  <c:v>2.5682109653325513E-2</c:v>
                </c:pt>
                <c:pt idx="202">
                  <c:v>4.0764565339405312E-2</c:v>
                </c:pt>
                <c:pt idx="203">
                  <c:v>0.14132748617718618</c:v>
                </c:pt>
                <c:pt idx="204">
                  <c:v>0.12435339384820099</c:v>
                </c:pt>
                <c:pt idx="205">
                  <c:v>1.0203463830132547E-2</c:v>
                </c:pt>
                <c:pt idx="206">
                  <c:v>3.1115737486296223E-2</c:v>
                </c:pt>
                <c:pt idx="207">
                  <c:v>4.4601344716415872E-2</c:v>
                </c:pt>
                <c:pt idx="208">
                  <c:v>5.3662086157066337E-2</c:v>
                </c:pt>
                <c:pt idx="209">
                  <c:v>1.4556238220017451E-2</c:v>
                </c:pt>
                <c:pt idx="210">
                  <c:v>7.8102277447304443E-3</c:v>
                </c:pt>
                <c:pt idx="211">
                  <c:v>6.9823598583345775E-2</c:v>
                </c:pt>
                <c:pt idx="212">
                  <c:v>7.3072071033903188E-2</c:v>
                </c:pt>
                <c:pt idx="213">
                  <c:v>6.1873815812208167E-2</c:v>
                </c:pt>
                <c:pt idx="214">
                  <c:v>3.6132086934890659E-2</c:v>
                </c:pt>
                <c:pt idx="215">
                  <c:v>3.6471454198226914E-2</c:v>
                </c:pt>
                <c:pt idx="216">
                  <c:v>3.339536999900302E-2</c:v>
                </c:pt>
                <c:pt idx="217">
                  <c:v>5.405219024922911E-2</c:v>
                </c:pt>
                <c:pt idx="218">
                  <c:v>3.8459994824517368E-2</c:v>
                </c:pt>
                <c:pt idx="219">
                  <c:v>1.6620414988366628E-2</c:v>
                </c:pt>
                <c:pt idx="220">
                  <c:v>4.0735546941744527E-2</c:v>
                </c:pt>
                <c:pt idx="221">
                  <c:v>3.7269173923873605E-2</c:v>
                </c:pt>
                <c:pt idx="222">
                  <c:v>5.1727891498446948E-2</c:v>
                </c:pt>
                <c:pt idx="223">
                  <c:v>3.2938200538219269E-2</c:v>
                </c:pt>
                <c:pt idx="224">
                  <c:v>6.1351277514590706E-2</c:v>
                </c:pt>
                <c:pt idx="225">
                  <c:v>8.2851093067572906E-2</c:v>
                </c:pt>
                <c:pt idx="226">
                  <c:v>2.3123942775319706E-2</c:v>
                </c:pt>
                <c:pt idx="227">
                  <c:v>1.153531055540801E-2</c:v>
                </c:pt>
                <c:pt idx="228">
                  <c:v>3.987180211611005E-2</c:v>
                </c:pt>
                <c:pt idx="229">
                  <c:v>3.7721767942371531E-2</c:v>
                </c:pt>
                <c:pt idx="230">
                  <c:v>4.8452927877763619E-2</c:v>
                </c:pt>
                <c:pt idx="231">
                  <c:v>2.1939807049883901E-2</c:v>
                </c:pt>
                <c:pt idx="232">
                  <c:v>5.1163606704874125E-2</c:v>
                </c:pt>
                <c:pt idx="233">
                  <c:v>2.0265898967891795E-2</c:v>
                </c:pt>
                <c:pt idx="234">
                  <c:v>2.9034342899369927E-2</c:v>
                </c:pt>
                <c:pt idx="235">
                  <c:v>5.4711181680736798E-2</c:v>
                </c:pt>
                <c:pt idx="236">
                  <c:v>3.0258813499193057E-2</c:v>
                </c:pt>
                <c:pt idx="237">
                  <c:v>2.3573018542513126E-2</c:v>
                </c:pt>
                <c:pt idx="238">
                  <c:v>9.6641282354824627E-3</c:v>
                </c:pt>
                <c:pt idx="239">
                  <c:v>7.1417690312263471E-3</c:v>
                </c:pt>
                <c:pt idx="240">
                  <c:v>5.5329633545099309E-2</c:v>
                </c:pt>
                <c:pt idx="241">
                  <c:v>4.9997084969319448E-2</c:v>
                </c:pt>
                <c:pt idx="242">
                  <c:v>3.8093636903635895E-2</c:v>
                </c:pt>
                <c:pt idx="243">
                  <c:v>5.1830268875843806E-2</c:v>
                </c:pt>
                <c:pt idx="244">
                  <c:v>0.10633355601975657</c:v>
                </c:pt>
                <c:pt idx="245">
                  <c:v>2.451095568304542E-2</c:v>
                </c:pt>
                <c:pt idx="246">
                  <c:v>0.10775793737775556</c:v>
                </c:pt>
                <c:pt idx="247">
                  <c:v>4.985295697794611E-2</c:v>
                </c:pt>
                <c:pt idx="248">
                  <c:v>3.2254892995453817E-2</c:v>
                </c:pt>
                <c:pt idx="249">
                  <c:v>1.5036275236261783E-2</c:v>
                </c:pt>
                <c:pt idx="250">
                  <c:v>1.4288410994589289E-2</c:v>
                </c:pt>
                <c:pt idx="251">
                  <c:v>5.6386214525163646E-2</c:v>
                </c:pt>
                <c:pt idx="252">
                  <c:v>4.1295824825136204E-2</c:v>
                </c:pt>
                <c:pt idx="253">
                  <c:v>6.8349701375870361E-2</c:v>
                </c:pt>
                <c:pt idx="254">
                  <c:v>9.9655478365431122E-2</c:v>
                </c:pt>
                <c:pt idx="255">
                  <c:v>4.8039843209978936E-2</c:v>
                </c:pt>
                <c:pt idx="256">
                  <c:v>0.13919039717514384</c:v>
                </c:pt>
                <c:pt idx="257">
                  <c:v>0.11010077737037659</c:v>
                </c:pt>
                <c:pt idx="258">
                  <c:v>0.13213329370518964</c:v>
                </c:pt>
                <c:pt idx="259">
                  <c:v>0.21008039818199581</c:v>
                </c:pt>
                <c:pt idx="260">
                  <c:v>4.9295286623503222E-2</c:v>
                </c:pt>
                <c:pt idx="261">
                  <c:v>2.1246195742764821E-2</c:v>
                </c:pt>
                <c:pt idx="262">
                  <c:v>6.6741309279380878E-3</c:v>
                </c:pt>
                <c:pt idx="263">
                  <c:v>2.0684025089901248E-2</c:v>
                </c:pt>
                <c:pt idx="264">
                  <c:v>3.3337477239142613E-2</c:v>
                </c:pt>
                <c:pt idx="265">
                  <c:v>8.5007798907748205E-2</c:v>
                </c:pt>
                <c:pt idx="266">
                  <c:v>7.7905193627183747E-2</c:v>
                </c:pt>
                <c:pt idx="267">
                  <c:v>5.3264785567177626E-2</c:v>
                </c:pt>
                <c:pt idx="268">
                  <c:v>4.4931281943538064E-2</c:v>
                </c:pt>
                <c:pt idx="269">
                  <c:v>8.4071838557421896E-2</c:v>
                </c:pt>
                <c:pt idx="270">
                  <c:v>3.3232348451877641E-2</c:v>
                </c:pt>
                <c:pt idx="271">
                  <c:v>0.1022491033222831</c:v>
                </c:pt>
                <c:pt idx="272">
                  <c:v>7.4926719554379892E-2</c:v>
                </c:pt>
                <c:pt idx="273">
                  <c:v>9.4211871944213418E-2</c:v>
                </c:pt>
                <c:pt idx="274">
                  <c:v>7.6528356418464352E-2</c:v>
                </c:pt>
                <c:pt idx="275">
                  <c:v>8.7334563995358022E-2</c:v>
                </c:pt>
                <c:pt idx="276">
                  <c:v>0.10637830861078484</c:v>
                </c:pt>
                <c:pt idx="277">
                  <c:v>1.5211131857870477E-2</c:v>
                </c:pt>
                <c:pt idx="278">
                  <c:v>6.1226107926183895E-2</c:v>
                </c:pt>
                <c:pt idx="279">
                  <c:v>8.9538643814034528E-3</c:v>
                </c:pt>
                <c:pt idx="280">
                  <c:v>6.7166040054846027E-2</c:v>
                </c:pt>
                <c:pt idx="281">
                  <c:v>0.11043095045879128</c:v>
                </c:pt>
                <c:pt idx="282">
                  <c:v>7.1369663173939071E-2</c:v>
                </c:pt>
                <c:pt idx="283">
                  <c:v>4.661923687974398E-3</c:v>
                </c:pt>
                <c:pt idx="284">
                  <c:v>3.1473772337103478E-3</c:v>
                </c:pt>
                <c:pt idx="285">
                  <c:v>1.8555194735999554E-2</c:v>
                </c:pt>
                <c:pt idx="286">
                  <c:v>5.5659332401074083E-2</c:v>
                </c:pt>
                <c:pt idx="287">
                  <c:v>0.17774618792857652</c:v>
                </c:pt>
                <c:pt idx="288">
                  <c:v>8.0600486290657095E-2</c:v>
                </c:pt>
                <c:pt idx="289">
                  <c:v>3.3836698761423076E-2</c:v>
                </c:pt>
                <c:pt idx="290">
                  <c:v>4.8066680135859883E-3</c:v>
                </c:pt>
                <c:pt idx="291">
                  <c:v>6.228460788554816E-3</c:v>
                </c:pt>
                <c:pt idx="292">
                  <c:v>1.6136491622125113E-4</c:v>
                </c:pt>
                <c:pt idx="293">
                  <c:v>5.3418025937474875E-3</c:v>
                </c:pt>
                <c:pt idx="294">
                  <c:v>3.9287579920446415E-3</c:v>
                </c:pt>
                <c:pt idx="295">
                  <c:v>1.42964891443634E-2</c:v>
                </c:pt>
                <c:pt idx="296">
                  <c:v>2.1780158413128317E-2</c:v>
                </c:pt>
                <c:pt idx="297">
                  <c:v>4.3579119374204306E-2</c:v>
                </c:pt>
                <c:pt idx="298">
                  <c:v>1.7888946617742926E-2</c:v>
                </c:pt>
                <c:pt idx="299">
                  <c:v>1.8074368371979468E-2</c:v>
                </c:pt>
                <c:pt idx="300">
                  <c:v>2.5894318709195775E-2</c:v>
                </c:pt>
                <c:pt idx="301">
                  <c:v>6.1448913297305445E-3</c:v>
                </c:pt>
                <c:pt idx="302">
                  <c:v>9.6429240161894914E-2</c:v>
                </c:pt>
                <c:pt idx="303">
                  <c:v>3.6728115885507867E-2</c:v>
                </c:pt>
                <c:pt idx="304">
                  <c:v>7.3567936787193422E-2</c:v>
                </c:pt>
                <c:pt idx="305">
                  <c:v>5.8543539474215901E-2</c:v>
                </c:pt>
                <c:pt idx="306">
                  <c:v>8.9487456205968177E-5</c:v>
                </c:pt>
                <c:pt idx="307">
                  <c:v>2.9553681550268999E-2</c:v>
                </c:pt>
                <c:pt idx="308">
                  <c:v>6.1852664725614265E-2</c:v>
                </c:pt>
                <c:pt idx="309">
                  <c:v>2.889251264299578E-2</c:v>
                </c:pt>
                <c:pt idx="310">
                  <c:v>0.10240583725522044</c:v>
                </c:pt>
                <c:pt idx="311">
                  <c:v>0.10338076387942897</c:v>
                </c:pt>
                <c:pt idx="312">
                  <c:v>8.5604396470646174E-2</c:v>
                </c:pt>
                <c:pt idx="313">
                  <c:v>5.5402253389989761E-2</c:v>
                </c:pt>
                <c:pt idx="314">
                  <c:v>2.4941568062124355E-2</c:v>
                </c:pt>
                <c:pt idx="315">
                  <c:v>6.8915574475356997E-2</c:v>
                </c:pt>
                <c:pt idx="316">
                  <c:v>2.2747487756448248E-2</c:v>
                </c:pt>
                <c:pt idx="317">
                  <c:v>3.8005428650330526E-2</c:v>
                </c:pt>
                <c:pt idx="318">
                  <c:v>3.727709909290651E-2</c:v>
                </c:pt>
                <c:pt idx="319">
                  <c:v>4.2158069634813743E-2</c:v>
                </c:pt>
                <c:pt idx="320">
                  <c:v>3.3699359890434578E-2</c:v>
                </c:pt>
                <c:pt idx="321">
                  <c:v>9.5749764210134355E-2</c:v>
                </c:pt>
                <c:pt idx="322">
                  <c:v>1.965557429264418E-3</c:v>
                </c:pt>
                <c:pt idx="323">
                  <c:v>4.7056620000039788E-2</c:v>
                </c:pt>
                <c:pt idx="324">
                  <c:v>0.14533122787982169</c:v>
                </c:pt>
                <c:pt idx="325">
                  <c:v>0.32037525118761756</c:v>
                </c:pt>
                <c:pt idx="326">
                  <c:v>0.14063666572300265</c:v>
                </c:pt>
                <c:pt idx="327">
                  <c:v>0.61865705177910446</c:v>
                </c:pt>
                <c:pt idx="328">
                  <c:v>0.41512367222105512</c:v>
                </c:pt>
                <c:pt idx="329">
                  <c:v>0.28269865963341145</c:v>
                </c:pt>
                <c:pt idx="330">
                  <c:v>9.6556346585592645E-2</c:v>
                </c:pt>
                <c:pt idx="331">
                  <c:v>0.20040786324670698</c:v>
                </c:pt>
                <c:pt idx="332">
                  <c:v>9.0850493037813534E-2</c:v>
                </c:pt>
                <c:pt idx="333">
                  <c:v>8.0756122310797707E-2</c:v>
                </c:pt>
                <c:pt idx="334">
                  <c:v>4.7073932537753146E-2</c:v>
                </c:pt>
                <c:pt idx="335">
                  <c:v>7.5847346564219473E-2</c:v>
                </c:pt>
                <c:pt idx="336">
                  <c:v>0.12672323182502307</c:v>
                </c:pt>
                <c:pt idx="337">
                  <c:v>9.2687874834289419E-2</c:v>
                </c:pt>
                <c:pt idx="338">
                  <c:v>0.11327475684168407</c:v>
                </c:pt>
                <c:pt idx="339">
                  <c:v>9.3825684046227376E-2</c:v>
                </c:pt>
                <c:pt idx="340">
                  <c:v>7.7364265475989E-2</c:v>
                </c:pt>
                <c:pt idx="341">
                  <c:v>1.5472104822882757E-2</c:v>
                </c:pt>
                <c:pt idx="342">
                  <c:v>0.11785019773930219</c:v>
                </c:pt>
                <c:pt idx="343">
                  <c:v>1.7570163303985774E-2</c:v>
                </c:pt>
                <c:pt idx="344">
                  <c:v>9.7985643709423576E-3</c:v>
                </c:pt>
                <c:pt idx="345">
                  <c:v>9.6093114344238031E-3</c:v>
                </c:pt>
                <c:pt idx="346">
                  <c:v>4.9952185407694076E-3</c:v>
                </c:pt>
                <c:pt idx="347">
                  <c:v>1.4663585019528918E-2</c:v>
                </c:pt>
                <c:pt idx="348">
                  <c:v>3.4798349334136225E-2</c:v>
                </c:pt>
                <c:pt idx="349">
                  <c:v>9.2820510218995747E-2</c:v>
                </c:pt>
                <c:pt idx="350">
                  <c:v>1.4633379712636698E-2</c:v>
                </c:pt>
                <c:pt idx="351">
                  <c:v>1.4633379712636698E-2</c:v>
                </c:pt>
                <c:pt idx="352">
                  <c:v>1.4633379712636698E-2</c:v>
                </c:pt>
                <c:pt idx="353">
                  <c:v>0.23688354165452055</c:v>
                </c:pt>
                <c:pt idx="354">
                  <c:v>0.23688354165452055</c:v>
                </c:pt>
                <c:pt idx="355">
                  <c:v>0.23688354165452055</c:v>
                </c:pt>
                <c:pt idx="356">
                  <c:v>8.2348974091062149E-2</c:v>
                </c:pt>
                <c:pt idx="357">
                  <c:v>8.95468479720338E-6</c:v>
                </c:pt>
                <c:pt idx="358">
                  <c:v>8.95468479720338E-6</c:v>
                </c:pt>
                <c:pt idx="359">
                  <c:v>3.9975457823041701E-3</c:v>
                </c:pt>
                <c:pt idx="360">
                  <c:v>4.8475758252512205E-3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6-4B82-B141-BEC30190A93D}"/>
            </c:ext>
          </c:extLst>
        </c:ser>
        <c:ser>
          <c:idx val="1"/>
          <c:order val="1"/>
          <c:tx>
            <c:strRef>
              <c:f>'All projects'!$AD$1</c:f>
              <c:strCache>
                <c:ptCount val="1"/>
                <c:pt idx="0">
                  <c:v>Freshwater Proportion of Scaled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projects'!$A$2:$A$362</c:f>
              <c:strCache>
                <c:ptCount val="361"/>
                <c:pt idx="0">
                  <c:v>Anudol_Creek_A-8hr</c:v>
                </c:pt>
                <c:pt idx="1">
                  <c:v>Ball_Creek-8hr</c:v>
                </c:pt>
                <c:pt idx="2">
                  <c:v>Batt_VI</c:v>
                </c:pt>
                <c:pt idx="3">
                  <c:v>BC08</c:v>
                </c:pt>
                <c:pt idx="4">
                  <c:v>BC09</c:v>
                </c:pt>
                <c:pt idx="5">
                  <c:v>BC10</c:v>
                </c:pt>
                <c:pt idx="6">
                  <c:v>BC11</c:v>
                </c:pt>
                <c:pt idx="7">
                  <c:v>BC13</c:v>
                </c:pt>
                <c:pt idx="8">
                  <c:v>BC15</c:v>
                </c:pt>
                <c:pt idx="9">
                  <c:v>BC17</c:v>
                </c:pt>
                <c:pt idx="10">
                  <c:v>BC18</c:v>
                </c:pt>
                <c:pt idx="11">
                  <c:v>BC19</c:v>
                </c:pt>
                <c:pt idx="12">
                  <c:v>BC20</c:v>
                </c:pt>
                <c:pt idx="13">
                  <c:v>BC21</c:v>
                </c:pt>
                <c:pt idx="14">
                  <c:v>BC22</c:v>
                </c:pt>
                <c:pt idx="15">
                  <c:v>BC23</c:v>
                </c:pt>
                <c:pt idx="16">
                  <c:v>BC24</c:v>
                </c:pt>
                <c:pt idx="17">
                  <c:v>BC25</c:v>
                </c:pt>
                <c:pt idx="18">
                  <c:v>BC26</c:v>
                </c:pt>
                <c:pt idx="19">
                  <c:v>Blinch - Stave</c:v>
                </c:pt>
                <c:pt idx="20">
                  <c:v>Bookhout 2</c:v>
                </c:pt>
                <c:pt idx="21">
                  <c:v>Canoe Creek - Valemount</c:v>
                </c:pt>
                <c:pt idx="22">
                  <c:v>Chemainus_River-8hr</c:v>
                </c:pt>
                <c:pt idx="23">
                  <c:v>Clarke Lake</c:v>
                </c:pt>
                <c:pt idx="24">
                  <c:v>Diana - storage for 16 hrs of generation</c:v>
                </c:pt>
                <c:pt idx="25">
                  <c:v>Elaho_River-8hr</c:v>
                </c:pt>
                <c:pt idx="26">
                  <c:v>Freda_Creek-8hr</c:v>
                </c:pt>
                <c:pt idx="27">
                  <c:v>Hirsch - storage for 16 hrs of generation</c:v>
                </c:pt>
                <c:pt idx="28">
                  <c:v>Jedney Area</c:v>
                </c:pt>
                <c:pt idx="29">
                  <c:v>Kenyon - Stave</c:v>
                </c:pt>
                <c:pt idx="30">
                  <c:v>Kinskuch_River-8hr</c:v>
                </c:pt>
                <c:pt idx="31">
                  <c:v>Knight - Fourth</c:v>
                </c:pt>
                <c:pt idx="32">
                  <c:v>Lakelse Lake</c:v>
                </c:pt>
                <c:pt idx="33">
                  <c:v>Lower Falls - storage for 16 hrs of generation</c:v>
                </c:pt>
                <c:pt idx="34">
                  <c:v>Meager Creek</c:v>
                </c:pt>
                <c:pt idx="35">
                  <c:v>More_Creek-8hr</c:v>
                </c:pt>
                <c:pt idx="36">
                  <c:v>MSW 1</c:v>
                </c:pt>
                <c:pt idx="37">
                  <c:v>MSW 2</c:v>
                </c:pt>
                <c:pt idx="38">
                  <c:v>MSW 3</c:v>
                </c:pt>
                <c:pt idx="39">
                  <c:v>Mt. Cayley</c:v>
                </c:pt>
                <c:pt idx="40">
                  <c:v>Nahatlatch_River-8hr</c:v>
                </c:pt>
                <c:pt idx="41">
                  <c:v>Nass_River-8hr</c:v>
                </c:pt>
                <c:pt idx="42">
                  <c:v>NC01</c:v>
                </c:pt>
                <c:pt idx="43">
                  <c:v>NC02</c:v>
                </c:pt>
                <c:pt idx="44">
                  <c:v>NC05</c:v>
                </c:pt>
                <c:pt idx="45">
                  <c:v>NC06</c:v>
                </c:pt>
                <c:pt idx="46">
                  <c:v>NC07</c:v>
                </c:pt>
                <c:pt idx="47">
                  <c:v>NC08</c:v>
                </c:pt>
                <c:pt idx="48">
                  <c:v>NC09</c:v>
                </c:pt>
                <c:pt idx="49">
                  <c:v>NC10</c:v>
                </c:pt>
                <c:pt idx="50">
                  <c:v>NC11</c:v>
                </c:pt>
                <c:pt idx="51">
                  <c:v>NC12</c:v>
                </c:pt>
                <c:pt idx="52">
                  <c:v>NC13</c:v>
                </c:pt>
                <c:pt idx="53">
                  <c:v>Nimpkish_River_B-8hr</c:v>
                </c:pt>
                <c:pt idx="54">
                  <c:v>PC01</c:v>
                </c:pt>
                <c:pt idx="55">
                  <c:v>PC02</c:v>
                </c:pt>
                <c:pt idx="56">
                  <c:v>PC04</c:v>
                </c:pt>
                <c:pt idx="57">
                  <c:v>PC05</c:v>
                </c:pt>
                <c:pt idx="58">
                  <c:v>PC06</c:v>
                </c:pt>
                <c:pt idx="59">
                  <c:v>PC07</c:v>
                </c:pt>
                <c:pt idx="60">
                  <c:v>PC08</c:v>
                </c:pt>
                <c:pt idx="61">
                  <c:v>PC09</c:v>
                </c:pt>
                <c:pt idx="62">
                  <c:v>PC10</c:v>
                </c:pt>
                <c:pt idx="63">
                  <c:v>PC11</c:v>
                </c:pt>
                <c:pt idx="64">
                  <c:v>PC12</c:v>
                </c:pt>
                <c:pt idx="65">
                  <c:v>PC13</c:v>
                </c:pt>
                <c:pt idx="66">
                  <c:v>PC14</c:v>
                </c:pt>
                <c:pt idx="67">
                  <c:v>PC15</c:v>
                </c:pt>
                <c:pt idx="68">
                  <c:v>PC16</c:v>
                </c:pt>
                <c:pt idx="69">
                  <c:v>PC17</c:v>
                </c:pt>
                <c:pt idx="70">
                  <c:v>PC18</c:v>
                </c:pt>
                <c:pt idx="71">
                  <c:v>PC19</c:v>
                </c:pt>
                <c:pt idx="72">
                  <c:v>PC20</c:v>
                </c:pt>
                <c:pt idx="73">
                  <c:v>PC21</c:v>
                </c:pt>
                <c:pt idx="74">
                  <c:v>PC22</c:v>
                </c:pt>
                <c:pt idx="75">
                  <c:v>PC23</c:v>
                </c:pt>
                <c:pt idx="76">
                  <c:v>PC24</c:v>
                </c:pt>
                <c:pt idx="77">
                  <c:v>PC25</c:v>
                </c:pt>
                <c:pt idx="78">
                  <c:v>PC26</c:v>
                </c:pt>
                <c:pt idx="79">
                  <c:v>PC27</c:v>
                </c:pt>
                <c:pt idx="80">
                  <c:v>PC28</c:v>
                </c:pt>
                <c:pt idx="81">
                  <c:v>PC29</c:v>
                </c:pt>
                <c:pt idx="82">
                  <c:v>PC32</c:v>
                </c:pt>
                <c:pt idx="83">
                  <c:v>PC34</c:v>
                </c:pt>
                <c:pt idx="84">
                  <c:v>PC36</c:v>
                </c:pt>
                <c:pt idx="85">
                  <c:v>PC37</c:v>
                </c:pt>
                <c:pt idx="86">
                  <c:v>PC38</c:v>
                </c:pt>
                <c:pt idx="87">
                  <c:v>PC39</c:v>
                </c:pt>
                <c:pt idx="88">
                  <c:v>PC40</c:v>
                </c:pt>
                <c:pt idx="89">
                  <c:v>PC41</c:v>
                </c:pt>
                <c:pt idx="90">
                  <c:v>PC42</c:v>
                </c:pt>
                <c:pt idx="91">
                  <c:v>PC43</c:v>
                </c:pt>
                <c:pt idx="92">
                  <c:v>PC46</c:v>
                </c:pt>
                <c:pt idx="93">
                  <c:v>PC47</c:v>
                </c:pt>
                <c:pt idx="94">
                  <c:v>PC48</c:v>
                </c:pt>
                <c:pt idx="95">
                  <c:v>Pebble Creek</c:v>
                </c:pt>
                <c:pt idx="96">
                  <c:v>Quimper - Bulson</c:v>
                </c:pt>
                <c:pt idx="97">
                  <c:v>ROR_5018</c:v>
                </c:pt>
                <c:pt idx="98">
                  <c:v>ROR_5101</c:v>
                </c:pt>
                <c:pt idx="99">
                  <c:v>ROR_5332</c:v>
                </c:pt>
                <c:pt idx="100">
                  <c:v>SI01</c:v>
                </c:pt>
                <c:pt idx="101">
                  <c:v>SI02</c:v>
                </c:pt>
                <c:pt idx="102">
                  <c:v>SI03</c:v>
                </c:pt>
                <c:pt idx="103">
                  <c:v>SI04</c:v>
                </c:pt>
                <c:pt idx="104">
                  <c:v>SI05</c:v>
                </c:pt>
                <c:pt idx="105">
                  <c:v>SI06</c:v>
                </c:pt>
                <c:pt idx="106">
                  <c:v>SI08</c:v>
                </c:pt>
                <c:pt idx="107">
                  <c:v>SI09</c:v>
                </c:pt>
                <c:pt idx="108">
                  <c:v>SI10</c:v>
                </c:pt>
                <c:pt idx="109">
                  <c:v>SI11</c:v>
                </c:pt>
                <c:pt idx="110">
                  <c:v>SI12</c:v>
                </c:pt>
                <c:pt idx="111">
                  <c:v>SI13</c:v>
                </c:pt>
                <c:pt idx="112">
                  <c:v>SI14</c:v>
                </c:pt>
                <c:pt idx="113">
                  <c:v>SI15</c:v>
                </c:pt>
                <c:pt idx="114">
                  <c:v>SI18</c:v>
                </c:pt>
                <c:pt idx="115">
                  <c:v>SI19</c:v>
                </c:pt>
                <c:pt idx="116">
                  <c:v>SI20</c:v>
                </c:pt>
                <c:pt idx="117">
                  <c:v>SI22</c:v>
                </c:pt>
                <c:pt idx="118">
                  <c:v>SI23</c:v>
                </c:pt>
                <c:pt idx="119">
                  <c:v>SI27</c:v>
                </c:pt>
                <c:pt idx="120">
                  <c:v>SI28</c:v>
                </c:pt>
                <c:pt idx="121">
                  <c:v>SI29</c:v>
                </c:pt>
                <c:pt idx="122">
                  <c:v>SI30</c:v>
                </c:pt>
                <c:pt idx="123">
                  <c:v>SI31</c:v>
                </c:pt>
                <c:pt idx="124">
                  <c:v>SI33</c:v>
                </c:pt>
                <c:pt idx="125">
                  <c:v>SI37</c:v>
                </c:pt>
                <c:pt idx="126">
                  <c:v>SI38</c:v>
                </c:pt>
                <c:pt idx="127">
                  <c:v>Silverhope_Creek-8hr</c:v>
                </c:pt>
                <c:pt idx="128">
                  <c:v>Siwash_Creek-8hr</c:v>
                </c:pt>
                <c:pt idx="129">
                  <c:v>Sleeman - storage for 16 hrs of generation</c:v>
                </c:pt>
                <c:pt idx="130">
                  <c:v>Sloquet Creek</c:v>
                </c:pt>
                <c:pt idx="131">
                  <c:v>Solar20367</c:v>
                </c:pt>
                <c:pt idx="132">
                  <c:v>Solar20369</c:v>
                </c:pt>
                <c:pt idx="133">
                  <c:v>Solar21118</c:v>
                </c:pt>
                <c:pt idx="134">
                  <c:v>Solar21844</c:v>
                </c:pt>
                <c:pt idx="135">
                  <c:v>Solar22545</c:v>
                </c:pt>
                <c:pt idx="136">
                  <c:v>Solar23228</c:v>
                </c:pt>
                <c:pt idx="137">
                  <c:v>Solar23229</c:v>
                </c:pt>
                <c:pt idx="138">
                  <c:v>Solar23231</c:v>
                </c:pt>
                <c:pt idx="139">
                  <c:v>Solar23940</c:v>
                </c:pt>
                <c:pt idx="140">
                  <c:v>Solar26927</c:v>
                </c:pt>
                <c:pt idx="141">
                  <c:v>Solar27670</c:v>
                </c:pt>
                <c:pt idx="142">
                  <c:v>Solar27671</c:v>
                </c:pt>
                <c:pt idx="143">
                  <c:v>Solar27672</c:v>
                </c:pt>
                <c:pt idx="144">
                  <c:v>Solar28399</c:v>
                </c:pt>
                <c:pt idx="145">
                  <c:v>Solar29217</c:v>
                </c:pt>
                <c:pt idx="146">
                  <c:v>Solar31787</c:v>
                </c:pt>
                <c:pt idx="147">
                  <c:v>Solar32661</c:v>
                </c:pt>
                <c:pt idx="148">
                  <c:v>Solar32662</c:v>
                </c:pt>
                <c:pt idx="149">
                  <c:v>Solar32664</c:v>
                </c:pt>
                <c:pt idx="150">
                  <c:v>Solar32665</c:v>
                </c:pt>
                <c:pt idx="151">
                  <c:v>Solar35270</c:v>
                </c:pt>
                <c:pt idx="152">
                  <c:v>Solar35271</c:v>
                </c:pt>
                <c:pt idx="153">
                  <c:v>Solar35272</c:v>
                </c:pt>
                <c:pt idx="154">
                  <c:v>Solar35273</c:v>
                </c:pt>
                <c:pt idx="155">
                  <c:v>Solar35274</c:v>
                </c:pt>
                <c:pt idx="156">
                  <c:v>Solar35275</c:v>
                </c:pt>
                <c:pt idx="157">
                  <c:v>Solar35276</c:v>
                </c:pt>
                <c:pt idx="158">
                  <c:v>Solar35277</c:v>
                </c:pt>
                <c:pt idx="159">
                  <c:v>Solar35279</c:v>
                </c:pt>
                <c:pt idx="160">
                  <c:v>Solar36056</c:v>
                </c:pt>
                <c:pt idx="161">
                  <c:v>Solar36059</c:v>
                </c:pt>
                <c:pt idx="162">
                  <c:v>Solar36060</c:v>
                </c:pt>
                <c:pt idx="163">
                  <c:v>Solar36061</c:v>
                </c:pt>
                <c:pt idx="164">
                  <c:v>Solar36062</c:v>
                </c:pt>
                <c:pt idx="165">
                  <c:v>Solar36063</c:v>
                </c:pt>
                <c:pt idx="166">
                  <c:v>Solar36064</c:v>
                </c:pt>
                <c:pt idx="167">
                  <c:v>Solar36065</c:v>
                </c:pt>
                <c:pt idx="168">
                  <c:v>Solar36066</c:v>
                </c:pt>
                <c:pt idx="169">
                  <c:v>Solar36067</c:v>
                </c:pt>
                <c:pt idx="170">
                  <c:v>Solar36068</c:v>
                </c:pt>
                <c:pt idx="171">
                  <c:v>Solar36069</c:v>
                </c:pt>
                <c:pt idx="172">
                  <c:v>Solar36070</c:v>
                </c:pt>
                <c:pt idx="173">
                  <c:v>Solar36071</c:v>
                </c:pt>
                <c:pt idx="174">
                  <c:v>Solar36072</c:v>
                </c:pt>
                <c:pt idx="175">
                  <c:v>Solar36073</c:v>
                </c:pt>
                <c:pt idx="176">
                  <c:v>Solar36074</c:v>
                </c:pt>
                <c:pt idx="177">
                  <c:v>Solar36077</c:v>
                </c:pt>
                <c:pt idx="178">
                  <c:v>Solar36883</c:v>
                </c:pt>
                <c:pt idx="179">
                  <c:v>Solar36884</c:v>
                </c:pt>
                <c:pt idx="180">
                  <c:v>Solar36885</c:v>
                </c:pt>
                <c:pt idx="181">
                  <c:v>Solar36886</c:v>
                </c:pt>
                <c:pt idx="182">
                  <c:v>Solar36887</c:v>
                </c:pt>
                <c:pt idx="183">
                  <c:v>Solar36888</c:v>
                </c:pt>
                <c:pt idx="184">
                  <c:v>Solar36889</c:v>
                </c:pt>
                <c:pt idx="185">
                  <c:v>Solar36890</c:v>
                </c:pt>
                <c:pt idx="186">
                  <c:v>Solar36891</c:v>
                </c:pt>
                <c:pt idx="187">
                  <c:v>Solar36892</c:v>
                </c:pt>
                <c:pt idx="188">
                  <c:v>Solar36893</c:v>
                </c:pt>
                <c:pt idx="189">
                  <c:v>Solar36894</c:v>
                </c:pt>
                <c:pt idx="190">
                  <c:v>Solar36895</c:v>
                </c:pt>
                <c:pt idx="191">
                  <c:v>Solar36896</c:v>
                </c:pt>
                <c:pt idx="192">
                  <c:v>Solar36897</c:v>
                </c:pt>
                <c:pt idx="193">
                  <c:v>Solar36898</c:v>
                </c:pt>
                <c:pt idx="194">
                  <c:v>Solar36899</c:v>
                </c:pt>
                <c:pt idx="195">
                  <c:v>Solar37697</c:v>
                </c:pt>
                <c:pt idx="196">
                  <c:v>Solar37698</c:v>
                </c:pt>
                <c:pt idx="197">
                  <c:v>Solar37700</c:v>
                </c:pt>
                <c:pt idx="198">
                  <c:v>Solar37701</c:v>
                </c:pt>
                <c:pt idx="199">
                  <c:v>Solar37702</c:v>
                </c:pt>
                <c:pt idx="200">
                  <c:v>Solar37703</c:v>
                </c:pt>
                <c:pt idx="201">
                  <c:v>Solar37705</c:v>
                </c:pt>
                <c:pt idx="202">
                  <c:v>Solar37706</c:v>
                </c:pt>
                <c:pt idx="203">
                  <c:v>Solar37707</c:v>
                </c:pt>
                <c:pt idx="204">
                  <c:v>Solar37708</c:v>
                </c:pt>
                <c:pt idx="205">
                  <c:v>Solar37709</c:v>
                </c:pt>
                <c:pt idx="206">
                  <c:v>Solar37710</c:v>
                </c:pt>
                <c:pt idx="207">
                  <c:v>Solar38464</c:v>
                </c:pt>
                <c:pt idx="208">
                  <c:v>Solar38465</c:v>
                </c:pt>
                <c:pt idx="209">
                  <c:v>Solar38468</c:v>
                </c:pt>
                <c:pt idx="210">
                  <c:v>Solar51483</c:v>
                </c:pt>
                <c:pt idx="211">
                  <c:v>Solar58731</c:v>
                </c:pt>
                <c:pt idx="212">
                  <c:v>Solar59570</c:v>
                </c:pt>
                <c:pt idx="213">
                  <c:v>Solar59571</c:v>
                </c:pt>
                <c:pt idx="214">
                  <c:v>Solar60401</c:v>
                </c:pt>
                <c:pt idx="215">
                  <c:v>Solar62046</c:v>
                </c:pt>
                <c:pt idx="216">
                  <c:v>Solar62047</c:v>
                </c:pt>
                <c:pt idx="217">
                  <c:v>Solar62049</c:v>
                </c:pt>
                <c:pt idx="218">
                  <c:v>Solar62055</c:v>
                </c:pt>
                <c:pt idx="219">
                  <c:v>Solar62881</c:v>
                </c:pt>
                <c:pt idx="220">
                  <c:v>Solar64495</c:v>
                </c:pt>
                <c:pt idx="221">
                  <c:v>Solar64496</c:v>
                </c:pt>
                <c:pt idx="222">
                  <c:v>Solar65228</c:v>
                </c:pt>
                <c:pt idx="223">
                  <c:v>Solar65972</c:v>
                </c:pt>
                <c:pt idx="224">
                  <c:v>Solar65976</c:v>
                </c:pt>
                <c:pt idx="225">
                  <c:v>Solar65978</c:v>
                </c:pt>
                <c:pt idx="226">
                  <c:v>Solar66720</c:v>
                </c:pt>
                <c:pt idx="227">
                  <c:v>Solar66721</c:v>
                </c:pt>
                <c:pt idx="228">
                  <c:v>Solar66722</c:v>
                </c:pt>
                <c:pt idx="229">
                  <c:v>Solar66723</c:v>
                </c:pt>
                <c:pt idx="230">
                  <c:v>Solar66726</c:v>
                </c:pt>
                <c:pt idx="231">
                  <c:v>Solar67480</c:v>
                </c:pt>
                <c:pt idx="232">
                  <c:v>Solar67498</c:v>
                </c:pt>
                <c:pt idx="233">
                  <c:v>Solar68366</c:v>
                </c:pt>
                <c:pt idx="234">
                  <c:v>Solar68372</c:v>
                </c:pt>
                <c:pt idx="235">
                  <c:v>Solar68377</c:v>
                </c:pt>
                <c:pt idx="236">
                  <c:v>Solar68378</c:v>
                </c:pt>
                <c:pt idx="237">
                  <c:v>Solar68379</c:v>
                </c:pt>
                <c:pt idx="238">
                  <c:v>Solar68395</c:v>
                </c:pt>
                <c:pt idx="239">
                  <c:v>Solar68400</c:v>
                </c:pt>
                <c:pt idx="240">
                  <c:v>Solar69283</c:v>
                </c:pt>
                <c:pt idx="241">
                  <c:v>Solar69284</c:v>
                </c:pt>
                <c:pt idx="242">
                  <c:v>Solar69285</c:v>
                </c:pt>
                <c:pt idx="243">
                  <c:v>Solar70163</c:v>
                </c:pt>
                <c:pt idx="244">
                  <c:v>Solar70164</c:v>
                </c:pt>
                <c:pt idx="245">
                  <c:v>Solar70166</c:v>
                </c:pt>
                <c:pt idx="246">
                  <c:v>Solar70167</c:v>
                </c:pt>
                <c:pt idx="247">
                  <c:v>Solar70181</c:v>
                </c:pt>
                <c:pt idx="248">
                  <c:v>Solar70190</c:v>
                </c:pt>
                <c:pt idx="249">
                  <c:v>Solar70973</c:v>
                </c:pt>
                <c:pt idx="250">
                  <c:v>Solar70974</c:v>
                </c:pt>
                <c:pt idx="251">
                  <c:v>Solar70980</c:v>
                </c:pt>
                <c:pt idx="252">
                  <c:v>Solar70981</c:v>
                </c:pt>
                <c:pt idx="253">
                  <c:v>Solar70982</c:v>
                </c:pt>
                <c:pt idx="254">
                  <c:v>Solar70983</c:v>
                </c:pt>
                <c:pt idx="255">
                  <c:v>Solar70984</c:v>
                </c:pt>
                <c:pt idx="256">
                  <c:v>Solar70986</c:v>
                </c:pt>
                <c:pt idx="257">
                  <c:v>Solar70988</c:v>
                </c:pt>
                <c:pt idx="258">
                  <c:v>Solar70989</c:v>
                </c:pt>
                <c:pt idx="259">
                  <c:v>Solar70993</c:v>
                </c:pt>
                <c:pt idx="260">
                  <c:v>Solar71004</c:v>
                </c:pt>
                <c:pt idx="261">
                  <c:v>Solar71006</c:v>
                </c:pt>
                <c:pt idx="262">
                  <c:v>Solar71767</c:v>
                </c:pt>
                <c:pt idx="263">
                  <c:v>Solar71768</c:v>
                </c:pt>
                <c:pt idx="264">
                  <c:v>Solar71769</c:v>
                </c:pt>
                <c:pt idx="265">
                  <c:v>Solar71774</c:v>
                </c:pt>
                <c:pt idx="266">
                  <c:v>Solar71777</c:v>
                </c:pt>
                <c:pt idx="267">
                  <c:v>Solar71781</c:v>
                </c:pt>
                <c:pt idx="268">
                  <c:v>Solar71782</c:v>
                </c:pt>
                <c:pt idx="269">
                  <c:v>Solar71783</c:v>
                </c:pt>
                <c:pt idx="270">
                  <c:v>Solar72530</c:v>
                </c:pt>
                <c:pt idx="271">
                  <c:v>Solar72533</c:v>
                </c:pt>
                <c:pt idx="272">
                  <c:v>Solar72534</c:v>
                </c:pt>
                <c:pt idx="273">
                  <c:v>Solar72536</c:v>
                </c:pt>
                <c:pt idx="274">
                  <c:v>Solar72538</c:v>
                </c:pt>
                <c:pt idx="275">
                  <c:v>Solar72541</c:v>
                </c:pt>
                <c:pt idx="276">
                  <c:v>Solar72543</c:v>
                </c:pt>
                <c:pt idx="277">
                  <c:v>Solar73255</c:v>
                </c:pt>
                <c:pt idx="278">
                  <c:v>Solar73256</c:v>
                </c:pt>
                <c:pt idx="279">
                  <c:v>Solar73257</c:v>
                </c:pt>
                <c:pt idx="280">
                  <c:v>Solar73258</c:v>
                </c:pt>
                <c:pt idx="281">
                  <c:v>Solar73259</c:v>
                </c:pt>
                <c:pt idx="282">
                  <c:v>Solar73260</c:v>
                </c:pt>
                <c:pt idx="283">
                  <c:v>Solar73982</c:v>
                </c:pt>
                <c:pt idx="284">
                  <c:v>Solar73984</c:v>
                </c:pt>
                <c:pt idx="285">
                  <c:v>Solar73987</c:v>
                </c:pt>
                <c:pt idx="286">
                  <c:v>Solar73988</c:v>
                </c:pt>
                <c:pt idx="287">
                  <c:v>Solar73989</c:v>
                </c:pt>
                <c:pt idx="288">
                  <c:v>Solar73991</c:v>
                </c:pt>
                <c:pt idx="289">
                  <c:v>Solar73997</c:v>
                </c:pt>
                <c:pt idx="290">
                  <c:v>Solar74711</c:v>
                </c:pt>
                <c:pt idx="291">
                  <c:v>Solar74712</c:v>
                </c:pt>
                <c:pt idx="292">
                  <c:v>Solar75466</c:v>
                </c:pt>
                <c:pt idx="293">
                  <c:v>Solar75468</c:v>
                </c:pt>
                <c:pt idx="294">
                  <c:v>Solar76231</c:v>
                </c:pt>
                <c:pt idx="295">
                  <c:v>Solar76234</c:v>
                </c:pt>
                <c:pt idx="296">
                  <c:v>Solar76238</c:v>
                </c:pt>
                <c:pt idx="297">
                  <c:v>Solar76239</c:v>
                </c:pt>
                <c:pt idx="298">
                  <c:v>Solar76979</c:v>
                </c:pt>
                <c:pt idx="299">
                  <c:v>Solar76981</c:v>
                </c:pt>
                <c:pt idx="300">
                  <c:v>Solar77691</c:v>
                </c:pt>
                <c:pt idx="301">
                  <c:v>Solar77693</c:v>
                </c:pt>
                <c:pt idx="302">
                  <c:v>Solar77711</c:v>
                </c:pt>
                <c:pt idx="303">
                  <c:v>Solar78421</c:v>
                </c:pt>
                <c:pt idx="304">
                  <c:v>Solar78434</c:v>
                </c:pt>
                <c:pt idx="305">
                  <c:v>Solar78446</c:v>
                </c:pt>
                <c:pt idx="306">
                  <c:v>Solar79181</c:v>
                </c:pt>
                <c:pt idx="307">
                  <c:v>Solar79182</c:v>
                </c:pt>
                <c:pt idx="308">
                  <c:v>Solar79198</c:v>
                </c:pt>
                <c:pt idx="309">
                  <c:v>Solar79201</c:v>
                </c:pt>
                <c:pt idx="310">
                  <c:v>Solar79890</c:v>
                </c:pt>
                <c:pt idx="311">
                  <c:v>Solar79893</c:v>
                </c:pt>
                <c:pt idx="312">
                  <c:v>Solar79903</c:v>
                </c:pt>
                <c:pt idx="313">
                  <c:v>Solar79905</c:v>
                </c:pt>
                <c:pt idx="314">
                  <c:v>Solar79908</c:v>
                </c:pt>
                <c:pt idx="315">
                  <c:v>Solar79910</c:v>
                </c:pt>
                <c:pt idx="316">
                  <c:v>Solar79919</c:v>
                </c:pt>
                <c:pt idx="317">
                  <c:v>Solar80640</c:v>
                </c:pt>
                <c:pt idx="318">
                  <c:v>Solar81353</c:v>
                </c:pt>
                <c:pt idx="319">
                  <c:v>Solar81355</c:v>
                </c:pt>
                <c:pt idx="320">
                  <c:v>Solar81356</c:v>
                </c:pt>
                <c:pt idx="321">
                  <c:v>South_Creek-8hr</c:v>
                </c:pt>
                <c:pt idx="322">
                  <c:v>Spuzzum_Creek-8hr</c:v>
                </c:pt>
                <c:pt idx="323">
                  <c:v>Squamish_River_B-8hr</c:v>
                </c:pt>
                <c:pt idx="324">
                  <c:v>T_2L129</c:v>
                </c:pt>
                <c:pt idx="325">
                  <c:v>T_5L003</c:v>
                </c:pt>
                <c:pt idx="326">
                  <c:v>T_5L007</c:v>
                </c:pt>
                <c:pt idx="327">
                  <c:v>T_5L013</c:v>
                </c:pt>
                <c:pt idx="328">
                  <c:v>T_5L042</c:v>
                </c:pt>
                <c:pt idx="329">
                  <c:v>T_5L061</c:v>
                </c:pt>
                <c:pt idx="330">
                  <c:v>T_5L062</c:v>
                </c:pt>
                <c:pt idx="331">
                  <c:v>T_5L063</c:v>
                </c:pt>
                <c:pt idx="332">
                  <c:v>Upper Clore - Storage for 16 hrs of generation</c:v>
                </c:pt>
                <c:pt idx="333">
                  <c:v>Upper Deserted - Un-named</c:v>
                </c:pt>
                <c:pt idx="334">
                  <c:v>Upper Misery - Lower Misery</c:v>
                </c:pt>
                <c:pt idx="335">
                  <c:v>Upper Vancouver - Lower Vancouver</c:v>
                </c:pt>
                <c:pt idx="336">
                  <c:v>VI02</c:v>
                </c:pt>
                <c:pt idx="337">
                  <c:v>VI04</c:v>
                </c:pt>
                <c:pt idx="338">
                  <c:v>VI05</c:v>
                </c:pt>
                <c:pt idx="339">
                  <c:v>VI06</c:v>
                </c:pt>
                <c:pt idx="340">
                  <c:v>VI07</c:v>
                </c:pt>
                <c:pt idx="341">
                  <c:v>VI08</c:v>
                </c:pt>
                <c:pt idx="342">
                  <c:v>VI09</c:v>
                </c:pt>
                <c:pt idx="343">
                  <c:v>VI10</c:v>
                </c:pt>
                <c:pt idx="344">
                  <c:v>VI11</c:v>
                </c:pt>
                <c:pt idx="345">
                  <c:v>VI12</c:v>
                </c:pt>
                <c:pt idx="346">
                  <c:v>VI13</c:v>
                </c:pt>
                <c:pt idx="347">
                  <c:v>VI14</c:v>
                </c:pt>
                <c:pt idx="348">
                  <c:v>VI15</c:v>
                </c:pt>
                <c:pt idx="349">
                  <c:v>WBBio_CB_RR</c:v>
                </c:pt>
                <c:pt idx="350">
                  <c:v>WBBio_LM_RR</c:v>
                </c:pt>
                <c:pt idx="351">
                  <c:v>WBBio_LM_ST_1</c:v>
                </c:pt>
                <c:pt idx="352">
                  <c:v>WBBio_LM_ST_2</c:v>
                </c:pt>
                <c:pt idx="353">
                  <c:v>WBBio_NE_ST_1</c:v>
                </c:pt>
                <c:pt idx="354">
                  <c:v>WBBio_NE_ST_2</c:v>
                </c:pt>
                <c:pt idx="355">
                  <c:v>WBBio_NE_ST_3</c:v>
                </c:pt>
                <c:pt idx="356">
                  <c:v>WBBio_NW_ST</c:v>
                </c:pt>
                <c:pt idx="357">
                  <c:v>WBBio_SP_RR</c:v>
                </c:pt>
                <c:pt idx="358">
                  <c:v>WBBio_SP_ST</c:v>
                </c:pt>
                <c:pt idx="359">
                  <c:v>WBBio_WPR_PL</c:v>
                </c:pt>
                <c:pt idx="360">
                  <c:v>Zymoetz_River-8hr</c:v>
                </c:pt>
              </c:strCache>
            </c:strRef>
          </c:cat>
          <c:val>
            <c:numRef>
              <c:f>'All projects'!$AD$2:$AD$362</c:f>
              <c:numCache>
                <c:formatCode>0.0000</c:formatCode>
                <c:ptCount val="361"/>
                <c:pt idx="0">
                  <c:v>0.10195892681714037</c:v>
                </c:pt>
                <c:pt idx="1">
                  <c:v>5.9558166978955461E-2</c:v>
                </c:pt>
                <c:pt idx="2">
                  <c:v>7.6064388378860846E-4</c:v>
                </c:pt>
                <c:pt idx="3">
                  <c:v>0.28290474753628359</c:v>
                </c:pt>
                <c:pt idx="4">
                  <c:v>0.28620171490663843</c:v>
                </c:pt>
                <c:pt idx="5">
                  <c:v>0.34914873172059174</c:v>
                </c:pt>
                <c:pt idx="6">
                  <c:v>0.28075994140966831</c:v>
                </c:pt>
                <c:pt idx="7">
                  <c:v>0.26174030130976783</c:v>
                </c:pt>
                <c:pt idx="8">
                  <c:v>0.2305070075370492</c:v>
                </c:pt>
                <c:pt idx="9">
                  <c:v>0.2741387173540718</c:v>
                </c:pt>
                <c:pt idx="10">
                  <c:v>5.304558250948966E-2</c:v>
                </c:pt>
                <c:pt idx="11">
                  <c:v>0.12447499832247748</c:v>
                </c:pt>
                <c:pt idx="12">
                  <c:v>0.14025082659942414</c:v>
                </c:pt>
                <c:pt idx="13">
                  <c:v>0.2281327029220401</c:v>
                </c:pt>
                <c:pt idx="14">
                  <c:v>0.13629496098318725</c:v>
                </c:pt>
                <c:pt idx="15">
                  <c:v>0.13007452161195382</c:v>
                </c:pt>
                <c:pt idx="16">
                  <c:v>0.2534705809796321</c:v>
                </c:pt>
                <c:pt idx="17">
                  <c:v>0.14342208037002774</c:v>
                </c:pt>
                <c:pt idx="18">
                  <c:v>0.13493744848843647</c:v>
                </c:pt>
                <c:pt idx="19">
                  <c:v>0.10064957887759508</c:v>
                </c:pt>
                <c:pt idx="20">
                  <c:v>3.7645682109838562E-2</c:v>
                </c:pt>
                <c:pt idx="21">
                  <c:v>1.0539323419285753E-3</c:v>
                </c:pt>
                <c:pt idx="22">
                  <c:v>3.241789301824928E-3</c:v>
                </c:pt>
                <c:pt idx="23">
                  <c:v>0.20118220259543351</c:v>
                </c:pt>
                <c:pt idx="24">
                  <c:v>0.32190771451475131</c:v>
                </c:pt>
                <c:pt idx="25">
                  <c:v>0.12942883481914183</c:v>
                </c:pt>
                <c:pt idx="26">
                  <c:v>3.3390772632669444E-2</c:v>
                </c:pt>
                <c:pt idx="27">
                  <c:v>9.593852530949791E-2</c:v>
                </c:pt>
                <c:pt idx="28">
                  <c:v>0.11337435673141311</c:v>
                </c:pt>
                <c:pt idx="29">
                  <c:v>9.5412876306984196E-2</c:v>
                </c:pt>
                <c:pt idx="30">
                  <c:v>0.11351181418404149</c:v>
                </c:pt>
                <c:pt idx="31">
                  <c:v>0.1089857015116079</c:v>
                </c:pt>
                <c:pt idx="32">
                  <c:v>3.2509748702680814E-2</c:v>
                </c:pt>
                <c:pt idx="33">
                  <c:v>0.13609578330671995</c:v>
                </c:pt>
                <c:pt idx="34">
                  <c:v>0.142496731635191</c:v>
                </c:pt>
                <c:pt idx="35">
                  <c:v>5.7092805699237463E-2</c:v>
                </c:pt>
                <c:pt idx="36">
                  <c:v>1.9073122430122536E-2</c:v>
                </c:pt>
                <c:pt idx="37">
                  <c:v>8.5764483867225502E-3</c:v>
                </c:pt>
                <c:pt idx="38">
                  <c:v>2.7891998265930202E-3</c:v>
                </c:pt>
                <c:pt idx="39">
                  <c:v>0.22208646662710887</c:v>
                </c:pt>
                <c:pt idx="40">
                  <c:v>9.0128992739861746E-2</c:v>
                </c:pt>
                <c:pt idx="41">
                  <c:v>0.10745525345679839</c:v>
                </c:pt>
                <c:pt idx="42">
                  <c:v>0.49694972965180012</c:v>
                </c:pt>
                <c:pt idx="43">
                  <c:v>0.15899642525552354</c:v>
                </c:pt>
                <c:pt idx="44">
                  <c:v>0.2774365996273046</c:v>
                </c:pt>
                <c:pt idx="45">
                  <c:v>0.30114295360478388</c:v>
                </c:pt>
                <c:pt idx="46">
                  <c:v>8.5578510933161156E-2</c:v>
                </c:pt>
                <c:pt idx="47">
                  <c:v>7.0282192091658188E-2</c:v>
                </c:pt>
                <c:pt idx="48">
                  <c:v>0.11350293762893658</c:v>
                </c:pt>
                <c:pt idx="49">
                  <c:v>4.0777424933908742E-2</c:v>
                </c:pt>
                <c:pt idx="50">
                  <c:v>4.480045794175494E-2</c:v>
                </c:pt>
                <c:pt idx="51">
                  <c:v>0.10920105999908722</c:v>
                </c:pt>
                <c:pt idx="52">
                  <c:v>5.2371254892993021E-3</c:v>
                </c:pt>
                <c:pt idx="53">
                  <c:v>1.644546013150093E-2</c:v>
                </c:pt>
                <c:pt idx="54">
                  <c:v>0.18282256821068943</c:v>
                </c:pt>
                <c:pt idx="55">
                  <c:v>0.15739142581549509</c:v>
                </c:pt>
                <c:pt idx="56">
                  <c:v>5.8041422862749485E-2</c:v>
                </c:pt>
                <c:pt idx="57">
                  <c:v>4.0860908887436972E-2</c:v>
                </c:pt>
                <c:pt idx="58">
                  <c:v>4.2015315972747325E-2</c:v>
                </c:pt>
                <c:pt idx="59">
                  <c:v>5.2742895880271153E-2</c:v>
                </c:pt>
                <c:pt idx="60">
                  <c:v>2.0982728269546173E-2</c:v>
                </c:pt>
                <c:pt idx="61">
                  <c:v>7.6664614019114841E-2</c:v>
                </c:pt>
                <c:pt idx="62">
                  <c:v>0.10769704929312124</c:v>
                </c:pt>
                <c:pt idx="63">
                  <c:v>0.16615438263358359</c:v>
                </c:pt>
                <c:pt idx="64">
                  <c:v>4.597335173170309E-2</c:v>
                </c:pt>
                <c:pt idx="65">
                  <c:v>0.14662180002583022</c:v>
                </c:pt>
                <c:pt idx="66">
                  <c:v>4.6847527640908791E-2</c:v>
                </c:pt>
                <c:pt idx="67">
                  <c:v>3.8551572181288844E-2</c:v>
                </c:pt>
                <c:pt idx="68">
                  <c:v>7.6947464873725308E-2</c:v>
                </c:pt>
                <c:pt idx="69">
                  <c:v>0.12146784780783595</c:v>
                </c:pt>
                <c:pt idx="70">
                  <c:v>1.1298794479677571E-2</c:v>
                </c:pt>
                <c:pt idx="71">
                  <c:v>0.13000819272278641</c:v>
                </c:pt>
                <c:pt idx="72">
                  <c:v>1.6187783450028984E-2</c:v>
                </c:pt>
                <c:pt idx="73">
                  <c:v>0.1325628124296554</c:v>
                </c:pt>
                <c:pt idx="74">
                  <c:v>0.11228414447636371</c:v>
                </c:pt>
                <c:pt idx="75">
                  <c:v>4.8880878589974301E-2</c:v>
                </c:pt>
                <c:pt idx="76">
                  <c:v>5.2033725814577013E-2</c:v>
                </c:pt>
                <c:pt idx="77">
                  <c:v>4.6109440105966307E-2</c:v>
                </c:pt>
                <c:pt idx="78">
                  <c:v>9.9769442481255383E-2</c:v>
                </c:pt>
                <c:pt idx="79">
                  <c:v>7.5331012336027885E-3</c:v>
                </c:pt>
                <c:pt idx="80">
                  <c:v>9.2468328754380588E-2</c:v>
                </c:pt>
                <c:pt idx="81">
                  <c:v>2.3914607035009448E-3</c:v>
                </c:pt>
                <c:pt idx="82">
                  <c:v>2.8974695124325792E-3</c:v>
                </c:pt>
                <c:pt idx="83">
                  <c:v>9.8755677445603093E-3</c:v>
                </c:pt>
                <c:pt idx="84">
                  <c:v>5.0867158047004967E-3</c:v>
                </c:pt>
                <c:pt idx="85">
                  <c:v>7.0956578565414902E-2</c:v>
                </c:pt>
                <c:pt idx="86">
                  <c:v>1.5821582972288677E-2</c:v>
                </c:pt>
                <c:pt idx="87">
                  <c:v>7.3878426507873324E-2</c:v>
                </c:pt>
                <c:pt idx="88">
                  <c:v>3.9203967134089503E-2</c:v>
                </c:pt>
                <c:pt idx="89">
                  <c:v>4.1107714354244325E-2</c:v>
                </c:pt>
                <c:pt idx="90">
                  <c:v>1.6820894629707376E-2</c:v>
                </c:pt>
                <c:pt idx="91">
                  <c:v>1.8151072571035844E-2</c:v>
                </c:pt>
                <c:pt idx="92">
                  <c:v>4.3065161026100375E-3</c:v>
                </c:pt>
                <c:pt idx="93">
                  <c:v>0.16294447313396951</c:v>
                </c:pt>
                <c:pt idx="94">
                  <c:v>6.5718665946685679E-3</c:v>
                </c:pt>
                <c:pt idx="95">
                  <c:v>0.26347407771594888</c:v>
                </c:pt>
                <c:pt idx="96">
                  <c:v>8.4457649124428963E-2</c:v>
                </c:pt>
                <c:pt idx="97">
                  <c:v>7.5100067165222995E-3</c:v>
                </c:pt>
                <c:pt idx="98">
                  <c:v>0.18988432804454539</c:v>
                </c:pt>
                <c:pt idx="99">
                  <c:v>5.4207148617835899E-3</c:v>
                </c:pt>
                <c:pt idx="100">
                  <c:v>0.14234488865189512</c:v>
                </c:pt>
                <c:pt idx="101">
                  <c:v>0.12291827943956503</c:v>
                </c:pt>
                <c:pt idx="102">
                  <c:v>7.0103825312446369E-2</c:v>
                </c:pt>
                <c:pt idx="103">
                  <c:v>4.2642246540557212E-2</c:v>
                </c:pt>
                <c:pt idx="104">
                  <c:v>1.9575698261959117E-2</c:v>
                </c:pt>
                <c:pt idx="105">
                  <c:v>3.6109769758079731E-2</c:v>
                </c:pt>
                <c:pt idx="106">
                  <c:v>2.3755762588306424E-2</c:v>
                </c:pt>
                <c:pt idx="107">
                  <c:v>2.9632352852914712E-2</c:v>
                </c:pt>
                <c:pt idx="108">
                  <c:v>5.2955016925347979E-2</c:v>
                </c:pt>
                <c:pt idx="109">
                  <c:v>3.9321113043981587E-2</c:v>
                </c:pt>
                <c:pt idx="110">
                  <c:v>1.1158258359550375E-2</c:v>
                </c:pt>
                <c:pt idx="111">
                  <c:v>0.15824522017400627</c:v>
                </c:pt>
                <c:pt idx="112">
                  <c:v>1.8218561989014715E-2</c:v>
                </c:pt>
                <c:pt idx="113">
                  <c:v>9.462263956520478E-2</c:v>
                </c:pt>
                <c:pt idx="114">
                  <c:v>0.11668526291805721</c:v>
                </c:pt>
                <c:pt idx="115">
                  <c:v>4.6722458522081713E-2</c:v>
                </c:pt>
                <c:pt idx="116">
                  <c:v>4.5610665007427026E-2</c:v>
                </c:pt>
                <c:pt idx="117">
                  <c:v>1.1287801816357669E-2</c:v>
                </c:pt>
                <c:pt idx="118">
                  <c:v>0.11378607222250096</c:v>
                </c:pt>
                <c:pt idx="119">
                  <c:v>0.113096708023327</c:v>
                </c:pt>
                <c:pt idx="120">
                  <c:v>0.12511342859964078</c:v>
                </c:pt>
                <c:pt idx="121">
                  <c:v>8.2918429345693323E-2</c:v>
                </c:pt>
                <c:pt idx="122">
                  <c:v>7.6405363715542365E-2</c:v>
                </c:pt>
                <c:pt idx="123">
                  <c:v>2.3044920301776219E-2</c:v>
                </c:pt>
                <c:pt idx="124">
                  <c:v>5.4671529804687403E-2</c:v>
                </c:pt>
                <c:pt idx="125">
                  <c:v>9.7238234104731012E-3</c:v>
                </c:pt>
                <c:pt idx="126">
                  <c:v>8.7632207281714922E-3</c:v>
                </c:pt>
                <c:pt idx="127">
                  <c:v>4.3346557955305481E-2</c:v>
                </c:pt>
                <c:pt idx="128">
                  <c:v>3.8657874584704564E-2</c:v>
                </c:pt>
                <c:pt idx="129">
                  <c:v>0.11145527264764711</c:v>
                </c:pt>
                <c:pt idx="130">
                  <c:v>1.7105824686045705E-2</c:v>
                </c:pt>
                <c:pt idx="131">
                  <c:v>1.6048952659253778E-2</c:v>
                </c:pt>
                <c:pt idx="132">
                  <c:v>3.6354602536870437E-3</c:v>
                </c:pt>
                <c:pt idx="133">
                  <c:v>4.7957987483582369E-2</c:v>
                </c:pt>
                <c:pt idx="134">
                  <c:v>8.0629961982142098E-4</c:v>
                </c:pt>
                <c:pt idx="135">
                  <c:v>2.6229693114633457E-3</c:v>
                </c:pt>
                <c:pt idx="136">
                  <c:v>3.7967688347330247E-2</c:v>
                </c:pt>
                <c:pt idx="137">
                  <c:v>0.10546784327846113</c:v>
                </c:pt>
                <c:pt idx="138">
                  <c:v>3.4806614359185584E-2</c:v>
                </c:pt>
                <c:pt idx="139">
                  <c:v>3.4884928346073647E-3</c:v>
                </c:pt>
                <c:pt idx="140">
                  <c:v>1.3012150460298915E-2</c:v>
                </c:pt>
                <c:pt idx="141">
                  <c:v>7.9049027141931526E-3</c:v>
                </c:pt>
                <c:pt idx="142">
                  <c:v>1.160054788572034E-2</c:v>
                </c:pt>
                <c:pt idx="143">
                  <c:v>1.1845089350530399E-2</c:v>
                </c:pt>
                <c:pt idx="144">
                  <c:v>7.9486694125657214E-3</c:v>
                </c:pt>
                <c:pt idx="145">
                  <c:v>1.5261396259377131E-2</c:v>
                </c:pt>
                <c:pt idx="146">
                  <c:v>2.8399867912021613E-2</c:v>
                </c:pt>
                <c:pt idx="147">
                  <c:v>7.6325856512686223E-3</c:v>
                </c:pt>
                <c:pt idx="148">
                  <c:v>4.3617953216056236E-2</c:v>
                </c:pt>
                <c:pt idx="149">
                  <c:v>3.9111942366774025E-2</c:v>
                </c:pt>
                <c:pt idx="150">
                  <c:v>2.375217445090522E-2</c:v>
                </c:pt>
                <c:pt idx="151">
                  <c:v>3.8657339671873965E-2</c:v>
                </c:pt>
                <c:pt idx="152">
                  <c:v>3.5381518041017572E-2</c:v>
                </c:pt>
                <c:pt idx="153">
                  <c:v>6.0734217332248028E-2</c:v>
                </c:pt>
                <c:pt idx="154">
                  <c:v>3.3597166229770409E-2</c:v>
                </c:pt>
                <c:pt idx="155">
                  <c:v>1.8019157455577289E-2</c:v>
                </c:pt>
                <c:pt idx="156">
                  <c:v>1.5416762868088005E-2</c:v>
                </c:pt>
                <c:pt idx="157">
                  <c:v>1.2390573843405301E-2</c:v>
                </c:pt>
                <c:pt idx="158">
                  <c:v>2.7526318218445808E-2</c:v>
                </c:pt>
                <c:pt idx="159">
                  <c:v>3.0768452727576064E-2</c:v>
                </c:pt>
                <c:pt idx="160">
                  <c:v>6.8422891406348746E-2</c:v>
                </c:pt>
                <c:pt idx="161">
                  <c:v>7.8963357537889231E-2</c:v>
                </c:pt>
                <c:pt idx="162">
                  <c:v>3.0557587152310529E-2</c:v>
                </c:pt>
                <c:pt idx="163">
                  <c:v>4.0803277797236609E-2</c:v>
                </c:pt>
                <c:pt idx="164">
                  <c:v>1.0485247422242232E-2</c:v>
                </c:pt>
                <c:pt idx="165">
                  <c:v>4.3772018383070405E-2</c:v>
                </c:pt>
                <c:pt idx="166">
                  <c:v>1.5853009427597532E-2</c:v>
                </c:pt>
                <c:pt idx="167">
                  <c:v>3.1871225944480899E-2</c:v>
                </c:pt>
                <c:pt idx="168">
                  <c:v>3.2907996925479056E-2</c:v>
                </c:pt>
                <c:pt idx="169">
                  <c:v>2.5864942480007896E-2</c:v>
                </c:pt>
                <c:pt idx="170">
                  <c:v>1.6979186342157438E-2</c:v>
                </c:pt>
                <c:pt idx="171">
                  <c:v>1.254014789461101E-2</c:v>
                </c:pt>
                <c:pt idx="172">
                  <c:v>2.7131877485073504E-2</c:v>
                </c:pt>
                <c:pt idx="173">
                  <c:v>2.2637009996581543E-2</c:v>
                </c:pt>
                <c:pt idx="174">
                  <c:v>1.8264122463634576E-2</c:v>
                </c:pt>
                <c:pt idx="175">
                  <c:v>3.0706960538291115E-2</c:v>
                </c:pt>
                <c:pt idx="176">
                  <c:v>4.2596853571665094E-2</c:v>
                </c:pt>
                <c:pt idx="177">
                  <c:v>2.0578774849042629E-2</c:v>
                </c:pt>
                <c:pt idx="178">
                  <c:v>2.2015182100798232E-2</c:v>
                </c:pt>
                <c:pt idx="179">
                  <c:v>4.5143169338841452E-2</c:v>
                </c:pt>
                <c:pt idx="180">
                  <c:v>5.3362972191005824E-2</c:v>
                </c:pt>
                <c:pt idx="181">
                  <c:v>3.9462900205216998E-2</c:v>
                </c:pt>
                <c:pt idx="182">
                  <c:v>4.712717172214935E-2</c:v>
                </c:pt>
                <c:pt idx="183">
                  <c:v>2.8043231587236792E-2</c:v>
                </c:pt>
                <c:pt idx="184">
                  <c:v>4.5854626071190986E-2</c:v>
                </c:pt>
                <c:pt idx="185">
                  <c:v>1.0010903107879157E-2</c:v>
                </c:pt>
                <c:pt idx="186">
                  <c:v>2.9863130708482368E-2</c:v>
                </c:pt>
                <c:pt idx="187">
                  <c:v>2.6597000503610517E-2</c:v>
                </c:pt>
                <c:pt idx="188">
                  <c:v>2.1042109269379872E-2</c:v>
                </c:pt>
                <c:pt idx="189">
                  <c:v>1.9293714992298802E-2</c:v>
                </c:pt>
                <c:pt idx="190">
                  <c:v>3.0785248304893313E-2</c:v>
                </c:pt>
                <c:pt idx="191">
                  <c:v>1.1692832018073926E-2</c:v>
                </c:pt>
                <c:pt idx="192">
                  <c:v>1.1987180053155487E-2</c:v>
                </c:pt>
                <c:pt idx="193">
                  <c:v>1.6478609909555766E-2</c:v>
                </c:pt>
                <c:pt idx="194">
                  <c:v>1.1950649156285298E-2</c:v>
                </c:pt>
                <c:pt idx="195">
                  <c:v>1.1958852168872672E-2</c:v>
                </c:pt>
                <c:pt idx="196">
                  <c:v>5.1272066869057768E-2</c:v>
                </c:pt>
                <c:pt idx="197">
                  <c:v>3.0851806218031998E-2</c:v>
                </c:pt>
                <c:pt idx="198">
                  <c:v>2.8144043461216496E-2</c:v>
                </c:pt>
                <c:pt idx="199">
                  <c:v>1.7568910367559407E-2</c:v>
                </c:pt>
                <c:pt idx="200">
                  <c:v>1.8875312938901382E-2</c:v>
                </c:pt>
                <c:pt idx="201">
                  <c:v>2.2938634440381415E-2</c:v>
                </c:pt>
                <c:pt idx="202">
                  <c:v>8.9255472128068024E-3</c:v>
                </c:pt>
                <c:pt idx="203">
                  <c:v>8.1113719140794169E-2</c:v>
                </c:pt>
                <c:pt idx="204">
                  <c:v>5.2408757654201749E-2</c:v>
                </c:pt>
                <c:pt idx="205">
                  <c:v>4.6146855595830139E-3</c:v>
                </c:pt>
                <c:pt idx="206">
                  <c:v>1.2170957449794621E-2</c:v>
                </c:pt>
                <c:pt idx="207">
                  <c:v>1.8270160410004194E-2</c:v>
                </c:pt>
                <c:pt idx="208">
                  <c:v>2.373112741871343E-2</c:v>
                </c:pt>
                <c:pt idx="209">
                  <c:v>7.0501100729419936E-3</c:v>
                </c:pt>
                <c:pt idx="210">
                  <c:v>6.5785447838231891E-3</c:v>
                </c:pt>
                <c:pt idx="211">
                  <c:v>3.8209600988641006E-2</c:v>
                </c:pt>
                <c:pt idx="212">
                  <c:v>3.2140751463242884E-2</c:v>
                </c:pt>
                <c:pt idx="213">
                  <c:v>4.2835239055462881E-2</c:v>
                </c:pt>
                <c:pt idx="214">
                  <c:v>2.30559075232281E-2</c:v>
                </c:pt>
                <c:pt idx="215">
                  <c:v>3.1507575990464311E-2</c:v>
                </c:pt>
                <c:pt idx="216">
                  <c:v>3.0439604805377964E-2</c:v>
                </c:pt>
                <c:pt idx="217">
                  <c:v>4.5926243547419213E-2</c:v>
                </c:pt>
                <c:pt idx="218">
                  <c:v>2.861749855489569E-2</c:v>
                </c:pt>
                <c:pt idx="219">
                  <c:v>1.2750234011190685E-2</c:v>
                </c:pt>
                <c:pt idx="220">
                  <c:v>4.3288705966643935E-2</c:v>
                </c:pt>
                <c:pt idx="221">
                  <c:v>4.1402495439520084E-2</c:v>
                </c:pt>
                <c:pt idx="222">
                  <c:v>3.1214139193071713E-2</c:v>
                </c:pt>
                <c:pt idx="223">
                  <c:v>2.7449233620519427E-2</c:v>
                </c:pt>
                <c:pt idx="224">
                  <c:v>3.637825086578577E-2</c:v>
                </c:pt>
                <c:pt idx="225">
                  <c:v>5.1753620344294815E-2</c:v>
                </c:pt>
                <c:pt idx="226">
                  <c:v>1.1417877083535978E-2</c:v>
                </c:pt>
                <c:pt idx="227">
                  <c:v>1.7908757347833322E-2</c:v>
                </c:pt>
                <c:pt idx="228">
                  <c:v>2.1302070783773431E-2</c:v>
                </c:pt>
                <c:pt idx="229">
                  <c:v>2.2378337150930839E-2</c:v>
                </c:pt>
                <c:pt idx="230">
                  <c:v>3.2212204316227629E-2</c:v>
                </c:pt>
                <c:pt idx="231">
                  <c:v>2.2157539198960057E-2</c:v>
                </c:pt>
                <c:pt idx="232">
                  <c:v>4.1489443613915621E-2</c:v>
                </c:pt>
                <c:pt idx="233">
                  <c:v>2.0087049936323875E-2</c:v>
                </c:pt>
                <c:pt idx="234">
                  <c:v>2.5638313793430869E-2</c:v>
                </c:pt>
                <c:pt idx="235">
                  <c:v>2.76283478670626E-2</c:v>
                </c:pt>
                <c:pt idx="236">
                  <c:v>3.0596841136904807E-2</c:v>
                </c:pt>
                <c:pt idx="237">
                  <c:v>2.1276154560988095E-2</c:v>
                </c:pt>
                <c:pt idx="238">
                  <c:v>1.5604931407117046E-2</c:v>
                </c:pt>
                <c:pt idx="239">
                  <c:v>1.3877620206387919E-2</c:v>
                </c:pt>
                <c:pt idx="240">
                  <c:v>1.5946579177942111E-2</c:v>
                </c:pt>
                <c:pt idx="241">
                  <c:v>1.89534564934229E-2</c:v>
                </c:pt>
                <c:pt idx="242">
                  <c:v>4.1070139202603002E-2</c:v>
                </c:pt>
                <c:pt idx="243">
                  <c:v>2.254184504287006E-2</c:v>
                </c:pt>
                <c:pt idx="244">
                  <c:v>5.011452558498234E-2</c:v>
                </c:pt>
                <c:pt idx="245">
                  <c:v>8.0740954207074583E-3</c:v>
                </c:pt>
                <c:pt idx="246">
                  <c:v>3.3204237319130851E-2</c:v>
                </c:pt>
                <c:pt idx="247">
                  <c:v>5.9821943393818643E-3</c:v>
                </c:pt>
                <c:pt idx="248">
                  <c:v>6.0682560358071645E-2</c:v>
                </c:pt>
                <c:pt idx="249">
                  <c:v>1.305297189867667E-2</c:v>
                </c:pt>
                <c:pt idx="250">
                  <c:v>7.5538355507980244E-3</c:v>
                </c:pt>
                <c:pt idx="251">
                  <c:v>6.195481570944901E-2</c:v>
                </c:pt>
                <c:pt idx="252">
                  <c:v>4.9975459613102804E-2</c:v>
                </c:pt>
                <c:pt idx="253">
                  <c:v>0.10256031678069097</c:v>
                </c:pt>
                <c:pt idx="254">
                  <c:v>0.13669822802808737</c:v>
                </c:pt>
                <c:pt idx="255">
                  <c:v>4.6395548754010377E-2</c:v>
                </c:pt>
                <c:pt idx="256">
                  <c:v>5.9462062179856653E-2</c:v>
                </c:pt>
                <c:pt idx="257">
                  <c:v>5.0546682077936812E-2</c:v>
                </c:pt>
                <c:pt idx="258">
                  <c:v>5.8243445491145719E-2</c:v>
                </c:pt>
                <c:pt idx="259">
                  <c:v>8.3086687053832334E-2</c:v>
                </c:pt>
                <c:pt idx="260">
                  <c:v>7.7958722297782134E-5</c:v>
                </c:pt>
                <c:pt idx="261">
                  <c:v>2.4648707108532097E-3</c:v>
                </c:pt>
                <c:pt idx="262">
                  <c:v>2.9840338790288758E-3</c:v>
                </c:pt>
                <c:pt idx="263">
                  <c:v>1.0550466118624702E-2</c:v>
                </c:pt>
                <c:pt idx="264">
                  <c:v>1.4551018372479838E-2</c:v>
                </c:pt>
                <c:pt idx="265">
                  <c:v>8.2135576918673792E-2</c:v>
                </c:pt>
                <c:pt idx="266">
                  <c:v>4.3136481847353296E-2</c:v>
                </c:pt>
                <c:pt idx="267">
                  <c:v>1.8004091275203523E-2</c:v>
                </c:pt>
                <c:pt idx="268">
                  <c:v>1.9298679071676077E-2</c:v>
                </c:pt>
                <c:pt idx="269">
                  <c:v>6.5318957784852333E-2</c:v>
                </c:pt>
                <c:pt idx="270">
                  <c:v>1.5190647314378252E-2</c:v>
                </c:pt>
                <c:pt idx="271">
                  <c:v>3.7150165573811671E-2</c:v>
                </c:pt>
                <c:pt idx="272">
                  <c:v>3.8855624590838911E-2</c:v>
                </c:pt>
                <c:pt idx="273">
                  <c:v>4.8986781234213753E-2</c:v>
                </c:pt>
                <c:pt idx="274">
                  <c:v>3.7627516654866133E-2</c:v>
                </c:pt>
                <c:pt idx="275">
                  <c:v>1.6129025323564212E-2</c:v>
                </c:pt>
                <c:pt idx="276">
                  <c:v>6.2584134679823334E-3</c:v>
                </c:pt>
                <c:pt idx="277">
                  <c:v>3.1024036200354276E-3</c:v>
                </c:pt>
                <c:pt idx="278">
                  <c:v>1.1199837299668169E-2</c:v>
                </c:pt>
                <c:pt idx="279">
                  <c:v>3.9906969424777417E-4</c:v>
                </c:pt>
                <c:pt idx="280">
                  <c:v>3.9234399396791868E-3</c:v>
                </c:pt>
                <c:pt idx="281">
                  <c:v>2.060325167155452E-2</c:v>
                </c:pt>
                <c:pt idx="282">
                  <c:v>5.0452622506455087E-3</c:v>
                </c:pt>
                <c:pt idx="283">
                  <c:v>1.1047781238767169E-2</c:v>
                </c:pt>
                <c:pt idx="284">
                  <c:v>6.2180472563932183E-3</c:v>
                </c:pt>
                <c:pt idx="285">
                  <c:v>2.6459618372919381E-3</c:v>
                </c:pt>
                <c:pt idx="286">
                  <c:v>9.656505430110103E-3</c:v>
                </c:pt>
                <c:pt idx="287">
                  <c:v>2.9943785310689343E-2</c:v>
                </c:pt>
                <c:pt idx="288">
                  <c:v>5.8072366064955781E-3</c:v>
                </c:pt>
                <c:pt idx="289">
                  <c:v>2.3457250318132884E-2</c:v>
                </c:pt>
                <c:pt idx="290">
                  <c:v>9.3399212395444652E-3</c:v>
                </c:pt>
                <c:pt idx="291">
                  <c:v>8.2795881751017465E-3</c:v>
                </c:pt>
                <c:pt idx="292">
                  <c:v>1.0889505697161321E-2</c:v>
                </c:pt>
                <c:pt idx="293">
                  <c:v>1.0800343324104456E-2</c:v>
                </c:pt>
                <c:pt idx="294">
                  <c:v>1.5764634904972916E-2</c:v>
                </c:pt>
                <c:pt idx="295">
                  <c:v>2.428452960915501E-2</c:v>
                </c:pt>
                <c:pt idx="296">
                  <c:v>9.3127048468384255E-3</c:v>
                </c:pt>
                <c:pt idx="297">
                  <c:v>2.5372513991626731E-2</c:v>
                </c:pt>
                <c:pt idx="298">
                  <c:v>1.2673991353394079E-2</c:v>
                </c:pt>
                <c:pt idx="299">
                  <c:v>1.0576004403737417E-2</c:v>
                </c:pt>
                <c:pt idx="300">
                  <c:v>3.5090064312535099E-2</c:v>
                </c:pt>
                <c:pt idx="301">
                  <c:v>8.3685645772045396E-3</c:v>
                </c:pt>
                <c:pt idx="302">
                  <c:v>3.3213831785410909E-2</c:v>
                </c:pt>
                <c:pt idx="303">
                  <c:v>1.9042982344599255E-2</c:v>
                </c:pt>
                <c:pt idx="304">
                  <c:v>1.3991291267673183E-2</c:v>
                </c:pt>
                <c:pt idx="305">
                  <c:v>1.2349719525347073E-2</c:v>
                </c:pt>
                <c:pt idx="306">
                  <c:v>3.4153350238831778E-3</c:v>
                </c:pt>
                <c:pt idx="307">
                  <c:v>1.884412348071066E-2</c:v>
                </c:pt>
                <c:pt idx="308">
                  <c:v>7.7133620112874012E-3</c:v>
                </c:pt>
                <c:pt idx="309">
                  <c:v>7.9365261595615525E-3</c:v>
                </c:pt>
                <c:pt idx="310">
                  <c:v>5.1826868585251561E-3</c:v>
                </c:pt>
                <c:pt idx="311">
                  <c:v>4.6577229141588046E-3</c:v>
                </c:pt>
                <c:pt idx="312">
                  <c:v>1.8255721390885986E-2</c:v>
                </c:pt>
                <c:pt idx="313">
                  <c:v>1.1304329394982863E-2</c:v>
                </c:pt>
                <c:pt idx="314">
                  <c:v>3.3316871569296601E-3</c:v>
                </c:pt>
                <c:pt idx="315">
                  <c:v>9.0149162648637919E-3</c:v>
                </c:pt>
                <c:pt idx="316">
                  <c:v>2.3770751028247923E-3</c:v>
                </c:pt>
                <c:pt idx="317">
                  <c:v>2.7605713029766128E-3</c:v>
                </c:pt>
                <c:pt idx="318">
                  <c:v>4.0795288985080343E-3</c:v>
                </c:pt>
                <c:pt idx="319">
                  <c:v>6.7479979995527777E-3</c:v>
                </c:pt>
                <c:pt idx="320">
                  <c:v>3.3073170492224514E-3</c:v>
                </c:pt>
                <c:pt idx="321">
                  <c:v>0.1370554820653519</c:v>
                </c:pt>
                <c:pt idx="322">
                  <c:v>3.7431662503306122E-3</c:v>
                </c:pt>
                <c:pt idx="323">
                  <c:v>0.13019065982206587</c:v>
                </c:pt>
                <c:pt idx="324">
                  <c:v>5.2036877285116474E-2</c:v>
                </c:pt>
                <c:pt idx="325">
                  <c:v>0.23028492970126302</c:v>
                </c:pt>
                <c:pt idx="326">
                  <c:v>7.2606881248993838E-2</c:v>
                </c:pt>
                <c:pt idx="327">
                  <c:v>0.38134294822089543</c:v>
                </c:pt>
                <c:pt idx="328">
                  <c:v>0.38556898415621521</c:v>
                </c:pt>
                <c:pt idx="329">
                  <c:v>0.22367280180973728</c:v>
                </c:pt>
                <c:pt idx="330">
                  <c:v>0.24475110539485648</c:v>
                </c:pt>
                <c:pt idx="331">
                  <c:v>0.21811113338622906</c:v>
                </c:pt>
                <c:pt idx="332">
                  <c:v>7.8587111957115374E-2</c:v>
                </c:pt>
                <c:pt idx="333">
                  <c:v>0.15949052712476031</c:v>
                </c:pt>
                <c:pt idx="334">
                  <c:v>6.0566642302469435E-2</c:v>
                </c:pt>
                <c:pt idx="335">
                  <c:v>7.2499920580422386E-2</c:v>
                </c:pt>
                <c:pt idx="336">
                  <c:v>0.31398380323985414</c:v>
                </c:pt>
                <c:pt idx="337">
                  <c:v>0.27203798605874319</c:v>
                </c:pt>
                <c:pt idx="338">
                  <c:v>0.26506142650116377</c:v>
                </c:pt>
                <c:pt idx="339">
                  <c:v>0.25779244314687982</c:v>
                </c:pt>
                <c:pt idx="340">
                  <c:v>0.19354292417185393</c:v>
                </c:pt>
                <c:pt idx="341">
                  <c:v>3.1030394880038864E-2</c:v>
                </c:pt>
                <c:pt idx="342">
                  <c:v>0.25627374533810532</c:v>
                </c:pt>
                <c:pt idx="343">
                  <c:v>7.7251764564044687E-2</c:v>
                </c:pt>
                <c:pt idx="344">
                  <c:v>1.8046053315408282E-2</c:v>
                </c:pt>
                <c:pt idx="345">
                  <c:v>1.9507059372328755E-2</c:v>
                </c:pt>
                <c:pt idx="346">
                  <c:v>2.1580630443994591E-2</c:v>
                </c:pt>
                <c:pt idx="347">
                  <c:v>1.6408754739581626E-2</c:v>
                </c:pt>
                <c:pt idx="348">
                  <c:v>3.0782340483422634E-2</c:v>
                </c:pt>
                <c:pt idx="349">
                  <c:v>6.9974379212446841E-2</c:v>
                </c:pt>
                <c:pt idx="350">
                  <c:v>7.7904040553353265E-3</c:v>
                </c:pt>
                <c:pt idx="351">
                  <c:v>7.7904040553353265E-3</c:v>
                </c:pt>
                <c:pt idx="352">
                  <c:v>7.7904040553353265E-3</c:v>
                </c:pt>
                <c:pt idx="353">
                  <c:v>0.21324775780796351</c:v>
                </c:pt>
                <c:pt idx="354">
                  <c:v>0.21324775780796351</c:v>
                </c:pt>
                <c:pt idx="355">
                  <c:v>0.21324775780796351</c:v>
                </c:pt>
                <c:pt idx="356">
                  <c:v>0.28476173577285918</c:v>
                </c:pt>
                <c:pt idx="357">
                  <c:v>1.0999555398946818E-6</c:v>
                </c:pt>
                <c:pt idx="358">
                  <c:v>1.0999555398946818E-6</c:v>
                </c:pt>
                <c:pt idx="359">
                  <c:v>5.2136505878733119E-3</c:v>
                </c:pt>
                <c:pt idx="360">
                  <c:v>3.4231435841267699E-2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6-4B82-B141-BEC30190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229408"/>
        <c:axId val="221225568"/>
      </c:barChart>
      <c:catAx>
        <c:axId val="22122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5568"/>
        <c:crosses val="autoZero"/>
        <c:auto val="1"/>
        <c:lblAlgn val="ctr"/>
        <c:lblOffset val="100"/>
        <c:noMultiLvlLbl val="0"/>
      </c:catAx>
      <c:valAx>
        <c:axId val="2212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71718</xdr:colOff>
      <xdr:row>69</xdr:row>
      <xdr:rowOff>87086</xdr:rowOff>
    </xdr:from>
    <xdr:to>
      <xdr:col>39</xdr:col>
      <xdr:colOff>376518</xdr:colOff>
      <xdr:row>107</xdr:row>
      <xdr:rowOff>35858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AA6F38-538E-6A9F-A2C6-3D9120F0E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87D282-B447-4764-A9C5-BD326D24376D}" name="Table1" displayName="Table1" ref="A1:AE362" totalsRowShown="0" headerRowDxfId="32" dataDxfId="0" tableBorderDxfId="51">
  <autoFilter ref="A1:AE362" xr:uid="{7487D282-B447-4764-A9C5-BD326D24376D}"/>
  <sortState xmlns:xlrd2="http://schemas.microsoft.com/office/spreadsheetml/2017/richdata2" ref="A2:AE362">
    <sortCondition ref="A1:A362"/>
  </sortState>
  <tableColumns count="31">
    <tableColumn id="1" xr3:uid="{DAAD63E8-A842-434A-9E5F-23C179FCC6A5}" name="BC Hydro Names" dataDxfId="31"/>
    <tableColumn id="2" xr3:uid="{78DE7446-6DB5-4474-A9F0-6027A2E91A72}" name="Project Type" dataDxfId="30"/>
    <tableColumn id="3" xr3:uid="{86B5DED2-C44D-4900-80B0-72FD8A073162}" name="Region" dataDxfId="29"/>
    <tableColumn id="24" xr3:uid="{5C9A4829-A635-417D-99D7-5930371D2B0F}" name="In 2021?" dataDxfId="28"/>
    <tableColumn id="4" xr3:uid="{A5B63A59-D607-4B2C-9E2E-4BA726C588E8}" name="Latitude" dataDxfId="27"/>
    <tableColumn id="5" xr3:uid="{12B40F59-FA4D-42DB-BBAE-3C068151F3A7}" name="Longitude" dataDxfId="26"/>
    <tableColumn id="6" xr3:uid="{FB631301-F7A8-4F01-8A25-0AC44C05120D}" name="Installed Capacity (MW)" dataDxfId="25"/>
    <tableColumn id="7" xr3:uid="{450C8D47-6576-4DF4-8F8E-12D6EAECF3C4}" name="Dependable Generating Capacity (MW)" dataDxfId="24"/>
    <tableColumn id="8" xr3:uid="{ADB136BC-A8BF-4007-A88B-D80A12F0CF4E}" name="Effective Load-Carrying Capacity (MW)" dataDxfId="23"/>
    <tableColumn id="10" xr3:uid="{1BF6A5A1-CA05-4A0D-AB75-AC2A58D024E9}" name="Annual Firm Energy (GWh/yr)" dataDxfId="22"/>
    <tableColumn id="11" xr3:uid="{F80D1D4D-23A0-41B6-9E43-703178D7EC62}" name="UEC ($/MWh)" dataDxfId="21"/>
    <tableColumn id="12" xr3:uid="{F22D587B-9306-483E-ABFE-275918EDC782}" name="UCC ($/kW-yr)" dataDxfId="20"/>
    <tableColumn id="13" xr3:uid="{07A1EE1D-5689-45FA-A022-73422F5C8B88}" name="R1 Length (km)" dataDxfId="19"/>
    <tableColumn id="14" xr3:uid="{77106FD0-3E49-415B-8200-E55C32812EA9}" name="T1 Length (km)" dataDxfId="18"/>
    <tableColumn id="30" xr3:uid="{13D389FF-9114-433E-9443-8C05957BB7A0}" name="Linear Features (km)" dataDxfId="17">
      <calculatedColumnFormula>Table1[[#This Row],[R1 Length (km)]]+Table1[[#This Row],[T1 Length (km)]]</calculatedColumnFormula>
    </tableColumn>
    <tableColumn id="15" xr3:uid="{9C17B7DD-1C68-493A-ACF3-1F346727F440}" name="Line Voltage" dataDxfId="16"/>
    <tableColumn id="23" xr3:uid="{9523C191-202F-49D1-A00B-898F1C90B775}" name="Linear Area (ha)" dataDxfId="15">
      <calculatedColumnFormula>(Table1[[#This Row],[Linear Features (km)]]*0.4)*100</calculatedColumnFormula>
    </tableColumn>
    <tableColumn id="9" xr3:uid="{1AC91F17-0C60-405B-BFD1-C9F2FE6D06AD}" name="ATG (ha)" dataDxfId="14" dataCellStyle="Comma"/>
    <tableColumn id="31" xr3:uid="{7D3E405E-BA45-4E21-80D9-24E29B087A6E}" name="ATG/Linear Ratio" dataDxfId="13" dataCellStyle="Comma">
      <calculatedColumnFormula>Table1[[#This Row],[ATG (ha)]]/Table1[[#This Row],[Linear Area (ha)]]</calculatedColumnFormula>
    </tableColumn>
    <tableColumn id="17" xr3:uid="{81D99563-16B5-4625-9A76-95CC11F25013}" name="Plateau or Ridgeline - WIND" dataDxfId="12"/>
    <tableColumn id="16" xr3:uid="{F0179228-D88A-43CD-BCC3-D320BAD9A3EC}" name="Number of Turbines - WIND" dataDxfId="11" dataCellStyle="Comma"/>
    <tableColumn id="18" xr3:uid="{BD1F6288-65C7-49DD-AF15-5D96B4B6A259}" name="Footprint of Plant (ha) - SOLAR" dataDxfId="10" dataCellStyle="Comma"/>
    <tableColumn id="19" xr3:uid="{C270132B-9BD7-47D4-9629-60E0B9CD8CB5}" name="Footprint of Panels (ha) - SOLAR" dataDxfId="9" dataCellStyle="Comma"/>
    <tableColumn id="20" xr3:uid="{AD2CE6A5-4859-4EBD-A0CA-7B55EBCEEFD8}" name="Raw Terrestrial Score" dataDxfId="8"/>
    <tableColumn id="26" xr3:uid="{3EB508D6-4830-4E53-927E-AC9ED404856D}" name="Terrestrial % of Summed Score" dataDxfId="7">
      <calculatedColumnFormula>Table1[[#This Row],[Raw Terrestrial Score]]/Table1[[#This Row],[Summed Raw Scores]]</calculatedColumnFormula>
    </tableColumn>
    <tableColumn id="21" xr3:uid="{70D7E5C1-7F6D-4FDF-A711-BA80729BB28F}" name="Raw Freshwater Score" dataDxfId="6"/>
    <tableColumn id="27" xr3:uid="{5D2D2130-2F0B-42B9-A126-21C68F62BA79}" name="Freshwater % of Summed Score" dataDxfId="5">
      <calculatedColumnFormula>Table1[[#This Row],[Raw Freshwater Score]]/Table1[[#This Row],[Summed Raw Scores]]</calculatedColumnFormula>
    </tableColumn>
    <tableColumn id="22" xr3:uid="{663C1351-B6C8-4221-9ECD-FE5987E748FB}" name="Summed Raw Scores" dataDxfId="4">
      <calculatedColumnFormula>Table1[[#This Row],[Raw Terrestrial Score]]+Table1[[#This Row],[Raw Freshwater Score]]</calculatedColumnFormula>
    </tableColumn>
    <tableColumn id="28" xr3:uid="{8DD49517-7DAA-4FEE-9826-0C6758C2CEA0}" name="Terrestrial Proportion of Scaled Score" dataDxfId="3">
      <calculatedColumnFormula>Table1[[#This Row],[Terrestrial % of Summed Score]]*Table1[[#This Row],[Scaled Summed Score]]</calculatedColumnFormula>
    </tableColumn>
    <tableColumn id="29" xr3:uid="{1C47B4E4-6C3B-4B14-8A66-E129FC0A9D27}" name="Freshwater Proportion of Scaled Score" dataDxfId="2">
      <calculatedColumnFormula>Table1[[#This Row],[Freshwater % of Summed Score]]*Table1[[#This Row],[Scaled Summed Score]]</calculatedColumnFormula>
    </tableColumn>
    <tableColumn id="25" xr3:uid="{A7AC6D2B-83E7-4B7E-B674-14C716453015}" name="Scaled Summed Score" dataDxfId="1">
      <calculatedColumnFormula>Table1[[#This Row],[Summed Raw Scores]]/MAX(Table1[Summed Raw Scores])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62"/>
  <sheetViews>
    <sheetView tabSelected="1" zoomScale="81" zoomScaleNormal="90" workbookViewId="0">
      <pane xSplit="1" ySplit="1" topLeftCell="AA2" activePane="bottomRight" state="frozen"/>
      <selection pane="topRight" activeCell="B1" sqref="B1"/>
      <selection pane="bottomLeft" activeCell="A2" sqref="A2"/>
      <selection pane="bottomRight" activeCell="Z11" sqref="Z11"/>
    </sheetView>
  </sheetViews>
  <sheetFormatPr defaultRowHeight="14.4" x14ac:dyDescent="0.3"/>
  <cols>
    <col min="1" max="1" width="41.6640625" style="27" bestFit="1" customWidth="1"/>
    <col min="2" max="2" width="20.88671875" style="6" bestFit="1" customWidth="1"/>
    <col min="3" max="4" width="16.44140625" style="6" customWidth="1"/>
    <col min="5" max="5" width="14.6640625" style="22" customWidth="1"/>
    <col min="6" max="6" width="16.109375" style="22" customWidth="1"/>
    <col min="7" max="7" width="14.6640625" style="28" customWidth="1"/>
    <col min="8" max="8" width="20" style="6" customWidth="1"/>
    <col min="9" max="9" width="20.109375" style="22" customWidth="1"/>
    <col min="10" max="10" width="17.88671875" style="28" customWidth="1"/>
    <col min="11" max="11" width="14.6640625" style="28" customWidth="1"/>
    <col min="12" max="12" width="15.21875" style="22" customWidth="1"/>
    <col min="13" max="13" width="15.6640625" style="22" customWidth="1"/>
    <col min="14" max="15" width="15.5546875" style="22" customWidth="1"/>
    <col min="16" max="16" width="13.21875" style="27" customWidth="1"/>
    <col min="17" max="17" width="17.44140625" style="22" bestFit="1" customWidth="1"/>
    <col min="18" max="18" width="14.6640625" style="6" bestFit="1" customWidth="1"/>
    <col min="19" max="19" width="17.21875" style="29" bestFit="1" customWidth="1"/>
    <col min="20" max="20" width="21.6640625" style="6" bestFit="1" customWidth="1"/>
    <col min="21" max="21" width="23" style="22" customWidth="1"/>
    <col min="22" max="22" width="24.109375" style="22" customWidth="1"/>
    <col min="23" max="23" width="13.88671875" style="22" bestFit="1" customWidth="1"/>
    <col min="24" max="24" width="20.5546875" style="30" bestFit="1" customWidth="1"/>
    <col min="25" max="25" width="20.5546875" style="30" customWidth="1"/>
    <col min="26" max="26" width="21.21875" style="31" customWidth="1"/>
    <col min="27" max="27" width="21.21875" style="30" customWidth="1"/>
    <col min="28" max="28" width="20.33203125" style="30" customWidth="1"/>
    <col min="29" max="30" width="20.33203125" style="29" customWidth="1"/>
    <col min="31" max="31" width="18" style="29" bestFit="1" customWidth="1"/>
    <col min="32" max="32" width="14.6640625" style="22" customWidth="1"/>
    <col min="33" max="16384" width="8.88671875" style="6"/>
  </cols>
  <sheetData>
    <row r="1" spans="1:32" ht="43.2" x14ac:dyDescent="0.3">
      <c r="A1" s="1" t="s">
        <v>0</v>
      </c>
      <c r="B1" s="1" t="s">
        <v>1</v>
      </c>
      <c r="C1" s="1" t="s">
        <v>2</v>
      </c>
      <c r="D1" s="1" t="s">
        <v>249</v>
      </c>
      <c r="E1" s="2" t="s">
        <v>3</v>
      </c>
      <c r="F1" s="2" t="s">
        <v>4</v>
      </c>
      <c r="G1" s="2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244</v>
      </c>
      <c r="P1" s="1" t="s">
        <v>13</v>
      </c>
      <c r="Q1" s="2" t="s">
        <v>247</v>
      </c>
      <c r="R1" s="2" t="s">
        <v>239</v>
      </c>
      <c r="S1" s="3" t="s">
        <v>248</v>
      </c>
      <c r="T1" s="1" t="s">
        <v>14</v>
      </c>
      <c r="U1" s="1" t="s">
        <v>238</v>
      </c>
      <c r="V1" s="2" t="s">
        <v>15</v>
      </c>
      <c r="W1" s="2" t="s">
        <v>16</v>
      </c>
      <c r="X1" s="4" t="s">
        <v>17</v>
      </c>
      <c r="Y1" s="4" t="s">
        <v>241</v>
      </c>
      <c r="Z1" s="4" t="s">
        <v>18</v>
      </c>
      <c r="AA1" s="4" t="s">
        <v>242</v>
      </c>
      <c r="AB1" s="4" t="s">
        <v>19</v>
      </c>
      <c r="AC1" s="3" t="s">
        <v>245</v>
      </c>
      <c r="AD1" s="3" t="s">
        <v>246</v>
      </c>
      <c r="AE1" s="3" t="s">
        <v>243</v>
      </c>
      <c r="AF1" s="2" t="s">
        <v>240</v>
      </c>
    </row>
    <row r="2" spans="1:32" x14ac:dyDescent="0.3">
      <c r="A2" s="7" t="s">
        <v>96</v>
      </c>
      <c r="B2" s="7" t="s">
        <v>97</v>
      </c>
      <c r="C2" s="7" t="s">
        <v>30</v>
      </c>
      <c r="D2" s="7" t="s">
        <v>250</v>
      </c>
      <c r="E2" s="8">
        <v>55.12</v>
      </c>
      <c r="F2" s="8">
        <v>-129.53</v>
      </c>
      <c r="G2" s="8">
        <v>160</v>
      </c>
      <c r="H2" s="8">
        <v>40</v>
      </c>
      <c r="I2" s="8">
        <v>3</v>
      </c>
      <c r="J2" s="8">
        <v>345</v>
      </c>
      <c r="K2" s="8">
        <v>92.74</v>
      </c>
      <c r="L2" s="8" t="s">
        <v>22</v>
      </c>
      <c r="M2" s="8">
        <v>6.1449999999999996</v>
      </c>
      <c r="N2" s="8">
        <v>41.758800000000001</v>
      </c>
      <c r="O2" s="8">
        <f>Table1[[#This Row],[R1 Length (km)]]+Table1[[#This Row],[T1 Length (km)]]</f>
        <v>47.903800000000004</v>
      </c>
      <c r="P2" s="7">
        <v>69</v>
      </c>
      <c r="Q2" s="8">
        <f>(Table1[[#This Row],[Linear Features (km)]]*0.4)*100</f>
        <v>1916.1520000000003</v>
      </c>
      <c r="R2" s="9">
        <v>56.9</v>
      </c>
      <c r="S2" s="10">
        <f>Table1[[#This Row],[ATG (ha)]]/Table1[[#This Row],[Linear Area (ha)]]</f>
        <v>2.9694930256054838E-2</v>
      </c>
      <c r="T2" s="11" t="s">
        <v>22</v>
      </c>
      <c r="U2" s="11" t="s">
        <v>22</v>
      </c>
      <c r="V2" s="9" t="s">
        <v>22</v>
      </c>
      <c r="W2" s="9" t="s">
        <v>22</v>
      </c>
      <c r="X2" s="13">
        <v>189.947558946908</v>
      </c>
      <c r="Y2" s="12">
        <f>Table1[[#This Row],[Raw Terrestrial Score]]/Table1[[#This Row],[Summed Raw Scores]]</f>
        <v>0.22513348953033474</v>
      </c>
      <c r="Z2" s="13">
        <v>653.76325166225399</v>
      </c>
      <c r="AA2" s="12">
        <f>Table1[[#This Row],[Raw Freshwater Score]]/Table1[[#This Row],[Summed Raw Scores]]</f>
        <v>0.77486651046966526</v>
      </c>
      <c r="AB2" s="12">
        <f>Table1[[#This Row],[Raw Terrestrial Score]]+Table1[[#This Row],[Raw Freshwater Score]]</f>
        <v>843.71081060916197</v>
      </c>
      <c r="AC2" s="14">
        <f>Table1[[#This Row],[Terrestrial % of Summed Score]]*Table1[[#This Row],[Scaled Summed Score]]</f>
        <v>2.962364313460604E-2</v>
      </c>
      <c r="AD2" s="14">
        <f>Table1[[#This Row],[Freshwater % of Summed Score]]*Table1[[#This Row],[Scaled Summed Score]]</f>
        <v>0.10195892681714037</v>
      </c>
      <c r="AE2" s="14">
        <f>Table1[[#This Row],[Summed Raw Scores]]/MAX(Table1[Summed Raw Scores])</f>
        <v>0.13158256995174641</v>
      </c>
      <c r="AF2" s="9"/>
    </row>
    <row r="3" spans="1:32" x14ac:dyDescent="0.3">
      <c r="A3" s="7" t="s">
        <v>98</v>
      </c>
      <c r="B3" s="7" t="s">
        <v>97</v>
      </c>
      <c r="C3" s="7" t="s">
        <v>30</v>
      </c>
      <c r="D3" s="7" t="s">
        <v>250</v>
      </c>
      <c r="E3" s="8">
        <v>57.26</v>
      </c>
      <c r="F3" s="8">
        <v>-130.32</v>
      </c>
      <c r="G3" s="8">
        <v>43.2</v>
      </c>
      <c r="H3" s="8">
        <v>40</v>
      </c>
      <c r="I3" s="8">
        <v>2</v>
      </c>
      <c r="J3" s="8">
        <v>46</v>
      </c>
      <c r="K3" s="8">
        <v>363.72</v>
      </c>
      <c r="L3" s="8" t="s">
        <v>22</v>
      </c>
      <c r="M3" s="8">
        <f>3797.0562748453/1000</f>
        <v>3.7970562748452998</v>
      </c>
      <c r="N3" s="8">
        <v>36.497100000000003</v>
      </c>
      <c r="O3" s="8">
        <f>Table1[[#This Row],[R1 Length (km)]]+Table1[[#This Row],[T1 Length (km)]]</f>
        <v>40.294156274845307</v>
      </c>
      <c r="P3" s="7">
        <v>69</v>
      </c>
      <c r="Q3" s="8">
        <f>(Table1[[#This Row],[Linear Features (km)]]*0.4)*100</f>
        <v>1611.7662509938125</v>
      </c>
      <c r="R3" s="9">
        <v>139.30000000000001</v>
      </c>
      <c r="S3" s="10">
        <f>Table1[[#This Row],[ATG (ha)]]/Table1[[#This Row],[Linear Area (ha)]]</f>
        <v>8.6426924446462286E-2</v>
      </c>
      <c r="T3" s="11" t="s">
        <v>22</v>
      </c>
      <c r="U3" s="11" t="s">
        <v>22</v>
      </c>
      <c r="V3" s="9" t="s">
        <v>22</v>
      </c>
      <c r="W3" s="9" t="s">
        <v>22</v>
      </c>
      <c r="X3" s="13">
        <v>251.30532042309599</v>
      </c>
      <c r="Y3" s="12">
        <f>Table1[[#This Row],[Raw Terrestrial Score]]/Table1[[#This Row],[Summed Raw Scores]]</f>
        <v>0.39688530605782074</v>
      </c>
      <c r="Z3" s="13">
        <v>381.88849297165899</v>
      </c>
      <c r="AA3" s="12">
        <f>Table1[[#This Row],[Raw Freshwater Score]]/Table1[[#This Row],[Summed Raw Scores]]</f>
        <v>0.6031146939421792</v>
      </c>
      <c r="AB3" s="12">
        <f>Table1[[#This Row],[Raw Terrestrial Score]]+Table1[[#This Row],[Raw Freshwater Score]]</f>
        <v>633.19381339475501</v>
      </c>
      <c r="AC3" s="14">
        <f>Table1[[#This Row],[Terrestrial % of Summed Score]]*Table1[[#This Row],[Scaled Summed Score]]</f>
        <v>3.9192812854849282E-2</v>
      </c>
      <c r="AD3" s="14">
        <f>Table1[[#This Row],[Freshwater % of Summed Score]]*Table1[[#This Row],[Scaled Summed Score]]</f>
        <v>5.9558166978955461E-2</v>
      </c>
      <c r="AE3" s="14">
        <f>Table1[[#This Row],[Summed Raw Scores]]/MAX(Table1[Summed Raw Scores])</f>
        <v>9.875097983380475E-2</v>
      </c>
      <c r="AF3" s="9"/>
    </row>
    <row r="4" spans="1:32" x14ac:dyDescent="0.3">
      <c r="A4" s="7" t="s">
        <v>425</v>
      </c>
      <c r="B4" s="7" t="s">
        <v>20</v>
      </c>
      <c r="C4" s="7" t="s">
        <v>21</v>
      </c>
      <c r="D4" s="7" t="s">
        <v>250</v>
      </c>
      <c r="E4" s="15">
        <v>48.494855999999999</v>
      </c>
      <c r="F4" s="15">
        <v>-123.42505199999999</v>
      </c>
      <c r="G4" s="8">
        <v>50</v>
      </c>
      <c r="H4" s="8" t="s">
        <v>22</v>
      </c>
      <c r="I4" s="8">
        <v>40</v>
      </c>
      <c r="J4" s="7" t="s">
        <v>22</v>
      </c>
      <c r="K4" s="7" t="s">
        <v>22</v>
      </c>
      <c r="L4" s="16">
        <v>250.36602238805969</v>
      </c>
      <c r="M4" s="15">
        <v>0</v>
      </c>
      <c r="N4" s="9">
        <v>0.6</v>
      </c>
      <c r="O4" s="9">
        <f>Table1[[#This Row],[R1 Length (km)]]+Table1[[#This Row],[T1 Length (km)]]</f>
        <v>0.6</v>
      </c>
      <c r="P4" s="11">
        <v>69</v>
      </c>
      <c r="Q4" s="9">
        <f>(Table1[[#This Row],[Linear Features (km)]]*0.4)*100</f>
        <v>24</v>
      </c>
      <c r="R4" s="9">
        <v>0.3</v>
      </c>
      <c r="S4" s="10">
        <f>Table1[[#This Row],[ATG (ha)]]/Table1[[#This Row],[Linear Area (ha)]]</f>
        <v>1.2499999999999999E-2</v>
      </c>
      <c r="T4" s="11" t="s">
        <v>22</v>
      </c>
      <c r="U4" s="11" t="s">
        <v>22</v>
      </c>
      <c r="V4" s="11" t="s">
        <v>22</v>
      </c>
      <c r="W4" s="11" t="s">
        <v>22</v>
      </c>
      <c r="X4" s="13">
        <v>19.116897583007798</v>
      </c>
      <c r="Y4" s="12">
        <f>Table1[[#This Row],[Raw Terrestrial Score]]/Table1[[#This Row],[Summed Raw Scores]]</f>
        <v>0.79673108266118964</v>
      </c>
      <c r="Z4" s="13">
        <v>4.8772680759429896</v>
      </c>
      <c r="AA4" s="12">
        <f>Table1[[#This Row],[Raw Freshwater Score]]/Table1[[#This Row],[Summed Raw Scores]]</f>
        <v>0.20326891733881033</v>
      </c>
      <c r="AB4" s="12">
        <f>Table1[[#This Row],[Raw Terrestrial Score]]+Table1[[#This Row],[Raw Freshwater Score]]</f>
        <v>23.994165658950788</v>
      </c>
      <c r="AC4" s="14">
        <f>Table1[[#This Row],[Terrestrial % of Summed Score]]*Table1[[#This Row],[Scaled Summed Score]]</f>
        <v>2.981413159397984E-3</v>
      </c>
      <c r="AD4" s="14">
        <f>Table1[[#This Row],[Freshwater % of Summed Score]]*Table1[[#This Row],[Scaled Summed Score]]</f>
        <v>7.6064388378860846E-4</v>
      </c>
      <c r="AE4" s="14">
        <f>Table1[[#This Row],[Summed Raw Scores]]/MAX(Table1[Summed Raw Scores])</f>
        <v>3.7420570431865923E-3</v>
      </c>
      <c r="AF4" s="9"/>
    </row>
    <row r="5" spans="1:32" x14ac:dyDescent="0.3">
      <c r="A5" s="7" t="s">
        <v>113</v>
      </c>
      <c r="B5" s="7" t="s">
        <v>114</v>
      </c>
      <c r="C5" s="7" t="s">
        <v>30</v>
      </c>
      <c r="D5" s="7"/>
      <c r="E5" s="8">
        <v>58.373600000000003</v>
      </c>
      <c r="F5" s="8">
        <v>-131.53800000000001</v>
      </c>
      <c r="G5" s="8">
        <v>160</v>
      </c>
      <c r="H5" s="7" t="s">
        <v>22</v>
      </c>
      <c r="I5" s="8">
        <v>38.4</v>
      </c>
      <c r="J5" s="8">
        <v>526.72127999999998</v>
      </c>
      <c r="K5" s="8">
        <v>102.84130249951509</v>
      </c>
      <c r="L5" s="8" t="s">
        <v>22</v>
      </c>
      <c r="M5" s="8">
        <v>72.276757812499994</v>
      </c>
      <c r="N5" s="8">
        <v>192.94692187499999</v>
      </c>
      <c r="O5" s="8">
        <f>Table1[[#This Row],[R1 Length (km)]]+Table1[[#This Row],[T1 Length (km)]]</f>
        <v>265.22367968749995</v>
      </c>
      <c r="P5" s="7">
        <v>230</v>
      </c>
      <c r="Q5" s="8">
        <f>(Table1[[#This Row],[Linear Features (km)]]*0.4)*100</f>
        <v>10608.947187499998</v>
      </c>
      <c r="R5" s="9">
        <f>((PI()*(45^2))*Table1[[#This Row],[Number of Turbines - WIND]])/10000</f>
        <v>44.532075864635317</v>
      </c>
      <c r="S5" s="10">
        <f>Table1[[#This Row],[ATG (ha)]]/Table1[[#This Row],[Linear Area (ha)]]</f>
        <v>4.1975961495128635E-3</v>
      </c>
      <c r="T5" s="7" t="s">
        <v>115</v>
      </c>
      <c r="U5" s="7">
        <f>26+44</f>
        <v>70</v>
      </c>
      <c r="V5" s="9" t="s">
        <v>22</v>
      </c>
      <c r="W5" s="9" t="s">
        <v>22</v>
      </c>
      <c r="X5" s="13">
        <v>970.15567607432604</v>
      </c>
      <c r="Y5" s="12">
        <f>Table1[[#This Row],[Raw Terrestrial Score]]/Table1[[#This Row],[Summed Raw Scores]]</f>
        <v>0.34845691312979632</v>
      </c>
      <c r="Z5" s="13">
        <v>1813.9924912285101</v>
      </c>
      <c r="AA5" s="12">
        <f>Table1[[#This Row],[Raw Freshwater Score]]/Table1[[#This Row],[Summed Raw Scores]]</f>
        <v>0.65154308687020368</v>
      </c>
      <c r="AB5" s="12">
        <f>Table1[[#This Row],[Raw Terrestrial Score]]+Table1[[#This Row],[Raw Freshwater Score]]</f>
        <v>2784.1481673028361</v>
      </c>
      <c r="AC5" s="14">
        <f>Table1[[#This Row],[Terrestrial % of Summed Score]]*Table1[[#This Row],[Scaled Summed Score]]</f>
        <v>0.15130252629922578</v>
      </c>
      <c r="AD5" s="14">
        <f>Table1[[#This Row],[Freshwater % of Summed Score]]*Table1[[#This Row],[Scaled Summed Score]]</f>
        <v>0.28290474753628359</v>
      </c>
      <c r="AE5" s="14">
        <f>Table1[[#This Row],[Summed Raw Scores]]/MAX(Table1[Summed Raw Scores])</f>
        <v>0.43420727383550939</v>
      </c>
      <c r="AF5" s="9"/>
    </row>
    <row r="6" spans="1:32" x14ac:dyDescent="0.3">
      <c r="A6" s="7" t="s">
        <v>116</v>
      </c>
      <c r="B6" s="7" t="s">
        <v>114</v>
      </c>
      <c r="C6" s="7" t="s">
        <v>30</v>
      </c>
      <c r="D6" s="7"/>
      <c r="E6" s="8">
        <v>58.516399999999997</v>
      </c>
      <c r="F6" s="8">
        <v>-131.28</v>
      </c>
      <c r="G6" s="8">
        <v>145</v>
      </c>
      <c r="H6" s="7" t="s">
        <v>22</v>
      </c>
      <c r="I6" s="8">
        <v>34.799999999999997</v>
      </c>
      <c r="J6" s="8">
        <v>477.34116000000006</v>
      </c>
      <c r="K6" s="8">
        <v>110.96678109296646</v>
      </c>
      <c r="L6" s="8" t="s">
        <v>22</v>
      </c>
      <c r="M6" s="8">
        <v>72.276757812499994</v>
      </c>
      <c r="N6" s="8">
        <v>192.94692187499999</v>
      </c>
      <c r="O6" s="8">
        <f>Table1[[#This Row],[R1 Length (km)]]+Table1[[#This Row],[T1 Length (km)]]</f>
        <v>265.22367968749995</v>
      </c>
      <c r="P6" s="7">
        <v>230</v>
      </c>
      <c r="Q6" s="8">
        <f>(Table1[[#This Row],[Linear Features (km)]]*0.4)*100</f>
        <v>10608.947187499998</v>
      </c>
      <c r="R6" s="9">
        <f>((PI()*(45^2))*Table1[[#This Row],[Number of Turbines - WIND]])/10000</f>
        <v>40.078868278171782</v>
      </c>
      <c r="S6" s="10">
        <f>Table1[[#This Row],[ATG (ha)]]/Table1[[#This Row],[Linear Area (ha)]]</f>
        <v>3.777836534561577E-3</v>
      </c>
      <c r="T6" s="7" t="s">
        <v>115</v>
      </c>
      <c r="U6" s="7">
        <f>13+50</f>
        <v>63</v>
      </c>
      <c r="V6" s="9" t="s">
        <v>22</v>
      </c>
      <c r="W6" s="9" t="s">
        <v>22</v>
      </c>
      <c r="X6" s="13">
        <v>1256.1455774977801</v>
      </c>
      <c r="Y6" s="12">
        <f>Table1[[#This Row],[Raw Terrestrial Score]]/Table1[[#This Row],[Summed Raw Scores]]</f>
        <v>0.40635150004071552</v>
      </c>
      <c r="Z6" s="13">
        <v>1835.13273049891</v>
      </c>
      <c r="AA6" s="12">
        <f>Table1[[#This Row],[Raw Freshwater Score]]/Table1[[#This Row],[Summed Raw Scores]]</f>
        <v>0.59364849995928437</v>
      </c>
      <c r="AB6" s="12">
        <f>Table1[[#This Row],[Raw Terrestrial Score]]+Table1[[#This Row],[Raw Freshwater Score]]</f>
        <v>3091.2783079966903</v>
      </c>
      <c r="AC6" s="14">
        <f>Table1[[#This Row],[Terrestrial % of Summed Score]]*Table1[[#This Row],[Scaled Summed Score]]</f>
        <v>0.19590464083462542</v>
      </c>
      <c r="AD6" s="14">
        <f>Table1[[#This Row],[Freshwater % of Summed Score]]*Table1[[#This Row],[Scaled Summed Score]]</f>
        <v>0.28620171490663843</v>
      </c>
      <c r="AE6" s="14">
        <f>Table1[[#This Row],[Summed Raw Scores]]/MAX(Table1[Summed Raw Scores])</f>
        <v>0.48210635574126393</v>
      </c>
      <c r="AF6" s="9"/>
    </row>
    <row r="7" spans="1:32" x14ac:dyDescent="0.3">
      <c r="A7" s="7" t="s">
        <v>117</v>
      </c>
      <c r="B7" s="7" t="s">
        <v>114</v>
      </c>
      <c r="C7" s="7" t="s">
        <v>30</v>
      </c>
      <c r="D7" s="7"/>
      <c r="E7" s="8">
        <v>59.016599999999997</v>
      </c>
      <c r="F7" s="8">
        <v>-131.26</v>
      </c>
      <c r="G7" s="8">
        <v>165</v>
      </c>
      <c r="H7" s="7" t="s">
        <v>22</v>
      </c>
      <c r="I7" s="8">
        <v>39.6</v>
      </c>
      <c r="J7" s="8">
        <v>507.91356000000002</v>
      </c>
      <c r="K7" s="8">
        <v>125.28558797417327</v>
      </c>
      <c r="L7" s="8" t="s">
        <v>22</v>
      </c>
      <c r="M7" s="8">
        <v>54.375484374999999</v>
      </c>
      <c r="N7" s="8">
        <v>203.42195312499999</v>
      </c>
      <c r="O7" s="8">
        <f>Table1[[#This Row],[R1 Length (km)]]+Table1[[#This Row],[T1 Length (km)]]</f>
        <v>257.7974375</v>
      </c>
      <c r="P7" s="7">
        <v>230</v>
      </c>
      <c r="Q7" s="8">
        <f>(Table1[[#This Row],[Linear Features (km)]]*0.4)*100</f>
        <v>10311.897500000001</v>
      </c>
      <c r="R7" s="9">
        <f>((PI()*(45^2))*Table1[[#This Row],[Number of Turbines - WIND]])/10000</f>
        <v>45.168248376987243</v>
      </c>
      <c r="S7" s="10">
        <f>Table1[[#This Row],[ATG (ha)]]/Table1[[#This Row],[Linear Area (ha)]]</f>
        <v>4.3802072680597572E-3</v>
      </c>
      <c r="T7" s="7" t="s">
        <v>115</v>
      </c>
      <c r="U7" s="7">
        <f>20+20+13+18</f>
        <v>71</v>
      </c>
      <c r="V7" s="9" t="s">
        <v>22</v>
      </c>
      <c r="W7" s="9" t="s">
        <v>22</v>
      </c>
      <c r="X7" s="13">
        <v>1930.5246417475901</v>
      </c>
      <c r="Y7" s="12">
        <f>Table1[[#This Row],[Raw Terrestrial Score]]/Table1[[#This Row],[Summed Raw Scores]]</f>
        <v>0.46303602488483031</v>
      </c>
      <c r="Z7" s="13">
        <v>2238.75061545894</v>
      </c>
      <c r="AA7" s="12">
        <f>Table1[[#This Row],[Raw Freshwater Score]]/Table1[[#This Row],[Summed Raw Scores]]</f>
        <v>0.53696397511516969</v>
      </c>
      <c r="AB7" s="12">
        <f>Table1[[#This Row],[Raw Terrestrial Score]]+Table1[[#This Row],[Raw Freshwater Score]]</f>
        <v>4169.2752572065301</v>
      </c>
      <c r="AC7" s="14">
        <f>Table1[[#This Row],[Terrestrial % of Summed Score]]*Table1[[#This Row],[Scaled Summed Score]]</f>
        <v>0.30107874703290421</v>
      </c>
      <c r="AD7" s="14">
        <f>Table1[[#This Row],[Freshwater % of Summed Score]]*Table1[[#This Row],[Scaled Summed Score]]</f>
        <v>0.34914873172059174</v>
      </c>
      <c r="AE7" s="14">
        <f>Table1[[#This Row],[Summed Raw Scores]]/MAX(Table1[Summed Raw Scores])</f>
        <v>0.65022747875349596</v>
      </c>
      <c r="AF7" s="9"/>
    </row>
    <row r="8" spans="1:32" x14ac:dyDescent="0.3">
      <c r="A8" s="7" t="s">
        <v>118</v>
      </c>
      <c r="B8" s="7" t="s">
        <v>114</v>
      </c>
      <c r="C8" s="7" t="s">
        <v>30</v>
      </c>
      <c r="D8" s="7"/>
      <c r="E8" s="8">
        <v>58.9375</v>
      </c>
      <c r="F8" s="8">
        <v>-130.54900000000001</v>
      </c>
      <c r="G8" s="8">
        <v>150</v>
      </c>
      <c r="H8" s="7" t="s">
        <v>22</v>
      </c>
      <c r="I8" s="8">
        <v>36</v>
      </c>
      <c r="J8" s="8">
        <v>424.94760000000002</v>
      </c>
      <c r="K8" s="8">
        <v>129.55618024565354</v>
      </c>
      <c r="L8" s="8" t="s">
        <v>22</v>
      </c>
      <c r="M8" s="8">
        <v>125.70841406300001</v>
      </c>
      <c r="N8" s="8">
        <v>260.41310937499998</v>
      </c>
      <c r="O8" s="8">
        <f>Table1[[#This Row],[R1 Length (km)]]+Table1[[#This Row],[T1 Length (km)]]</f>
        <v>386.121523438</v>
      </c>
      <c r="P8" s="7">
        <v>230</v>
      </c>
      <c r="Q8" s="8">
        <f>(Table1[[#This Row],[Linear Features (km)]]*0.4)*100</f>
        <v>15444.860937520003</v>
      </c>
      <c r="R8" s="9">
        <f>((PI()*(45^2))*Table1[[#This Row],[Number of Turbines - WIND]])/10000</f>
        <v>41.987385815227583</v>
      </c>
      <c r="S8" s="10">
        <f>Table1[[#This Row],[ATG (ha)]]/Table1[[#This Row],[Linear Area (ha)]]</f>
        <v>2.7185344034550783E-3</v>
      </c>
      <c r="T8" s="7" t="s">
        <v>115</v>
      </c>
      <c r="U8" s="7">
        <f>35+31</f>
        <v>66</v>
      </c>
      <c r="V8" s="9" t="s">
        <v>22</v>
      </c>
      <c r="W8" s="9" t="s">
        <v>22</v>
      </c>
      <c r="X8" s="13">
        <v>1204.21486449894</v>
      </c>
      <c r="Y8" s="12">
        <f>Table1[[#This Row],[Raw Terrestrial Score]]/Table1[[#This Row],[Summed Raw Scores]]</f>
        <v>0.40080977851436456</v>
      </c>
      <c r="Z8" s="13">
        <v>1800.2399393795099</v>
      </c>
      <c r="AA8" s="12">
        <f>Table1[[#This Row],[Raw Freshwater Score]]/Table1[[#This Row],[Summed Raw Scores]]</f>
        <v>0.5991902214856355</v>
      </c>
      <c r="AB8" s="12">
        <f>Table1[[#This Row],[Raw Terrestrial Score]]+Table1[[#This Row],[Raw Freshwater Score]]</f>
        <v>3004.4548038784496</v>
      </c>
      <c r="AC8" s="14">
        <f>Table1[[#This Row],[Terrestrial % of Summed Score]]*Table1[[#This Row],[Scaled Summed Score]]</f>
        <v>0.18780568490103916</v>
      </c>
      <c r="AD8" s="14">
        <f>Table1[[#This Row],[Freshwater % of Summed Score]]*Table1[[#This Row],[Scaled Summed Score]]</f>
        <v>0.28075994140966831</v>
      </c>
      <c r="AE8" s="14">
        <f>Table1[[#This Row],[Summed Raw Scores]]/MAX(Table1[Summed Raw Scores])</f>
        <v>0.46856562631070742</v>
      </c>
      <c r="AF8" s="9"/>
    </row>
    <row r="9" spans="1:32" x14ac:dyDescent="0.3">
      <c r="A9" s="7" t="s">
        <v>119</v>
      </c>
      <c r="B9" s="7" t="s">
        <v>114</v>
      </c>
      <c r="C9" s="7" t="s">
        <v>30</v>
      </c>
      <c r="D9" s="7"/>
      <c r="E9" s="8">
        <v>58.5032</v>
      </c>
      <c r="F9" s="8">
        <v>-130.44200000000001</v>
      </c>
      <c r="G9" s="8">
        <v>160</v>
      </c>
      <c r="H9" s="7" t="s">
        <v>22</v>
      </c>
      <c r="I9" s="8">
        <v>38.4</v>
      </c>
      <c r="J9" s="8">
        <v>526.72127999999998</v>
      </c>
      <c r="K9" s="8">
        <v>97.630343521356849</v>
      </c>
      <c r="L9" s="8" t="s">
        <v>22</v>
      </c>
      <c r="M9" s="8">
        <v>43.094367187499998</v>
      </c>
      <c r="N9" s="8">
        <v>265.36450000000002</v>
      </c>
      <c r="O9" s="8">
        <f>Table1[[#This Row],[R1 Length (km)]]+Table1[[#This Row],[T1 Length (km)]]</f>
        <v>308.4588671875</v>
      </c>
      <c r="P9" s="7">
        <v>230</v>
      </c>
      <c r="Q9" s="8">
        <f>(Table1[[#This Row],[Linear Features (km)]]*0.4)*100</f>
        <v>12338.354687500001</v>
      </c>
      <c r="R9" s="9">
        <f>((PI()*(45^2))*Table1[[#This Row],[Number of Turbines - WIND]])/10000</f>
        <v>44.532075864635317</v>
      </c>
      <c r="S9" s="10">
        <f>Table1[[#This Row],[ATG (ha)]]/Table1[[#This Row],[Linear Area (ha)]]</f>
        <v>3.6092393996219616E-3</v>
      </c>
      <c r="T9" s="7" t="s">
        <v>115</v>
      </c>
      <c r="U9" s="7">
        <f>29+41</f>
        <v>70</v>
      </c>
      <c r="V9" s="9" t="s">
        <v>22</v>
      </c>
      <c r="W9" s="9" t="s">
        <v>22</v>
      </c>
      <c r="X9" s="13">
        <v>758.89375743176799</v>
      </c>
      <c r="Y9" s="12">
        <f>Table1[[#This Row],[Raw Terrestrial Score]]/Table1[[#This Row],[Summed Raw Scores]]</f>
        <v>0.31138199990904636</v>
      </c>
      <c r="Z9" s="13">
        <v>1678.28551964089</v>
      </c>
      <c r="AA9" s="12">
        <f>Table1[[#This Row],[Raw Freshwater Score]]/Table1[[#This Row],[Summed Raw Scores]]</f>
        <v>0.68861800009095375</v>
      </c>
      <c r="AB9" s="12">
        <f>Table1[[#This Row],[Raw Terrestrial Score]]+Table1[[#This Row],[Raw Freshwater Score]]</f>
        <v>2437.1792770726579</v>
      </c>
      <c r="AC9" s="14">
        <f>Table1[[#This Row],[Terrestrial % of Summed Score]]*Table1[[#This Row],[Scaled Summed Score]]</f>
        <v>0.11835476050272731</v>
      </c>
      <c r="AD9" s="14">
        <f>Table1[[#This Row],[Freshwater % of Summed Score]]*Table1[[#This Row],[Scaled Summed Score]]</f>
        <v>0.26174030130976783</v>
      </c>
      <c r="AE9" s="14">
        <f>Table1[[#This Row],[Summed Raw Scores]]/MAX(Table1[Summed Raw Scores])</f>
        <v>0.38009506181249508</v>
      </c>
      <c r="AF9" s="9"/>
    </row>
    <row r="10" spans="1:32" x14ac:dyDescent="0.3">
      <c r="A10" s="7" t="s">
        <v>120</v>
      </c>
      <c r="B10" s="7" t="s">
        <v>114</v>
      </c>
      <c r="C10" s="7" t="s">
        <v>27</v>
      </c>
      <c r="D10" s="7"/>
      <c r="E10" s="8">
        <v>59.872</v>
      </c>
      <c r="F10" s="8">
        <v>-125.95399999999999</v>
      </c>
      <c r="G10" s="8">
        <v>230</v>
      </c>
      <c r="H10" s="7" t="s">
        <v>22</v>
      </c>
      <c r="I10" s="8">
        <v>55.199999999999996</v>
      </c>
      <c r="J10" s="8">
        <v>677.57723999999996</v>
      </c>
      <c r="K10" s="8">
        <v>133.41293737782709</v>
      </c>
      <c r="L10" s="8" t="s">
        <v>22</v>
      </c>
      <c r="M10" s="8">
        <v>18.295330078100001</v>
      </c>
      <c r="N10" s="8">
        <v>244.59537499999999</v>
      </c>
      <c r="O10" s="8">
        <f>Table1[[#This Row],[R1 Length (km)]]+Table1[[#This Row],[T1 Length (km)]]</f>
        <v>262.89070507809998</v>
      </c>
      <c r="P10" s="7">
        <v>130</v>
      </c>
      <c r="Q10" s="8">
        <f>(Table1[[#This Row],[Linear Features (km)]]*0.4)*100</f>
        <v>10515.628203123999</v>
      </c>
      <c r="R10" s="9">
        <f>((PI()*(45^2))*Table1[[#This Row],[Number of Turbines - WIND]])/10000</f>
        <v>64.253423747545241</v>
      </c>
      <c r="S10" s="10">
        <f>Table1[[#This Row],[ATG (ha)]]/Table1[[#This Row],[Linear Area (ha)]]</f>
        <v>6.1102791489391697E-3</v>
      </c>
      <c r="T10" s="7" t="s">
        <v>115</v>
      </c>
      <c r="U10" s="7">
        <v>101</v>
      </c>
      <c r="V10" s="9" t="s">
        <v>22</v>
      </c>
      <c r="W10" s="9" t="s">
        <v>22</v>
      </c>
      <c r="X10" s="13">
        <v>1103.7392522674099</v>
      </c>
      <c r="Y10" s="12">
        <f>Table1[[#This Row],[Raw Terrestrial Score]]/Table1[[#This Row],[Summed Raw Scores]]</f>
        <v>0.42751492124482449</v>
      </c>
      <c r="Z10" s="13">
        <v>1478.0168395517401</v>
      </c>
      <c r="AA10" s="12">
        <f>Table1[[#This Row],[Raw Freshwater Score]]/Table1[[#This Row],[Summed Raw Scores]]</f>
        <v>0.5724850787551754</v>
      </c>
      <c r="AB10" s="12">
        <f>Table1[[#This Row],[Raw Terrestrial Score]]+Table1[[#This Row],[Raw Freshwater Score]]</f>
        <v>2581.7560918191502</v>
      </c>
      <c r="AC10" s="14">
        <f>Table1[[#This Row],[Terrestrial % of Summed Score]]*Table1[[#This Row],[Scaled Summed Score]]</f>
        <v>0.1721358142431601</v>
      </c>
      <c r="AD10" s="14">
        <f>Table1[[#This Row],[Freshwater % of Summed Score]]*Table1[[#This Row],[Scaled Summed Score]]</f>
        <v>0.2305070075370492</v>
      </c>
      <c r="AE10" s="14">
        <f>Table1[[#This Row],[Summed Raw Scores]]/MAX(Table1[Summed Raw Scores])</f>
        <v>0.40264282178020933</v>
      </c>
      <c r="AF10" s="9"/>
    </row>
    <row r="11" spans="1:32" x14ac:dyDescent="0.3">
      <c r="A11" s="7" t="s">
        <v>121</v>
      </c>
      <c r="B11" s="7" t="s">
        <v>114</v>
      </c>
      <c r="C11" s="7" t="s">
        <v>27</v>
      </c>
      <c r="D11" s="7"/>
      <c r="E11" s="8">
        <v>59.7913</v>
      </c>
      <c r="F11" s="8">
        <v>-125.352</v>
      </c>
      <c r="G11" s="8">
        <v>290</v>
      </c>
      <c r="H11" s="7" t="s">
        <v>22</v>
      </c>
      <c r="I11" s="8">
        <v>69.599999999999994</v>
      </c>
      <c r="J11" s="8">
        <v>892.69655999999998</v>
      </c>
      <c r="K11" s="8">
        <v>112.49687077743719</v>
      </c>
      <c r="L11" s="8" t="s">
        <v>22</v>
      </c>
      <c r="M11" s="8">
        <v>30.673519531300002</v>
      </c>
      <c r="N11" s="8">
        <v>572.73781250000002</v>
      </c>
      <c r="O11" s="8">
        <f>Table1[[#This Row],[R1 Length (km)]]+Table1[[#This Row],[T1 Length (km)]]</f>
        <v>603.41133203130005</v>
      </c>
      <c r="P11" s="7">
        <v>230</v>
      </c>
      <c r="Q11" s="8">
        <f>(Table1[[#This Row],[Linear Features (km)]]*0.4)*100</f>
        <v>24136.453281252001</v>
      </c>
      <c r="R11" s="9">
        <f>((PI()*(45^2))*Table1[[#This Row],[Number of Turbines - WIND]])/10000</f>
        <v>80.157736556343565</v>
      </c>
      <c r="S11" s="10">
        <f>Table1[[#This Row],[ATG (ha)]]/Table1[[#This Row],[Linear Area (ha)]]</f>
        <v>3.3210238315588029E-3</v>
      </c>
      <c r="T11" s="7" t="s">
        <v>115</v>
      </c>
      <c r="U11" s="7">
        <v>126</v>
      </c>
      <c r="V11" s="9" t="s">
        <v>22</v>
      </c>
      <c r="W11" s="9" t="s">
        <v>22</v>
      </c>
      <c r="X11" s="13">
        <v>1212.64904482476</v>
      </c>
      <c r="Y11" s="12">
        <f>Table1[[#This Row],[Raw Terrestrial Score]]/Table1[[#This Row],[Summed Raw Scores]]</f>
        <v>0.40823975162571774</v>
      </c>
      <c r="Z11" s="13">
        <v>1757.78448105231</v>
      </c>
      <c r="AA11" s="12">
        <f>Table1[[#This Row],[Raw Freshwater Score]]/Table1[[#This Row],[Summed Raw Scores]]</f>
        <v>0.59176024837428232</v>
      </c>
      <c r="AB11" s="12">
        <f>Table1[[#This Row],[Raw Terrestrial Score]]+Table1[[#This Row],[Raw Freshwater Score]]</f>
        <v>2970.4335258770698</v>
      </c>
      <c r="AC11" s="14">
        <f>Table1[[#This Row],[Terrestrial % of Summed Score]]*Table1[[#This Row],[Scaled Summed Score]]</f>
        <v>0.18912105399285697</v>
      </c>
      <c r="AD11" s="14">
        <f>Table1[[#This Row],[Freshwater % of Summed Score]]*Table1[[#This Row],[Scaled Summed Score]]</f>
        <v>0.2741387173540718</v>
      </c>
      <c r="AE11" s="14">
        <f>Table1[[#This Row],[Summed Raw Scores]]/MAX(Table1[Summed Raw Scores])</f>
        <v>0.46325977134692875</v>
      </c>
      <c r="AF11" s="9"/>
    </row>
    <row r="12" spans="1:32" x14ac:dyDescent="0.3">
      <c r="A12" s="7" t="s">
        <v>122</v>
      </c>
      <c r="B12" s="7" t="s">
        <v>114</v>
      </c>
      <c r="C12" s="7" t="s">
        <v>30</v>
      </c>
      <c r="D12" s="7" t="s">
        <v>250</v>
      </c>
      <c r="E12" s="8">
        <v>54.712200000000003</v>
      </c>
      <c r="F12" s="8">
        <v>-126.67100000000001</v>
      </c>
      <c r="G12" s="8">
        <v>170</v>
      </c>
      <c r="H12" s="7" t="s">
        <v>22</v>
      </c>
      <c r="I12" s="8">
        <v>40.799999999999997</v>
      </c>
      <c r="J12" s="8">
        <v>481.60728</v>
      </c>
      <c r="K12" s="8">
        <v>78.565597635227192</v>
      </c>
      <c r="L12" s="8" t="s">
        <v>22</v>
      </c>
      <c r="M12" s="8">
        <v>94.627750000000006</v>
      </c>
      <c r="N12" s="8">
        <v>535.23418749999996</v>
      </c>
      <c r="O12" s="8">
        <f>Table1[[#This Row],[R1 Length (km)]]+Table1[[#This Row],[T1 Length (km)]]</f>
        <v>629.86193749999995</v>
      </c>
      <c r="P12" s="7">
        <v>230</v>
      </c>
      <c r="Q12" s="8">
        <f>(Table1[[#This Row],[Linear Features (km)]]*0.4)*100</f>
        <v>25194.477500000001</v>
      </c>
      <c r="R12" s="9">
        <f>((PI()*(45^2))*Table1[[#This Row],[Number of Turbines - WIND]])/10000</f>
        <v>46.44059340169111</v>
      </c>
      <c r="S12" s="10">
        <f>Table1[[#This Row],[ATG (ha)]]/Table1[[#This Row],[Linear Area (ha)]]</f>
        <v>1.8432846405205708E-3</v>
      </c>
      <c r="T12" s="7" t="s">
        <v>115</v>
      </c>
      <c r="U12" s="7">
        <v>73</v>
      </c>
      <c r="V12" s="9" t="s">
        <v>22</v>
      </c>
      <c r="W12" s="9" t="s">
        <v>22</v>
      </c>
      <c r="X12" s="13">
        <v>259.67956794239598</v>
      </c>
      <c r="Y12" s="12">
        <f>Table1[[#This Row],[Raw Terrestrial Score]]/Table1[[#This Row],[Summed Raw Scores]]</f>
        <v>0.43293695212501132</v>
      </c>
      <c r="Z12" s="13">
        <v>340.12963445484598</v>
      </c>
      <c r="AA12" s="12">
        <f>Table1[[#This Row],[Raw Freshwater Score]]/Table1[[#This Row],[Summed Raw Scores]]</f>
        <v>0.56706304787498862</v>
      </c>
      <c r="AB12" s="12">
        <f>Table1[[#This Row],[Raw Terrestrial Score]]+Table1[[#This Row],[Raw Freshwater Score]]</f>
        <v>599.80920239724196</v>
      </c>
      <c r="AC12" s="14">
        <f>Table1[[#This Row],[Terrestrial % of Summed Score]]*Table1[[#This Row],[Scaled Summed Score]]</f>
        <v>4.0498835008584581E-2</v>
      </c>
      <c r="AD12" s="14">
        <f>Table1[[#This Row],[Freshwater % of Summed Score]]*Table1[[#This Row],[Scaled Summed Score]]</f>
        <v>5.304558250948966E-2</v>
      </c>
      <c r="AE12" s="14">
        <f>Table1[[#This Row],[Summed Raw Scores]]/MAX(Table1[Summed Raw Scores])</f>
        <v>9.3544417518074241E-2</v>
      </c>
      <c r="AF12" s="9"/>
    </row>
    <row r="13" spans="1:32" x14ac:dyDescent="0.3">
      <c r="A13" s="7" t="s">
        <v>123</v>
      </c>
      <c r="B13" s="7" t="s">
        <v>114</v>
      </c>
      <c r="C13" s="7" t="s">
        <v>30</v>
      </c>
      <c r="D13" s="7" t="s">
        <v>250</v>
      </c>
      <c r="E13" s="8">
        <v>54.700099999999999</v>
      </c>
      <c r="F13" s="8">
        <v>-127.529</v>
      </c>
      <c r="G13" s="8">
        <v>105</v>
      </c>
      <c r="H13" s="7" t="s">
        <v>22</v>
      </c>
      <c r="I13" s="8">
        <v>25.2</v>
      </c>
      <c r="J13" s="8">
        <v>309.32873999999998</v>
      </c>
      <c r="K13" s="8">
        <v>79.891535204200608</v>
      </c>
      <c r="L13" s="8" t="s">
        <v>22</v>
      </c>
      <c r="M13" s="8">
        <v>1.0899495849600001</v>
      </c>
      <c r="N13" s="8">
        <v>24.509544921875001</v>
      </c>
      <c r="O13" s="8">
        <f>Table1[[#This Row],[R1 Length (km)]]+Table1[[#This Row],[T1 Length (km)]]</f>
        <v>25.599494506835001</v>
      </c>
      <c r="P13" s="7">
        <v>230</v>
      </c>
      <c r="Q13" s="8">
        <f>(Table1[[#This Row],[Linear Features (km)]]*0.4)*100</f>
        <v>1023.9797802734001</v>
      </c>
      <c r="R13" s="9">
        <f>((PI()*(45^2))*Table1[[#This Row],[Number of Turbines - WIND]])/10000</f>
        <v>28.627763055836986</v>
      </c>
      <c r="S13" s="10">
        <f>Table1[[#This Row],[ATG (ha)]]/Table1[[#This Row],[Linear Area (ha)]]</f>
        <v>2.7957351900243031E-2</v>
      </c>
      <c r="T13" s="7" t="s">
        <v>115</v>
      </c>
      <c r="U13" s="7">
        <v>45</v>
      </c>
      <c r="V13" s="9" t="s">
        <v>22</v>
      </c>
      <c r="W13" s="9" t="s">
        <v>22</v>
      </c>
      <c r="X13" s="13">
        <v>779.65905604511499</v>
      </c>
      <c r="Y13" s="12">
        <f>Table1[[#This Row],[Raw Terrestrial Score]]/Table1[[#This Row],[Summed Raw Scores]]</f>
        <v>0.49414441921217217</v>
      </c>
      <c r="Z13" s="13">
        <v>798.13687917590096</v>
      </c>
      <c r="AA13" s="12">
        <f>Table1[[#This Row],[Raw Freshwater Score]]/Table1[[#This Row],[Summed Raw Scores]]</f>
        <v>0.50585558078782777</v>
      </c>
      <c r="AB13" s="12">
        <f>Table1[[#This Row],[Raw Terrestrial Score]]+Table1[[#This Row],[Raw Freshwater Score]]</f>
        <v>1577.795935221016</v>
      </c>
      <c r="AC13" s="14">
        <f>Table1[[#This Row],[Terrestrial % of Summed Score]]*Table1[[#This Row],[Scaled Summed Score]]</f>
        <v>0.12159325326944539</v>
      </c>
      <c r="AD13" s="14">
        <f>Table1[[#This Row],[Freshwater % of Summed Score]]*Table1[[#This Row],[Scaled Summed Score]]</f>
        <v>0.12447499832247748</v>
      </c>
      <c r="AE13" s="14">
        <f>Table1[[#This Row],[Summed Raw Scores]]/MAX(Table1[Summed Raw Scores])</f>
        <v>0.24606825159192289</v>
      </c>
      <c r="AF13" s="9"/>
    </row>
    <row r="14" spans="1:32" x14ac:dyDescent="0.3">
      <c r="A14" s="7" t="s">
        <v>124</v>
      </c>
      <c r="B14" s="7" t="s">
        <v>114</v>
      </c>
      <c r="C14" s="7" t="s">
        <v>30</v>
      </c>
      <c r="D14" s="7" t="s">
        <v>250</v>
      </c>
      <c r="E14" s="8">
        <v>54.531500000000001</v>
      </c>
      <c r="F14" s="8">
        <v>-127.35899999999999</v>
      </c>
      <c r="G14" s="8">
        <v>105</v>
      </c>
      <c r="H14" s="7" t="s">
        <v>22</v>
      </c>
      <c r="I14" s="8">
        <v>25.2</v>
      </c>
      <c r="J14" s="8">
        <v>323.21771999999999</v>
      </c>
      <c r="K14" s="8">
        <v>76.87076421151724</v>
      </c>
      <c r="L14" s="8" t="s">
        <v>22</v>
      </c>
      <c r="M14" s="8">
        <v>1.80710681152</v>
      </c>
      <c r="N14" s="8">
        <v>27.706601562500001</v>
      </c>
      <c r="O14" s="8">
        <f>Table1[[#This Row],[R1 Length (km)]]+Table1[[#This Row],[T1 Length (km)]]</f>
        <v>29.513708374020002</v>
      </c>
      <c r="P14" s="7">
        <v>130</v>
      </c>
      <c r="Q14" s="8">
        <f>(Table1[[#This Row],[Linear Features (km)]]*0.4)*100</f>
        <v>1180.5483349608003</v>
      </c>
      <c r="R14" s="9">
        <f>((PI()*(45^2))*Table1[[#This Row],[Number of Turbines - WIND]])/10000</f>
        <v>28.627763055836986</v>
      </c>
      <c r="S14" s="10">
        <f>Table1[[#This Row],[ATG (ha)]]/Table1[[#This Row],[Linear Area (ha)]]</f>
        <v>2.4249547611100195E-2</v>
      </c>
      <c r="T14" s="7" t="s">
        <v>115</v>
      </c>
      <c r="U14" s="7">
        <v>45</v>
      </c>
      <c r="V14" s="9" t="s">
        <v>22</v>
      </c>
      <c r="W14" s="9" t="s">
        <v>22</v>
      </c>
      <c r="X14" s="13">
        <v>1051.7610617876101</v>
      </c>
      <c r="Y14" s="12">
        <f>Table1[[#This Row],[Raw Terrestrial Score]]/Table1[[#This Row],[Summed Raw Scores]]</f>
        <v>0.53907355946686164</v>
      </c>
      <c r="Z14" s="13">
        <v>899.29189437627804</v>
      </c>
      <c r="AA14" s="12">
        <f>Table1[[#This Row],[Raw Freshwater Score]]/Table1[[#This Row],[Summed Raw Scores]]</f>
        <v>0.46092644053313825</v>
      </c>
      <c r="AB14" s="12">
        <f>Table1[[#This Row],[Raw Terrestrial Score]]+Table1[[#This Row],[Raw Freshwater Score]]</f>
        <v>1951.0529561638882</v>
      </c>
      <c r="AC14" s="14">
        <f>Table1[[#This Row],[Terrestrial % of Summed Score]]*Table1[[#This Row],[Scaled Summed Score]]</f>
        <v>0.16402945386615442</v>
      </c>
      <c r="AD14" s="14">
        <f>Table1[[#This Row],[Freshwater % of Summed Score]]*Table1[[#This Row],[Scaled Summed Score]]</f>
        <v>0.14025082659942414</v>
      </c>
      <c r="AE14" s="14">
        <f>Table1[[#This Row],[Summed Raw Scores]]/MAX(Table1[Summed Raw Scores])</f>
        <v>0.30428028046557859</v>
      </c>
      <c r="AF14" s="9"/>
    </row>
    <row r="15" spans="1:32" x14ac:dyDescent="0.3">
      <c r="A15" s="7" t="s">
        <v>125</v>
      </c>
      <c r="B15" s="7" t="s">
        <v>114</v>
      </c>
      <c r="C15" s="7" t="s">
        <v>30</v>
      </c>
      <c r="D15" s="7" t="s">
        <v>250</v>
      </c>
      <c r="E15" s="8">
        <v>54.953699999999998</v>
      </c>
      <c r="F15" s="8">
        <v>-125.59099999999999</v>
      </c>
      <c r="G15" s="8">
        <v>220</v>
      </c>
      <c r="H15" s="7" t="s">
        <v>22</v>
      </c>
      <c r="I15" s="8">
        <v>52.8</v>
      </c>
      <c r="J15" s="8">
        <v>648.11735999999996</v>
      </c>
      <c r="K15" s="8">
        <v>83.829652025682037</v>
      </c>
      <c r="L15" s="8" t="s">
        <v>22</v>
      </c>
      <c r="M15" s="8">
        <v>0.241421356201</v>
      </c>
      <c r="N15" s="8">
        <v>32.540412109374998</v>
      </c>
      <c r="O15" s="8">
        <f>Table1[[#This Row],[R1 Length (km)]]+Table1[[#This Row],[T1 Length (km)]]</f>
        <v>32.781833465576</v>
      </c>
      <c r="P15" s="7">
        <v>130</v>
      </c>
      <c r="Q15" s="8">
        <f>(Table1[[#This Row],[Linear Features (km)]]*0.4)*100</f>
        <v>1311.27333862304</v>
      </c>
      <c r="R15" s="9">
        <f>((PI()*(45^2))*Table1[[#This Row],[Number of Turbines - WIND]])/10000</f>
        <v>60.43638867343364</v>
      </c>
      <c r="S15" s="10">
        <f>Table1[[#This Row],[ATG (ha)]]/Table1[[#This Row],[Linear Area (ha)]]</f>
        <v>4.6089847854984621E-2</v>
      </c>
      <c r="T15" s="7" t="s">
        <v>115</v>
      </c>
      <c r="U15" s="7">
        <v>95</v>
      </c>
      <c r="V15" s="9" t="s">
        <v>22</v>
      </c>
      <c r="W15" s="9" t="s">
        <v>22</v>
      </c>
      <c r="X15" s="13">
        <v>607.86907431855798</v>
      </c>
      <c r="Y15" s="12">
        <f>Table1[[#This Row],[Raw Terrestrial Score]]/Table1[[#This Row],[Summed Raw Scores]]</f>
        <v>0.29356270099010134</v>
      </c>
      <c r="Z15" s="13">
        <v>1462.7927375137799</v>
      </c>
      <c r="AA15" s="12">
        <f>Table1[[#This Row],[Raw Freshwater Score]]/Table1[[#This Row],[Summed Raw Scores]]</f>
        <v>0.70643729900989882</v>
      </c>
      <c r="AB15" s="12">
        <f>Table1[[#This Row],[Raw Terrestrial Score]]+Table1[[#This Row],[Raw Freshwater Score]]</f>
        <v>2070.6618118323377</v>
      </c>
      <c r="AC15" s="14">
        <f>Table1[[#This Row],[Terrestrial % of Summed Score]]*Table1[[#This Row],[Scaled Summed Score]]</f>
        <v>9.4801410610438425E-2</v>
      </c>
      <c r="AD15" s="14">
        <f>Table1[[#This Row],[Freshwater % of Summed Score]]*Table1[[#This Row],[Scaled Summed Score]]</f>
        <v>0.2281327029220401</v>
      </c>
      <c r="AE15" s="14">
        <f>Table1[[#This Row],[Summed Raw Scores]]/MAX(Table1[Summed Raw Scores])</f>
        <v>0.32293411353247847</v>
      </c>
      <c r="AF15" s="9"/>
    </row>
    <row r="16" spans="1:32" x14ac:dyDescent="0.3">
      <c r="A16" s="7" t="s">
        <v>126</v>
      </c>
      <c r="B16" s="7" t="s">
        <v>114</v>
      </c>
      <c r="C16" s="7" t="s">
        <v>30</v>
      </c>
      <c r="D16" s="7" t="s">
        <v>250</v>
      </c>
      <c r="E16" s="8">
        <v>54.610999999999997</v>
      </c>
      <c r="F16" s="8">
        <v>-126.136</v>
      </c>
      <c r="G16" s="8">
        <v>260</v>
      </c>
      <c r="H16" s="7" t="s">
        <v>22</v>
      </c>
      <c r="I16" s="8">
        <v>62.4</v>
      </c>
      <c r="J16" s="8">
        <v>765.95687999999996</v>
      </c>
      <c r="K16" s="8">
        <v>74.242169125861622</v>
      </c>
      <c r="L16" s="8" t="s">
        <v>22</v>
      </c>
      <c r="M16" s="8">
        <v>3.5213208007799999</v>
      </c>
      <c r="N16" s="8">
        <v>98.315343749999997</v>
      </c>
      <c r="O16" s="8">
        <f>Table1[[#This Row],[R1 Length (km)]]+Table1[[#This Row],[T1 Length (km)]]</f>
        <v>101.83666455078</v>
      </c>
      <c r="P16" s="7">
        <v>230</v>
      </c>
      <c r="Q16" s="8">
        <f>(Table1[[#This Row],[Linear Features (km)]]*0.4)*100</f>
        <v>4073.4665820312002</v>
      </c>
      <c r="R16" s="9">
        <f>((PI()*(45^2))*Table1[[#This Row],[Number of Turbines - WIND]])/10000</f>
        <v>71.887493895768429</v>
      </c>
      <c r="S16" s="10">
        <f>Table1[[#This Row],[ATG (ha)]]/Table1[[#This Row],[Linear Area (ha)]]</f>
        <v>1.7647743622809426E-2</v>
      </c>
      <c r="T16" s="7" t="s">
        <v>115</v>
      </c>
      <c r="U16" s="7">
        <v>113</v>
      </c>
      <c r="V16" s="9" t="s">
        <v>22</v>
      </c>
      <c r="W16" s="9" t="s">
        <v>22</v>
      </c>
      <c r="X16" s="13">
        <v>246.78558036312501</v>
      </c>
      <c r="Y16" s="12">
        <f>Table1[[#This Row],[Raw Terrestrial Score]]/Table1[[#This Row],[Summed Raw Scores]]</f>
        <v>0.22020420984358419</v>
      </c>
      <c r="Z16" s="13">
        <v>873.92678266763699</v>
      </c>
      <c r="AA16" s="12">
        <f>Table1[[#This Row],[Raw Freshwater Score]]/Table1[[#This Row],[Summed Raw Scores]]</f>
        <v>0.77979579015641587</v>
      </c>
      <c r="AB16" s="12">
        <f>Table1[[#This Row],[Raw Terrestrial Score]]+Table1[[#This Row],[Raw Freshwater Score]]</f>
        <v>1120.7123630307619</v>
      </c>
      <c r="AC16" s="14">
        <f>Table1[[#This Row],[Terrestrial % of Summed Score]]*Table1[[#This Row],[Scaled Summed Score]]</f>
        <v>3.8487927952194717E-2</v>
      </c>
      <c r="AD16" s="14">
        <f>Table1[[#This Row],[Freshwater % of Summed Score]]*Table1[[#This Row],[Scaled Summed Score]]</f>
        <v>0.13629496098318725</v>
      </c>
      <c r="AE16" s="14">
        <f>Table1[[#This Row],[Summed Raw Scores]]/MAX(Table1[Summed Raw Scores])</f>
        <v>0.17478288893538196</v>
      </c>
      <c r="AF16" s="9"/>
    </row>
    <row r="17" spans="1:32" x14ac:dyDescent="0.3">
      <c r="A17" s="7" t="s">
        <v>127</v>
      </c>
      <c r="B17" s="7" t="s">
        <v>114</v>
      </c>
      <c r="C17" s="7" t="s">
        <v>30</v>
      </c>
      <c r="D17" s="7" t="s">
        <v>250</v>
      </c>
      <c r="E17" s="8">
        <v>55.331899999999997</v>
      </c>
      <c r="F17" s="8">
        <v>-126.911</v>
      </c>
      <c r="G17" s="8">
        <v>105</v>
      </c>
      <c r="H17" s="7" t="s">
        <v>22</v>
      </c>
      <c r="I17" s="8">
        <v>25.2</v>
      </c>
      <c r="J17" s="8">
        <v>309.32873999999998</v>
      </c>
      <c r="K17" s="8">
        <v>84.230430873324536</v>
      </c>
      <c r="L17" s="8" t="s">
        <v>22</v>
      </c>
      <c r="M17" s="8">
        <v>14.226689453100001</v>
      </c>
      <c r="N17" s="8">
        <v>45.149242187500001</v>
      </c>
      <c r="O17" s="8">
        <f>Table1[[#This Row],[R1 Length (km)]]+Table1[[#This Row],[T1 Length (km)]]</f>
        <v>59.375931640600001</v>
      </c>
      <c r="P17" s="7">
        <v>230</v>
      </c>
      <c r="Q17" s="8">
        <f>(Table1[[#This Row],[Linear Features (km)]]*0.4)*100</f>
        <v>2375.0372656240002</v>
      </c>
      <c r="R17" s="9">
        <f>((PI()*(45^2))*Table1[[#This Row],[Number of Turbines - WIND]])/10000</f>
        <v>28.627763055836986</v>
      </c>
      <c r="S17" s="10">
        <f>Table1[[#This Row],[ATG (ha)]]/Table1[[#This Row],[Linear Area (ha)]]</f>
        <v>1.2053605840292166E-2</v>
      </c>
      <c r="T17" s="7" t="s">
        <v>115</v>
      </c>
      <c r="U17" s="7">
        <v>45</v>
      </c>
      <c r="V17" s="9" t="s">
        <v>22</v>
      </c>
      <c r="W17" s="9" t="s">
        <v>22</v>
      </c>
      <c r="X17" s="13">
        <v>544.76082019507896</v>
      </c>
      <c r="Y17" s="12">
        <f>Table1[[#This Row],[Raw Terrestrial Score]]/Table1[[#This Row],[Summed Raw Scores]]</f>
        <v>0.39509721167099698</v>
      </c>
      <c r="Z17" s="13">
        <v>834.041166007519</v>
      </c>
      <c r="AA17" s="12">
        <f>Table1[[#This Row],[Raw Freshwater Score]]/Table1[[#This Row],[Summed Raw Scores]]</f>
        <v>0.60490278832900291</v>
      </c>
      <c r="AB17" s="12">
        <f>Table1[[#This Row],[Raw Terrestrial Score]]+Table1[[#This Row],[Raw Freshwater Score]]</f>
        <v>1378.8019862025981</v>
      </c>
      <c r="AC17" s="14">
        <f>Table1[[#This Row],[Terrestrial % of Summed Score]]*Table1[[#This Row],[Scaled Summed Score]]</f>
        <v>8.4959239385039756E-2</v>
      </c>
      <c r="AD17" s="14">
        <f>Table1[[#This Row],[Freshwater % of Summed Score]]*Table1[[#This Row],[Scaled Summed Score]]</f>
        <v>0.13007452161195382</v>
      </c>
      <c r="AE17" s="14">
        <f>Table1[[#This Row],[Summed Raw Scores]]/MAX(Table1[Summed Raw Scores])</f>
        <v>0.21503376099699359</v>
      </c>
      <c r="AF17" s="9"/>
    </row>
    <row r="18" spans="1:32" x14ac:dyDescent="0.3">
      <c r="A18" s="7" t="s">
        <v>128</v>
      </c>
      <c r="B18" s="7" t="s">
        <v>114</v>
      </c>
      <c r="C18" s="7" t="s">
        <v>59</v>
      </c>
      <c r="D18" s="7"/>
      <c r="E18" s="8">
        <v>51.829300000000003</v>
      </c>
      <c r="F18" s="8">
        <v>-124.224</v>
      </c>
      <c r="G18" s="8">
        <v>130</v>
      </c>
      <c r="H18" s="7" t="s">
        <v>22</v>
      </c>
      <c r="I18" s="8">
        <v>31.2</v>
      </c>
      <c r="J18" s="8">
        <v>342.32327999999995</v>
      </c>
      <c r="K18" s="8">
        <v>117.50848183458334</v>
      </c>
      <c r="L18" s="8" t="s">
        <v>22</v>
      </c>
      <c r="M18" s="8">
        <v>5.2455844726600001</v>
      </c>
      <c r="N18" s="8">
        <v>48.727921875</v>
      </c>
      <c r="O18" s="8">
        <f>Table1[[#This Row],[R1 Length (km)]]+Table1[[#This Row],[T1 Length (km)]]</f>
        <v>53.973506347659999</v>
      </c>
      <c r="P18" s="7">
        <v>130</v>
      </c>
      <c r="Q18" s="8">
        <f>(Table1[[#This Row],[Linear Features (km)]]*0.4)*100</f>
        <v>2158.9402539063999</v>
      </c>
      <c r="R18" s="9">
        <f>((PI()*(45^2))*Table1[[#This Row],[Number of Turbines - WIND]])/10000</f>
        <v>36.261833204060189</v>
      </c>
      <c r="S18" s="10">
        <f>Table1[[#This Row],[ATG (ha)]]/Table1[[#This Row],[Linear Area (ha)]]</f>
        <v>1.679612631171604E-2</v>
      </c>
      <c r="T18" s="7" t="s">
        <v>115</v>
      </c>
      <c r="U18" s="7">
        <v>57</v>
      </c>
      <c r="V18" s="9" t="s">
        <v>22</v>
      </c>
      <c r="W18" s="9" t="s">
        <v>22</v>
      </c>
      <c r="X18" s="13">
        <v>2144.6789098680001</v>
      </c>
      <c r="Y18" s="12">
        <f>Table1[[#This Row],[Raw Terrestrial Score]]/Table1[[#This Row],[Summed Raw Scores]]</f>
        <v>0.56888958687244184</v>
      </c>
      <c r="Z18" s="13">
        <v>1625.2598609551801</v>
      </c>
      <c r="AA18" s="12">
        <f>Table1[[#This Row],[Raw Freshwater Score]]/Table1[[#This Row],[Summed Raw Scores]]</f>
        <v>0.43111041312755816</v>
      </c>
      <c r="AB18" s="12">
        <f>Table1[[#This Row],[Raw Terrestrial Score]]+Table1[[#This Row],[Raw Freshwater Score]]</f>
        <v>3769.9387708231802</v>
      </c>
      <c r="AC18" s="14">
        <f>Table1[[#This Row],[Terrestrial % of Summed Score]]*Table1[[#This Row],[Scaled Summed Score]]</f>
        <v>0.33447759485029044</v>
      </c>
      <c r="AD18" s="14">
        <f>Table1[[#This Row],[Freshwater % of Summed Score]]*Table1[[#This Row],[Scaled Summed Score]]</f>
        <v>0.2534705809796321</v>
      </c>
      <c r="AE18" s="14">
        <f>Table1[[#This Row],[Summed Raw Scores]]/MAX(Table1[Summed Raw Scores])</f>
        <v>0.58794817582992254</v>
      </c>
      <c r="AF18" s="9"/>
    </row>
    <row r="19" spans="1:32" x14ac:dyDescent="0.3">
      <c r="A19" s="7" t="s">
        <v>129</v>
      </c>
      <c r="B19" s="7" t="s">
        <v>114</v>
      </c>
      <c r="C19" s="7" t="s">
        <v>59</v>
      </c>
      <c r="D19" s="7"/>
      <c r="E19" s="8">
        <v>51.5627</v>
      </c>
      <c r="F19" s="8">
        <v>-123.431</v>
      </c>
      <c r="G19" s="8">
        <v>160</v>
      </c>
      <c r="H19" s="7" t="s">
        <v>22</v>
      </c>
      <c r="I19" s="8">
        <v>38.4</v>
      </c>
      <c r="J19" s="8">
        <v>471.35807999999997</v>
      </c>
      <c r="K19" s="8">
        <v>92.683466422761668</v>
      </c>
      <c r="L19" s="8" t="s">
        <v>22</v>
      </c>
      <c r="M19" s="8">
        <v>3.57989916992</v>
      </c>
      <c r="N19" s="8">
        <v>159.10723437499999</v>
      </c>
      <c r="O19" s="8">
        <f>Table1[[#This Row],[R1 Length (km)]]+Table1[[#This Row],[T1 Length (km)]]</f>
        <v>162.68713354491999</v>
      </c>
      <c r="P19" s="7">
        <v>230</v>
      </c>
      <c r="Q19" s="8">
        <f>(Table1[[#This Row],[Linear Features (km)]]*0.4)*100</f>
        <v>6507.4853417967997</v>
      </c>
      <c r="R19" s="9">
        <f>((PI()*(45^2))*Table1[[#This Row],[Number of Turbines - WIND]])/10000</f>
        <v>43.895903352283383</v>
      </c>
      <c r="S19" s="10">
        <f>Table1[[#This Row],[ATG (ha)]]/Table1[[#This Row],[Linear Area (ha)]]</f>
        <v>6.7454479029472793E-3</v>
      </c>
      <c r="T19" s="7" t="s">
        <v>115</v>
      </c>
      <c r="U19" s="7">
        <v>69</v>
      </c>
      <c r="V19" s="9" t="s">
        <v>22</v>
      </c>
      <c r="W19" s="9" t="s">
        <v>22</v>
      </c>
      <c r="X19" s="13">
        <v>1293.73665517569</v>
      </c>
      <c r="Y19" s="12">
        <f>Table1[[#This Row],[Raw Terrestrial Score]]/Table1[[#This Row],[Summed Raw Scores]]</f>
        <v>0.58451181513590356</v>
      </c>
      <c r="Z19" s="13">
        <v>919.62605482339904</v>
      </c>
      <c r="AA19" s="12">
        <f>Table1[[#This Row],[Raw Freshwater Score]]/Table1[[#This Row],[Summed Raw Scores]]</f>
        <v>0.41548818486409644</v>
      </c>
      <c r="AB19" s="12">
        <f>Table1[[#This Row],[Raw Terrestrial Score]]+Table1[[#This Row],[Raw Freshwater Score]]</f>
        <v>2213.362709999089</v>
      </c>
      <c r="AC19" s="14">
        <f>Table1[[#This Row],[Terrestrial % of Summed Score]]*Table1[[#This Row],[Scaled Summed Score]]</f>
        <v>0.20176723089026766</v>
      </c>
      <c r="AD19" s="14">
        <f>Table1[[#This Row],[Freshwater % of Summed Score]]*Table1[[#This Row],[Scaled Summed Score]]</f>
        <v>0.14342208037002774</v>
      </c>
      <c r="AE19" s="14">
        <f>Table1[[#This Row],[Summed Raw Scores]]/MAX(Table1[Summed Raw Scores])</f>
        <v>0.3451893112602954</v>
      </c>
      <c r="AF19" s="9"/>
    </row>
    <row r="20" spans="1:32" x14ac:dyDescent="0.3">
      <c r="A20" s="7" t="s">
        <v>130</v>
      </c>
      <c r="B20" s="7" t="s">
        <v>114</v>
      </c>
      <c r="C20" s="7" t="s">
        <v>25</v>
      </c>
      <c r="D20" s="7"/>
      <c r="E20" s="8">
        <v>51.816400000000002</v>
      </c>
      <c r="F20" s="8">
        <v>-120.271</v>
      </c>
      <c r="G20" s="8">
        <v>165</v>
      </c>
      <c r="H20" s="7" t="s">
        <v>22</v>
      </c>
      <c r="I20" s="8">
        <v>39.6</v>
      </c>
      <c r="J20" s="8">
        <v>414.82979999999998</v>
      </c>
      <c r="K20" s="8">
        <v>98.213081982336419</v>
      </c>
      <c r="L20" s="8" t="s">
        <v>22</v>
      </c>
      <c r="M20" s="8">
        <v>2.1313708496099997</v>
      </c>
      <c r="N20" s="8">
        <v>121.614546875</v>
      </c>
      <c r="O20" s="8">
        <f>Table1[[#This Row],[R1 Length (km)]]+Table1[[#This Row],[T1 Length (km)]]</f>
        <v>123.74591772461</v>
      </c>
      <c r="P20" s="7">
        <v>230</v>
      </c>
      <c r="Q20" s="8">
        <f>(Table1[[#This Row],[Linear Features (km)]]*0.4)*100</f>
        <v>4949.8367089844005</v>
      </c>
      <c r="R20" s="9">
        <f>((PI()*(45^2))*Table1[[#This Row],[Number of Turbines - WIND]])/10000</f>
        <v>45.168248376987243</v>
      </c>
      <c r="S20" s="10">
        <f>Table1[[#This Row],[ATG (ha)]]/Table1[[#This Row],[Linear Area (ha)]]</f>
        <v>9.1251996848709764E-3</v>
      </c>
      <c r="T20" s="7" t="s">
        <v>115</v>
      </c>
      <c r="U20" s="7">
        <f>17+24+30</f>
        <v>71</v>
      </c>
      <c r="V20" s="9" t="s">
        <v>22</v>
      </c>
      <c r="W20" s="9" t="s">
        <v>22</v>
      </c>
      <c r="X20" s="13">
        <v>877.04765225946903</v>
      </c>
      <c r="Y20" s="12">
        <f>Table1[[#This Row],[Raw Terrestrial Score]]/Table1[[#This Row],[Summed Raw Scores]]</f>
        <v>0.50339363999078945</v>
      </c>
      <c r="Z20" s="13">
        <v>865.22237776219799</v>
      </c>
      <c r="AA20" s="12">
        <f>Table1[[#This Row],[Raw Freshwater Score]]/Table1[[#This Row],[Summed Raw Scores]]</f>
        <v>0.49660636000921055</v>
      </c>
      <c r="AB20" s="12">
        <f>Table1[[#This Row],[Raw Terrestrial Score]]+Table1[[#This Row],[Raw Freshwater Score]]</f>
        <v>1742.270030021667</v>
      </c>
      <c r="AC20" s="14">
        <f>Table1[[#This Row],[Terrestrial % of Summed Score]]*Table1[[#This Row],[Scaled Summed Score]]</f>
        <v>0.1367816823054861</v>
      </c>
      <c r="AD20" s="14">
        <f>Table1[[#This Row],[Freshwater % of Summed Score]]*Table1[[#This Row],[Scaled Summed Score]]</f>
        <v>0.13493744848843647</v>
      </c>
      <c r="AE20" s="14">
        <f>Table1[[#This Row],[Summed Raw Scores]]/MAX(Table1[Summed Raw Scores])</f>
        <v>0.27171913079392257</v>
      </c>
      <c r="AF20" s="9"/>
    </row>
    <row r="21" spans="1:32" x14ac:dyDescent="0.3">
      <c r="A21" s="7" t="s">
        <v>416</v>
      </c>
      <c r="B21" s="7" t="s">
        <v>42</v>
      </c>
      <c r="C21" s="7" t="s">
        <v>32</v>
      </c>
      <c r="D21" s="7"/>
      <c r="E21" s="8">
        <v>49.43853</v>
      </c>
      <c r="F21" s="8">
        <v>-122.22681</v>
      </c>
      <c r="G21" s="8">
        <v>1000</v>
      </c>
      <c r="H21" s="7" t="s">
        <v>22</v>
      </c>
      <c r="I21" s="8">
        <v>1000</v>
      </c>
      <c r="J21" s="7" t="s">
        <v>22</v>
      </c>
      <c r="K21" s="7" t="s">
        <v>22</v>
      </c>
      <c r="L21" s="8"/>
      <c r="M21" s="5">
        <v>0</v>
      </c>
      <c r="N21" s="5">
        <v>43.6</v>
      </c>
      <c r="O21" s="8">
        <f>Table1[[#This Row],[R1 Length (km)]]+Table1[[#This Row],[T1 Length (km)]]</f>
        <v>43.6</v>
      </c>
      <c r="P21" s="5">
        <v>500</v>
      </c>
      <c r="Q21" s="8">
        <f>(Table1[[#This Row],[Linear Features (km)]]*0.4)*100</f>
        <v>1744.0000000000002</v>
      </c>
      <c r="R21" s="9">
        <v>25.1</v>
      </c>
      <c r="S21" s="10">
        <f>Table1[[#This Row],[ATG (ha)]]/Table1[[#This Row],[Linear Area (ha)]]</f>
        <v>1.4392201834862384E-2</v>
      </c>
      <c r="T21" s="11" t="s">
        <v>22</v>
      </c>
      <c r="U21" s="11" t="s">
        <v>22</v>
      </c>
      <c r="V21" s="11" t="s">
        <v>22</v>
      </c>
      <c r="W21" s="11" t="s">
        <v>22</v>
      </c>
      <c r="X21" s="13">
        <v>384.21120531018801</v>
      </c>
      <c r="Y21" s="12">
        <f>Table1[[#This Row],[Raw Terrestrial Score]]/Table1[[#This Row],[Summed Raw Scores]]</f>
        <v>0.37317315955169256</v>
      </c>
      <c r="Z21" s="13">
        <v>645.36767911910999</v>
      </c>
      <c r="AA21" s="12">
        <f>Table1[[#This Row],[Raw Freshwater Score]]/Table1[[#This Row],[Summed Raw Scores]]</f>
        <v>0.62682684044830761</v>
      </c>
      <c r="AB21" s="12">
        <f>Table1[[#This Row],[Raw Terrestrial Score]]+Table1[[#This Row],[Raw Freshwater Score]]</f>
        <v>1029.5788844292979</v>
      </c>
      <c r="AC21" s="14">
        <f>Table1[[#This Row],[Terrestrial % of Summed Score]]*Table1[[#This Row],[Scaled Summed Score]]</f>
        <v>5.9920410125444981E-2</v>
      </c>
      <c r="AD21" s="14">
        <f>Table1[[#This Row],[Freshwater % of Summed Score]]*Table1[[#This Row],[Scaled Summed Score]]</f>
        <v>0.10064957887759508</v>
      </c>
      <c r="AE21" s="14">
        <f>Table1[[#This Row],[Summed Raw Scores]]/MAX(Table1[Summed Raw Scores])</f>
        <v>0.16056998900304004</v>
      </c>
      <c r="AF21" s="9"/>
    </row>
    <row r="22" spans="1:32" x14ac:dyDescent="0.3">
      <c r="A22" s="7" t="s">
        <v>41</v>
      </c>
      <c r="B22" s="7" t="s">
        <v>42</v>
      </c>
      <c r="C22" s="7" t="s">
        <v>21</v>
      </c>
      <c r="D22" s="7" t="s">
        <v>250</v>
      </c>
      <c r="E22" s="15">
        <v>49.326725104700003</v>
      </c>
      <c r="F22" s="15">
        <v>-125.058627449</v>
      </c>
      <c r="G22" s="8">
        <v>1000</v>
      </c>
      <c r="H22" s="7" t="s">
        <v>22</v>
      </c>
      <c r="I22" s="9">
        <v>495</v>
      </c>
      <c r="J22" s="7" t="s">
        <v>22</v>
      </c>
      <c r="K22" s="7" t="s">
        <v>22</v>
      </c>
      <c r="L22" s="16">
        <v>181.76816646464647</v>
      </c>
      <c r="M22" s="8">
        <v>4.14558496094</v>
      </c>
      <c r="N22" s="8">
        <v>78.547015625</v>
      </c>
      <c r="O22" s="8">
        <f>Table1[[#This Row],[R1 Length (km)]]+Table1[[#This Row],[T1 Length (km)]]</f>
        <v>82.692600585939999</v>
      </c>
      <c r="P22" s="7">
        <v>230</v>
      </c>
      <c r="Q22" s="8">
        <f>(Table1[[#This Row],[Linear Features (km)]]*0.4)*100</f>
        <v>3307.7040234376</v>
      </c>
      <c r="R22" s="9">
        <v>46.3</v>
      </c>
      <c r="S22" s="10">
        <f>Table1[[#This Row],[ATG (ha)]]/Table1[[#This Row],[Linear Area (ha)]]</f>
        <v>1.3997624839444299E-2</v>
      </c>
      <c r="T22" s="11" t="s">
        <v>22</v>
      </c>
      <c r="U22" s="11" t="s">
        <v>22</v>
      </c>
      <c r="V22" s="9" t="s">
        <v>22</v>
      </c>
      <c r="W22" s="9" t="s">
        <v>22</v>
      </c>
      <c r="X22" s="13">
        <v>222.91556950751701</v>
      </c>
      <c r="Y22" s="12">
        <f>Table1[[#This Row],[Raw Terrestrial Score]]/Table1[[#This Row],[Summed Raw Scores]]</f>
        <v>0.48011039935885341</v>
      </c>
      <c r="Z22" s="13">
        <v>241.38507843762599</v>
      </c>
      <c r="AA22" s="12">
        <f>Table1[[#This Row],[Raw Freshwater Score]]/Table1[[#This Row],[Summed Raw Scores]]</f>
        <v>0.51988960064114664</v>
      </c>
      <c r="AB22" s="12">
        <f>Table1[[#This Row],[Raw Terrestrial Score]]+Table1[[#This Row],[Raw Freshwater Score]]</f>
        <v>464.300647945143</v>
      </c>
      <c r="AC22" s="14">
        <f>Table1[[#This Row],[Terrestrial % of Summed Score]]*Table1[[#This Row],[Scaled Summed Score]]</f>
        <v>3.4765233714237453E-2</v>
      </c>
      <c r="AD22" s="14">
        <f>Table1[[#This Row],[Freshwater % of Summed Score]]*Table1[[#This Row],[Scaled Summed Score]]</f>
        <v>3.7645682109838562E-2</v>
      </c>
      <c r="AE22" s="14">
        <f>Table1[[#This Row],[Summed Raw Scores]]/MAX(Table1[Summed Raw Scores])</f>
        <v>7.2410915824076008E-2</v>
      </c>
      <c r="AF22" s="9"/>
    </row>
    <row r="23" spans="1:32" x14ac:dyDescent="0.3">
      <c r="A23" s="7" t="s">
        <v>23</v>
      </c>
      <c r="B23" s="7" t="s">
        <v>24</v>
      </c>
      <c r="C23" s="7" t="s">
        <v>25</v>
      </c>
      <c r="D23" s="7" t="s">
        <v>250</v>
      </c>
      <c r="E23" s="17">
        <v>52.673324999999998</v>
      </c>
      <c r="F23" s="17">
        <v>-119.05634499999999</v>
      </c>
      <c r="G23" s="8">
        <v>14.3</v>
      </c>
      <c r="H23" s="8">
        <v>52</v>
      </c>
      <c r="I23" s="8" t="s">
        <v>22</v>
      </c>
      <c r="J23" s="18">
        <v>385.16461135371998</v>
      </c>
      <c r="K23" s="16">
        <v>88.585188657271829</v>
      </c>
      <c r="L23" s="8" t="s">
        <v>22</v>
      </c>
      <c r="M23" s="8">
        <v>0</v>
      </c>
      <c r="N23" s="9">
        <v>21.552185546874998</v>
      </c>
      <c r="O23" s="9">
        <f>Table1[[#This Row],[R1 Length (km)]]+Table1[[#This Row],[T1 Length (km)]]</f>
        <v>21.552185546874998</v>
      </c>
      <c r="P23" s="11">
        <v>25</v>
      </c>
      <c r="Q23" s="9">
        <f>(Table1[[#This Row],[Linear Features (km)]]*0.4)*100</f>
        <v>862.08742187500002</v>
      </c>
      <c r="R23" s="9">
        <v>15.6</v>
      </c>
      <c r="S23" s="10">
        <f>Table1[[#This Row],[ATG (ha)]]/Table1[[#This Row],[Linear Area (ha)]]</f>
        <v>1.8095612584244327E-2</v>
      </c>
      <c r="T23" s="11" t="s">
        <v>22</v>
      </c>
      <c r="U23" s="11" t="s">
        <v>22</v>
      </c>
      <c r="V23" s="9" t="s">
        <v>22</v>
      </c>
      <c r="W23" s="9" t="s">
        <v>22</v>
      </c>
      <c r="X23" s="13">
        <v>151.05249215476201</v>
      </c>
      <c r="Y23" s="12">
        <f>Table1[[#This Row],[Raw Terrestrial Score]]/Table1[[#This Row],[Summed Raw Scores]]</f>
        <v>0.95717744812636196</v>
      </c>
      <c r="Z23" s="13">
        <v>6.7578411856666198</v>
      </c>
      <c r="AA23" s="12">
        <f>Table1[[#This Row],[Raw Freshwater Score]]/Table1[[#This Row],[Summed Raw Scores]]</f>
        <v>4.2822551873638065E-2</v>
      </c>
      <c r="AB23" s="12">
        <f>Table1[[#This Row],[Raw Terrestrial Score]]+Table1[[#This Row],[Raw Freshwater Score]]</f>
        <v>157.81033334042863</v>
      </c>
      <c r="AC23" s="14">
        <f>Table1[[#This Row],[Terrestrial % of Summed Score]]*Table1[[#This Row],[Scaled Summed Score]]</f>
        <v>2.3557686905764725E-2</v>
      </c>
      <c r="AD23" s="14">
        <f>Table1[[#This Row],[Freshwater % of Summed Score]]*Table1[[#This Row],[Scaled Summed Score]]</f>
        <v>1.0539323419285753E-3</v>
      </c>
      <c r="AE23" s="14">
        <f>Table1[[#This Row],[Summed Raw Scores]]/MAX(Table1[Summed Raw Scores])</f>
        <v>2.4611619247693301E-2</v>
      </c>
      <c r="AF23" s="9"/>
    </row>
    <row r="24" spans="1:32" x14ac:dyDescent="0.3">
      <c r="A24" s="7" t="s">
        <v>99</v>
      </c>
      <c r="B24" s="7" t="s">
        <v>97</v>
      </c>
      <c r="C24" s="7" t="s">
        <v>21</v>
      </c>
      <c r="D24" s="7" t="s">
        <v>250</v>
      </c>
      <c r="E24" s="17">
        <v>48.88</v>
      </c>
      <c r="F24" s="17">
        <v>-123.8</v>
      </c>
      <c r="G24" s="8">
        <v>40.1</v>
      </c>
      <c r="H24" s="8">
        <v>40</v>
      </c>
      <c r="I24" s="8">
        <v>21</v>
      </c>
      <c r="J24" s="16">
        <v>113.7</v>
      </c>
      <c r="K24" s="16">
        <v>91.427448071216631</v>
      </c>
      <c r="L24" s="8" t="s">
        <v>22</v>
      </c>
      <c r="M24" s="8">
        <v>0.3</v>
      </c>
      <c r="N24" s="8">
        <v>8</v>
      </c>
      <c r="O24" s="8">
        <f>Table1[[#This Row],[R1 Length (km)]]+Table1[[#This Row],[T1 Length (km)]]</f>
        <v>8.3000000000000007</v>
      </c>
      <c r="P24" s="7">
        <v>69</v>
      </c>
      <c r="Q24" s="8">
        <f>(Table1[[#This Row],[Linear Features (km)]]*0.4)*100</f>
        <v>332</v>
      </c>
      <c r="R24" s="9">
        <v>7.99</v>
      </c>
      <c r="S24" s="10">
        <f>Table1[[#This Row],[ATG (ha)]]/Table1[[#This Row],[Linear Area (ha)]]</f>
        <v>2.4066265060240965E-2</v>
      </c>
      <c r="T24" s="11" t="s">
        <v>22</v>
      </c>
      <c r="U24" s="11" t="s">
        <v>22</v>
      </c>
      <c r="V24" s="9" t="s">
        <v>22</v>
      </c>
      <c r="W24" s="9" t="s">
        <v>22</v>
      </c>
      <c r="X24" s="13">
        <v>5.3634369373321498</v>
      </c>
      <c r="Y24" s="12">
        <f>Table1[[#This Row],[Raw Terrestrial Score]]/Table1[[#This Row],[Summed Raw Scores]]</f>
        <v>0.20510374691249864</v>
      </c>
      <c r="Z24" s="13">
        <v>20.786436080932599</v>
      </c>
      <c r="AA24" s="12">
        <f>Table1[[#This Row],[Raw Freshwater Score]]/Table1[[#This Row],[Summed Raw Scores]]</f>
        <v>0.79489625308750134</v>
      </c>
      <c r="AB24" s="12">
        <f>Table1[[#This Row],[Raw Terrestrial Score]]+Table1[[#This Row],[Raw Freshwater Score]]</f>
        <v>26.149873018264749</v>
      </c>
      <c r="AC24" s="14">
        <f>Table1[[#This Row],[Terrestrial % of Summed Score]]*Table1[[#This Row],[Scaled Summed Score]]</f>
        <v>8.3646529961936284E-4</v>
      </c>
      <c r="AD24" s="14">
        <f>Table1[[#This Row],[Freshwater % of Summed Score]]*Table1[[#This Row],[Scaled Summed Score]]</f>
        <v>3.241789301824928E-3</v>
      </c>
      <c r="AE24" s="14">
        <f>Table1[[#This Row],[Summed Raw Scores]]/MAX(Table1[Summed Raw Scores])</f>
        <v>4.078254601444291E-3</v>
      </c>
      <c r="AF24" s="9"/>
    </row>
    <row r="25" spans="1:32" x14ac:dyDescent="0.3">
      <c r="A25" s="7" t="s">
        <v>26</v>
      </c>
      <c r="B25" s="7" t="s">
        <v>24</v>
      </c>
      <c r="C25" s="7" t="s">
        <v>27</v>
      </c>
      <c r="D25" s="7" t="s">
        <v>250</v>
      </c>
      <c r="E25" s="8">
        <v>58.721628000000003</v>
      </c>
      <c r="F25" s="8">
        <v>-122.531644</v>
      </c>
      <c r="G25" s="8">
        <v>18.399999999999999</v>
      </c>
      <c r="H25" s="8">
        <v>14</v>
      </c>
      <c r="I25" s="8" t="s">
        <v>22</v>
      </c>
      <c r="J25" s="8">
        <v>104</v>
      </c>
      <c r="K25" s="8">
        <v>187.25</v>
      </c>
      <c r="L25" s="8" t="s">
        <v>22</v>
      </c>
      <c r="M25" s="8">
        <v>0</v>
      </c>
      <c r="N25" s="8">
        <v>338.25099999999998</v>
      </c>
      <c r="O25" s="8">
        <f>Table1[[#This Row],[R1 Length (km)]]+Table1[[#This Row],[T1 Length (km)]]</f>
        <v>338.25099999999998</v>
      </c>
      <c r="P25" s="7">
        <v>230</v>
      </c>
      <c r="Q25" s="8">
        <f>(Table1[[#This Row],[Linear Features (km)]]*0.4)*100</f>
        <v>13530.039999999999</v>
      </c>
      <c r="R25" s="9">
        <v>4.2</v>
      </c>
      <c r="S25" s="10">
        <f>Table1[[#This Row],[ATG (ha)]]/Table1[[#This Row],[Linear Area (ha)]]</f>
        <v>3.1042036830637607E-4</v>
      </c>
      <c r="T25" s="11" t="s">
        <v>22</v>
      </c>
      <c r="U25" s="11" t="s">
        <v>22</v>
      </c>
      <c r="V25" s="9" t="s">
        <v>22</v>
      </c>
      <c r="W25" s="9" t="s">
        <v>22</v>
      </c>
      <c r="X25" s="13">
        <v>1321.6164531279401</v>
      </c>
      <c r="Y25" s="12">
        <f>Table1[[#This Row],[Raw Terrestrial Score]]/Table1[[#This Row],[Summed Raw Scores]]</f>
        <v>0.50605586450017359</v>
      </c>
      <c r="Z25" s="13">
        <v>1289.98543875664</v>
      </c>
      <c r="AA25" s="12">
        <f>Table1[[#This Row],[Raw Freshwater Score]]/Table1[[#This Row],[Summed Raw Scores]]</f>
        <v>0.49394413549982635</v>
      </c>
      <c r="AB25" s="12">
        <f>Table1[[#This Row],[Raw Terrestrial Score]]+Table1[[#This Row],[Raw Freshwater Score]]</f>
        <v>2611.6018918845803</v>
      </c>
      <c r="AC25" s="14">
        <f>Table1[[#This Row],[Terrestrial % of Summed Score]]*Table1[[#This Row],[Scaled Summed Score]]</f>
        <v>0.2061152793189038</v>
      </c>
      <c r="AD25" s="14">
        <f>Table1[[#This Row],[Freshwater % of Summed Score]]*Table1[[#This Row],[Scaled Summed Score]]</f>
        <v>0.20118220259543351</v>
      </c>
      <c r="AE25" s="14">
        <f>Table1[[#This Row],[Summed Raw Scores]]/MAX(Table1[Summed Raw Scores])</f>
        <v>0.40729748191433734</v>
      </c>
      <c r="AF25" s="9"/>
    </row>
    <row r="26" spans="1:32" x14ac:dyDescent="0.3">
      <c r="A26" s="7" t="s">
        <v>415</v>
      </c>
      <c r="B26" s="7" t="s">
        <v>42</v>
      </c>
      <c r="C26" s="7" t="s">
        <v>30</v>
      </c>
      <c r="D26" s="7"/>
      <c r="E26" s="8">
        <v>54.2049083</v>
      </c>
      <c r="F26" s="8">
        <v>-130.168269799999</v>
      </c>
      <c r="G26" s="8">
        <v>500</v>
      </c>
      <c r="H26" s="7" t="s">
        <v>22</v>
      </c>
      <c r="I26" s="8">
        <v>500</v>
      </c>
      <c r="J26" s="7" t="s">
        <v>22</v>
      </c>
      <c r="K26" s="7" t="s">
        <v>22</v>
      </c>
      <c r="L26" s="8"/>
      <c r="M26" s="5">
        <v>1.9</v>
      </c>
      <c r="N26" s="5">
        <v>64.099999999999994</v>
      </c>
      <c r="O26" s="8">
        <f>Table1[[#This Row],[R1 Length (km)]]+Table1[[#This Row],[T1 Length (km)]]</f>
        <v>66</v>
      </c>
      <c r="P26" s="5">
        <v>500</v>
      </c>
      <c r="Q26" s="8">
        <f>(Table1[[#This Row],[Linear Features (km)]]*0.4)*100</f>
        <v>2640</v>
      </c>
      <c r="R26" s="9">
        <v>53.7</v>
      </c>
      <c r="S26" s="10">
        <f>Table1[[#This Row],[ATG (ha)]]/Table1[[#This Row],[Linear Area (ha)]]</f>
        <v>2.0340909090909094E-2</v>
      </c>
      <c r="T26" s="7" t="s">
        <v>22</v>
      </c>
      <c r="U26" s="7" t="s">
        <v>22</v>
      </c>
      <c r="V26" s="7" t="s">
        <v>22</v>
      </c>
      <c r="W26" s="7" t="s">
        <v>22</v>
      </c>
      <c r="X26" s="13">
        <v>832.60694178193796</v>
      </c>
      <c r="Y26" s="12">
        <f>Table1[[#This Row],[Raw Terrestrial Score]]/Table1[[#This Row],[Summed Raw Scores]]</f>
        <v>0.28743416547228878</v>
      </c>
      <c r="Z26" s="13">
        <v>2064.0805150270498</v>
      </c>
      <c r="AA26" s="12">
        <f>Table1[[#This Row],[Raw Freshwater Score]]/Table1[[#This Row],[Summed Raw Scores]]</f>
        <v>0.71256583452771116</v>
      </c>
      <c r="AB26" s="12">
        <f>Table1[[#This Row],[Raw Terrestrial Score]]+Table1[[#This Row],[Raw Freshwater Score]]</f>
        <v>2896.6874568089879</v>
      </c>
      <c r="AC26" s="14">
        <f>Table1[[#This Row],[Terrestrial % of Summed Score]]*Table1[[#This Row],[Scaled Summed Score]]</f>
        <v>0.12985084436719652</v>
      </c>
      <c r="AD26" s="14">
        <f>Table1[[#This Row],[Freshwater % of Summed Score]]*Table1[[#This Row],[Scaled Summed Score]]</f>
        <v>0.32190771451475131</v>
      </c>
      <c r="AE26" s="14">
        <f>Table1[[#This Row],[Summed Raw Scores]]/MAX(Table1[Summed Raw Scores])</f>
        <v>0.45175855888194788</v>
      </c>
      <c r="AF26" s="9"/>
    </row>
    <row r="27" spans="1:32" x14ac:dyDescent="0.3">
      <c r="A27" s="7" t="s">
        <v>100</v>
      </c>
      <c r="B27" s="7" t="s">
        <v>97</v>
      </c>
      <c r="C27" s="7" t="s">
        <v>32</v>
      </c>
      <c r="D27" s="7" t="s">
        <v>250</v>
      </c>
      <c r="E27" s="15">
        <v>50.11</v>
      </c>
      <c r="F27" s="15">
        <v>-123.4</v>
      </c>
      <c r="G27" s="8">
        <v>63.9</v>
      </c>
      <c r="H27" s="8">
        <v>40</v>
      </c>
      <c r="I27" s="8">
        <v>9</v>
      </c>
      <c r="J27" s="16">
        <v>325.89999999999998</v>
      </c>
      <c r="K27" s="16">
        <v>85.147334930927542</v>
      </c>
      <c r="L27" s="8" t="s">
        <v>22</v>
      </c>
      <c r="M27" s="15">
        <v>0</v>
      </c>
      <c r="N27" s="9">
        <v>43.755844122716695</v>
      </c>
      <c r="O27" s="9">
        <f>Table1[[#This Row],[R1 Length (km)]]+Table1[[#This Row],[T1 Length (km)]]</f>
        <v>43.755844122716695</v>
      </c>
      <c r="P27" s="11">
        <v>130</v>
      </c>
      <c r="Q27" s="9">
        <f>(Table1[[#This Row],[Linear Features (km)]]*0.4)*100</f>
        <v>1750.233764908668</v>
      </c>
      <c r="R27" s="9">
        <v>43.76</v>
      </c>
      <c r="S27" s="10">
        <f>Table1[[#This Row],[ATG (ha)]]/Table1[[#This Row],[Linear Area (ha)]]</f>
        <v>2.5002374469837468E-2</v>
      </c>
      <c r="T27" s="11" t="s">
        <v>22</v>
      </c>
      <c r="U27" s="11" t="s">
        <v>22</v>
      </c>
      <c r="V27" s="9" t="s">
        <v>22</v>
      </c>
      <c r="W27" s="9" t="s">
        <v>22</v>
      </c>
      <c r="X27" s="13">
        <v>323.06478738784801</v>
      </c>
      <c r="Y27" s="12">
        <f>Table1[[#This Row],[Raw Terrestrial Score]]/Table1[[#This Row],[Summed Raw Scores]]</f>
        <v>0.28020327169467207</v>
      </c>
      <c r="Z27" s="13">
        <v>829.90100574493397</v>
      </c>
      <c r="AA27" s="12">
        <f>Table1[[#This Row],[Raw Freshwater Score]]/Table1[[#This Row],[Summed Raw Scores]]</f>
        <v>0.71979672830532793</v>
      </c>
      <c r="AB27" s="12">
        <f>Table1[[#This Row],[Raw Terrestrial Score]]+Table1[[#This Row],[Raw Freshwater Score]]</f>
        <v>1152.965793132782</v>
      </c>
      <c r="AC27" s="14">
        <f>Table1[[#This Row],[Terrestrial % of Summed Score]]*Table1[[#This Row],[Scaled Summed Score]]</f>
        <v>5.0384200902576379E-2</v>
      </c>
      <c r="AD27" s="14">
        <f>Table1[[#This Row],[Freshwater % of Summed Score]]*Table1[[#This Row],[Scaled Summed Score]]</f>
        <v>0.12942883481914183</v>
      </c>
      <c r="AE27" s="14">
        <f>Table1[[#This Row],[Summed Raw Scores]]/MAX(Table1[Summed Raw Scores])</f>
        <v>0.1798130357217182</v>
      </c>
      <c r="AF27" s="9"/>
    </row>
    <row r="28" spans="1:32" x14ac:dyDescent="0.3">
      <c r="A28" s="7" t="s">
        <v>101</v>
      </c>
      <c r="B28" s="7" t="s">
        <v>97</v>
      </c>
      <c r="C28" s="7" t="s">
        <v>32</v>
      </c>
      <c r="D28" s="7" t="s">
        <v>250</v>
      </c>
      <c r="E28" s="15">
        <v>49.95</v>
      </c>
      <c r="F28" s="15">
        <v>-124.23</v>
      </c>
      <c r="G28" s="8">
        <v>40.1</v>
      </c>
      <c r="H28" s="8">
        <v>40</v>
      </c>
      <c r="I28" s="8">
        <v>16</v>
      </c>
      <c r="J28" s="16">
        <v>172.2</v>
      </c>
      <c r="K28" s="16">
        <v>79.419958709065014</v>
      </c>
      <c r="L28" s="8" t="s">
        <v>22</v>
      </c>
      <c r="M28" s="15">
        <v>0</v>
      </c>
      <c r="N28" s="9">
        <v>21.230865786513867</v>
      </c>
      <c r="O28" s="9">
        <f>Table1[[#This Row],[R1 Length (km)]]+Table1[[#This Row],[T1 Length (km)]]</f>
        <v>21.230865786513867</v>
      </c>
      <c r="P28" s="11">
        <v>130</v>
      </c>
      <c r="Q28" s="9">
        <f>(Table1[[#This Row],[Linear Features (km)]]*0.4)*100</f>
        <v>849.23463146055462</v>
      </c>
      <c r="R28" s="9">
        <v>21.23</v>
      </c>
      <c r="S28" s="10">
        <f>Table1[[#This Row],[ATG (ha)]]/Table1[[#This Row],[Linear Area (ha)]]</f>
        <v>2.4998980509647405E-2</v>
      </c>
      <c r="T28" s="11" t="s">
        <v>22</v>
      </c>
      <c r="U28" s="11" t="s">
        <v>22</v>
      </c>
      <c r="V28" s="9" t="s">
        <v>22</v>
      </c>
      <c r="W28" s="9" t="s">
        <v>22</v>
      </c>
      <c r="X28" s="13">
        <v>99.524180293083205</v>
      </c>
      <c r="Y28" s="12">
        <f>Table1[[#This Row],[Raw Terrestrial Score]]/Table1[[#This Row],[Summed Raw Scores]]</f>
        <v>0.3173332811725551</v>
      </c>
      <c r="Z28" s="13">
        <v>214.10248982906299</v>
      </c>
      <c r="AA28" s="12">
        <f>Table1[[#This Row],[Raw Freshwater Score]]/Table1[[#This Row],[Summed Raw Scores]]</f>
        <v>0.6826667188274449</v>
      </c>
      <c r="AB28" s="12">
        <f>Table1[[#This Row],[Raw Terrestrial Score]]+Table1[[#This Row],[Raw Freshwater Score]]</f>
        <v>313.62667012214621</v>
      </c>
      <c r="AC28" s="14">
        <f>Table1[[#This Row],[Terrestrial % of Summed Score]]*Table1[[#This Row],[Scaled Summed Score]]</f>
        <v>1.5521488228709246E-2</v>
      </c>
      <c r="AD28" s="14">
        <f>Table1[[#This Row],[Freshwater % of Summed Score]]*Table1[[#This Row],[Scaled Summed Score]]</f>
        <v>3.3390772632669444E-2</v>
      </c>
      <c r="AE28" s="14">
        <f>Table1[[#This Row],[Summed Raw Scores]]/MAX(Table1[Summed Raw Scores])</f>
        <v>4.891226086137869E-2</v>
      </c>
      <c r="AF28" s="9"/>
    </row>
    <row r="29" spans="1:32" x14ac:dyDescent="0.3">
      <c r="A29" s="7" t="s">
        <v>43</v>
      </c>
      <c r="B29" s="7" t="s">
        <v>42</v>
      </c>
      <c r="C29" s="7" t="s">
        <v>30</v>
      </c>
      <c r="D29" s="7"/>
      <c r="E29" s="8">
        <v>54.033148683900002</v>
      </c>
      <c r="F29" s="8">
        <v>-128.334012847</v>
      </c>
      <c r="G29" s="8">
        <v>1000</v>
      </c>
      <c r="H29" s="8" t="s">
        <v>22</v>
      </c>
      <c r="I29" s="9">
        <v>1000</v>
      </c>
      <c r="J29" s="7" t="s">
        <v>22</v>
      </c>
      <c r="K29" s="7" t="s">
        <v>22</v>
      </c>
      <c r="L29" s="8">
        <v>121.5536031</v>
      </c>
      <c r="M29" s="8">
        <v>4.7698484809838195</v>
      </c>
      <c r="N29" s="8">
        <v>56.137467504308347</v>
      </c>
      <c r="O29" s="8">
        <f>Table1[[#This Row],[R1 Length (km)]]+Table1[[#This Row],[T1 Length (km)]]</f>
        <v>60.907315985292165</v>
      </c>
      <c r="P29" s="7">
        <v>500</v>
      </c>
      <c r="Q29" s="8">
        <f>(Table1[[#This Row],[Linear Features (km)]]*0.4)*100</f>
        <v>2436.2926394116867</v>
      </c>
      <c r="R29" s="9">
        <v>84.8</v>
      </c>
      <c r="S29" s="10">
        <f>Table1[[#This Row],[ATG (ha)]]/Table1[[#This Row],[Linear Area (ha)]]</f>
        <v>3.4806984443575467E-2</v>
      </c>
      <c r="T29" s="11" t="s">
        <v>22</v>
      </c>
      <c r="U29" s="11" t="s">
        <v>22</v>
      </c>
      <c r="V29" s="9" t="s">
        <v>22</v>
      </c>
      <c r="W29" s="9" t="s">
        <v>22</v>
      </c>
      <c r="X29" s="13">
        <v>602.400338590145</v>
      </c>
      <c r="Y29" s="12">
        <f>Table1[[#This Row],[Raw Terrestrial Score]]/Table1[[#This Row],[Summed Raw Scores]]</f>
        <v>0.49476003736717233</v>
      </c>
      <c r="Z29" s="13">
        <v>615.16028290987003</v>
      </c>
      <c r="AA29" s="12">
        <f>Table1[[#This Row],[Raw Freshwater Score]]/Table1[[#This Row],[Summed Raw Scores]]</f>
        <v>0.50523996263282767</v>
      </c>
      <c r="AB29" s="12">
        <f>Table1[[#This Row],[Raw Terrestrial Score]]+Table1[[#This Row],[Raw Freshwater Score]]</f>
        <v>1217.560621500015</v>
      </c>
      <c r="AC29" s="14">
        <f>Table1[[#This Row],[Terrestrial % of Summed Score]]*Table1[[#This Row],[Scaled Summed Score]]</f>
        <v>9.3948523231868517E-2</v>
      </c>
      <c r="AD29" s="14">
        <f>Table1[[#This Row],[Freshwater % of Summed Score]]*Table1[[#This Row],[Scaled Summed Score]]</f>
        <v>9.593852530949791E-2</v>
      </c>
      <c r="AE29" s="14">
        <f>Table1[[#This Row],[Summed Raw Scores]]/MAX(Table1[Summed Raw Scores])</f>
        <v>0.18988704854136643</v>
      </c>
      <c r="AF29" s="9"/>
    </row>
    <row r="30" spans="1:32" x14ac:dyDescent="0.3">
      <c r="A30" s="7" t="s">
        <v>28</v>
      </c>
      <c r="B30" s="7" t="s">
        <v>24</v>
      </c>
      <c r="C30" s="7" t="s">
        <v>27</v>
      </c>
      <c r="D30" s="7" t="s">
        <v>250</v>
      </c>
      <c r="E30" s="8">
        <v>57.498854999999999</v>
      </c>
      <c r="F30" s="8">
        <v>-122.24574699999999</v>
      </c>
      <c r="G30" s="8">
        <v>12.2</v>
      </c>
      <c r="H30" s="8">
        <v>9</v>
      </c>
      <c r="I30" s="8" t="s">
        <v>22</v>
      </c>
      <c r="J30" s="8">
        <v>69</v>
      </c>
      <c r="K30" s="8">
        <v>216.85</v>
      </c>
      <c r="L30" s="8" t="s">
        <v>22</v>
      </c>
      <c r="M30" s="8">
        <v>0</v>
      </c>
      <c r="N30" s="8">
        <v>193.38300000000001</v>
      </c>
      <c r="O30" s="8">
        <f>Table1[[#This Row],[R1 Length (km)]]+Table1[[#This Row],[T1 Length (km)]]</f>
        <v>193.38300000000001</v>
      </c>
      <c r="P30" s="7">
        <v>230</v>
      </c>
      <c r="Q30" s="8">
        <f>(Table1[[#This Row],[Linear Features (km)]]*0.4)*100</f>
        <v>7735.3200000000015</v>
      </c>
      <c r="R30" s="9">
        <v>2.8</v>
      </c>
      <c r="S30" s="10">
        <f>Table1[[#This Row],[ATG (ha)]]/Table1[[#This Row],[Linear Area (ha)]]</f>
        <v>3.619759751374215E-4</v>
      </c>
      <c r="T30" s="11" t="s">
        <v>22</v>
      </c>
      <c r="U30" s="11" t="s">
        <v>22</v>
      </c>
      <c r="V30" s="9" t="s">
        <v>22</v>
      </c>
      <c r="W30" s="9" t="s">
        <v>22</v>
      </c>
      <c r="X30" s="13">
        <v>1184.7967357151199</v>
      </c>
      <c r="Y30" s="12">
        <f>Table1[[#This Row],[Raw Terrestrial Score]]/Table1[[#This Row],[Summed Raw Scores]]</f>
        <v>0.61974264784290489</v>
      </c>
      <c r="Z30" s="13">
        <v>726.95928081683803</v>
      </c>
      <c r="AA30" s="12">
        <f>Table1[[#This Row],[Raw Freshwater Score]]/Table1[[#This Row],[Summed Raw Scores]]</f>
        <v>0.38025735215709511</v>
      </c>
      <c r="AB30" s="12">
        <f>Table1[[#This Row],[Raw Terrestrial Score]]+Table1[[#This Row],[Raw Freshwater Score]]</f>
        <v>1911.7560165319578</v>
      </c>
      <c r="AC30" s="14">
        <f>Table1[[#This Row],[Terrestrial % of Summed Score]]*Table1[[#This Row],[Scaled Summed Score]]</f>
        <v>0.18477729264044424</v>
      </c>
      <c r="AD30" s="14">
        <f>Table1[[#This Row],[Freshwater % of Summed Score]]*Table1[[#This Row],[Scaled Summed Score]]</f>
        <v>0.11337435673141311</v>
      </c>
      <c r="AE30" s="14">
        <f>Table1[[#This Row],[Summed Raw Scores]]/MAX(Table1[Summed Raw Scores])</f>
        <v>0.29815164937185734</v>
      </c>
      <c r="AF30" s="9"/>
    </row>
    <row r="31" spans="1:32" x14ac:dyDescent="0.3">
      <c r="A31" s="7" t="s">
        <v>44</v>
      </c>
      <c r="B31" s="7" t="s">
        <v>42</v>
      </c>
      <c r="C31" s="7" t="s">
        <v>32</v>
      </c>
      <c r="D31" s="7" t="s">
        <v>250</v>
      </c>
      <c r="E31" s="15">
        <v>49.402025060500002</v>
      </c>
      <c r="F31" s="15">
        <v>-122.2587474</v>
      </c>
      <c r="G31" s="8">
        <v>1000</v>
      </c>
      <c r="H31" s="8" t="s">
        <v>22</v>
      </c>
      <c r="I31" s="9">
        <v>495</v>
      </c>
      <c r="J31" s="7" t="s">
        <v>22</v>
      </c>
      <c r="K31" s="7" t="s">
        <v>22</v>
      </c>
      <c r="L31" s="16">
        <v>169.30148060606061</v>
      </c>
      <c r="M31" s="8">
        <v>1.4</v>
      </c>
      <c r="N31" s="8">
        <v>39.6</v>
      </c>
      <c r="O31" s="8">
        <f>Table1[[#This Row],[R1 Length (km)]]+Table1[[#This Row],[T1 Length (km)]]</f>
        <v>41</v>
      </c>
      <c r="P31" s="7">
        <v>500</v>
      </c>
      <c r="Q31" s="8">
        <f>(Table1[[#This Row],[Linear Features (km)]]*0.4)*100</f>
        <v>1640.0000000000002</v>
      </c>
      <c r="R31" s="9">
        <v>42.72</v>
      </c>
      <c r="S31" s="10">
        <f>Table1[[#This Row],[ATG (ha)]]/Table1[[#This Row],[Linear Area (ha)]]</f>
        <v>2.6048780487804873E-2</v>
      </c>
      <c r="T31" s="11" t="s">
        <v>22</v>
      </c>
      <c r="U31" s="11" t="s">
        <v>22</v>
      </c>
      <c r="V31" s="9" t="s">
        <v>22</v>
      </c>
      <c r="W31" s="9" t="s">
        <v>22</v>
      </c>
      <c r="X31" s="13">
        <v>341.67905669380002</v>
      </c>
      <c r="Y31" s="12">
        <f>Table1[[#This Row],[Raw Terrestrial Score]]/Table1[[#This Row],[Summed Raw Scores]]</f>
        <v>0.35835365928914986</v>
      </c>
      <c r="Z31" s="13">
        <v>611.78980803489696</v>
      </c>
      <c r="AA31" s="12">
        <f>Table1[[#This Row],[Raw Freshwater Score]]/Table1[[#This Row],[Summed Raw Scores]]</f>
        <v>0.64164634071085014</v>
      </c>
      <c r="AB31" s="12">
        <f>Table1[[#This Row],[Raw Terrestrial Score]]+Table1[[#This Row],[Raw Freshwater Score]]</f>
        <v>953.46886472869699</v>
      </c>
      <c r="AC31" s="14">
        <f>Table1[[#This Row],[Terrestrial % of Summed Score]]*Table1[[#This Row],[Scaled Summed Score]]</f>
        <v>5.3287225685775097E-2</v>
      </c>
      <c r="AD31" s="14">
        <f>Table1[[#This Row],[Freshwater % of Summed Score]]*Table1[[#This Row],[Scaled Summed Score]]</f>
        <v>9.5412876306984196E-2</v>
      </c>
      <c r="AE31" s="14">
        <f>Table1[[#This Row],[Summed Raw Scores]]/MAX(Table1[Summed Raw Scores])</f>
        <v>0.14870010199275929</v>
      </c>
      <c r="AF31" s="9"/>
    </row>
    <row r="32" spans="1:32" x14ac:dyDescent="0.3">
      <c r="A32" s="7" t="s">
        <v>102</v>
      </c>
      <c r="B32" s="7" t="s">
        <v>97</v>
      </c>
      <c r="C32" s="7" t="s">
        <v>30</v>
      </c>
      <c r="D32" s="7" t="s">
        <v>250</v>
      </c>
      <c r="E32" s="17">
        <v>55.71</v>
      </c>
      <c r="F32" s="17">
        <v>-129.34</v>
      </c>
      <c r="G32" s="8">
        <v>40.1</v>
      </c>
      <c r="H32" s="8">
        <v>40</v>
      </c>
      <c r="I32" s="8">
        <v>3</v>
      </c>
      <c r="J32" s="16">
        <v>132.80000000000001</v>
      </c>
      <c r="K32" s="16">
        <v>116.36779578392621</v>
      </c>
      <c r="L32" s="8" t="s">
        <v>22</v>
      </c>
      <c r="M32" s="8">
        <v>9.1999999999999993</v>
      </c>
      <c r="N32" s="8">
        <v>33.299999999999997</v>
      </c>
      <c r="O32" s="8">
        <f>Table1[[#This Row],[R1 Length (km)]]+Table1[[#This Row],[T1 Length (km)]]</f>
        <v>42.5</v>
      </c>
      <c r="P32" s="7">
        <v>130</v>
      </c>
      <c r="Q32" s="8">
        <f>(Table1[[#This Row],[Linear Features (km)]]*0.4)*100</f>
        <v>1700</v>
      </c>
      <c r="R32" s="9">
        <v>49.02</v>
      </c>
      <c r="S32" s="10">
        <f>Table1[[#This Row],[ATG (ha)]]/Table1[[#This Row],[Linear Area (ha)]]</f>
        <v>2.883529411764706E-2</v>
      </c>
      <c r="T32" s="11" t="s">
        <v>22</v>
      </c>
      <c r="U32" s="11" t="s">
        <v>22</v>
      </c>
      <c r="V32" s="9" t="s">
        <v>22</v>
      </c>
      <c r="W32" s="9" t="s">
        <v>22</v>
      </c>
      <c r="X32" s="13">
        <v>690.42093527317002</v>
      </c>
      <c r="Y32" s="12">
        <f>Table1[[#This Row],[Raw Terrestrial Score]]/Table1[[#This Row],[Summed Raw Scores]]</f>
        <v>0.48680788990655371</v>
      </c>
      <c r="Z32" s="13">
        <v>727.84066152572598</v>
      </c>
      <c r="AA32" s="12">
        <f>Table1[[#This Row],[Raw Freshwater Score]]/Table1[[#This Row],[Summed Raw Scores]]</f>
        <v>0.51319211009344634</v>
      </c>
      <c r="AB32" s="12">
        <f>Table1[[#This Row],[Raw Terrestrial Score]]+Table1[[#This Row],[Raw Freshwater Score]]</f>
        <v>1418.2615967988959</v>
      </c>
      <c r="AC32" s="14">
        <f>Table1[[#This Row],[Terrestrial % of Summed Score]]*Table1[[#This Row],[Scaled Summed Score]]</f>
        <v>0.10767594757514128</v>
      </c>
      <c r="AD32" s="14">
        <f>Table1[[#This Row],[Freshwater % of Summed Score]]*Table1[[#This Row],[Scaled Summed Score]]</f>
        <v>0.11351181418404149</v>
      </c>
      <c r="AE32" s="14">
        <f>Table1[[#This Row],[Summed Raw Scores]]/MAX(Table1[Summed Raw Scores])</f>
        <v>0.22118776175918275</v>
      </c>
      <c r="AF32" s="9"/>
    </row>
    <row r="33" spans="1:32" x14ac:dyDescent="0.3">
      <c r="A33" s="7" t="s">
        <v>236</v>
      </c>
      <c r="B33" s="7" t="s">
        <v>42</v>
      </c>
      <c r="C33" s="7" t="s">
        <v>21</v>
      </c>
      <c r="D33" s="7" t="s">
        <v>250</v>
      </c>
      <c r="E33" s="8">
        <v>49.069879999999898</v>
      </c>
      <c r="F33" s="8">
        <v>-124.41682</v>
      </c>
      <c r="G33" s="8">
        <v>500</v>
      </c>
      <c r="H33" s="8" t="s">
        <v>22</v>
      </c>
      <c r="I33" s="16">
        <v>408</v>
      </c>
      <c r="J33" s="7" t="s">
        <v>22</v>
      </c>
      <c r="K33" s="7" t="s">
        <v>22</v>
      </c>
      <c r="L33" s="16">
        <v>172.06</v>
      </c>
      <c r="M33" s="8">
        <v>20.2</v>
      </c>
      <c r="N33" s="16">
        <v>43.7</v>
      </c>
      <c r="O33" s="16">
        <f>Table1[[#This Row],[R1 Length (km)]]+Table1[[#This Row],[T1 Length (km)]]</f>
        <v>63.900000000000006</v>
      </c>
      <c r="P33" s="19">
        <v>500</v>
      </c>
      <c r="Q33" s="16">
        <f>(Table1[[#This Row],[Linear Features (km)]]*0.4)*100</f>
        <v>2556</v>
      </c>
      <c r="R33" s="9">
        <v>54.03</v>
      </c>
      <c r="S33" s="10">
        <f>Table1[[#This Row],[ATG (ha)]]/Table1[[#This Row],[Linear Area (ha)]]</f>
        <v>2.1138497652582161E-2</v>
      </c>
      <c r="T33" s="19" t="s">
        <v>22</v>
      </c>
      <c r="U33" s="11" t="s">
        <v>22</v>
      </c>
      <c r="V33" s="9" t="s">
        <v>22</v>
      </c>
      <c r="W33" s="9" t="s">
        <v>22</v>
      </c>
      <c r="X33" s="13">
        <v>454.49825243279298</v>
      </c>
      <c r="Y33" s="12">
        <f>Table1[[#This Row],[Raw Terrestrial Score]]/Table1[[#This Row],[Summed Raw Scores]]</f>
        <v>0.39407908595850627</v>
      </c>
      <c r="Z33" s="13">
        <v>698.81911107897804</v>
      </c>
      <c r="AA33" s="12">
        <f>Table1[[#This Row],[Raw Freshwater Score]]/Table1[[#This Row],[Summed Raw Scores]]</f>
        <v>0.60592091404149384</v>
      </c>
      <c r="AB33" s="12">
        <f>Table1[[#This Row],[Raw Terrestrial Score]]+Table1[[#This Row],[Raw Freshwater Score]]</f>
        <v>1153.317363511771</v>
      </c>
      <c r="AC33" s="14">
        <f>Table1[[#This Row],[Terrestrial % of Summed Score]]*Table1[[#This Row],[Scaled Summed Score]]</f>
        <v>7.0882164056314229E-2</v>
      </c>
      <c r="AD33" s="14">
        <f>Table1[[#This Row],[Freshwater % of Summed Score]]*Table1[[#This Row],[Scaled Summed Score]]</f>
        <v>0.1089857015116079</v>
      </c>
      <c r="AE33" s="14">
        <f>Table1[[#This Row],[Summed Raw Scores]]/MAX(Table1[Summed Raw Scores])</f>
        <v>0.17986786556792211</v>
      </c>
      <c r="AF33" s="9"/>
    </row>
    <row r="34" spans="1:32" x14ac:dyDescent="0.3">
      <c r="A34" s="7" t="s">
        <v>29</v>
      </c>
      <c r="B34" s="7" t="s">
        <v>24</v>
      </c>
      <c r="C34" s="7" t="s">
        <v>30</v>
      </c>
      <c r="D34" s="7" t="s">
        <v>250</v>
      </c>
      <c r="E34" s="8">
        <v>54.322493000000001</v>
      </c>
      <c r="F34" s="8">
        <v>-128.539906</v>
      </c>
      <c r="G34" s="8">
        <v>19.600000000000001</v>
      </c>
      <c r="H34" s="8">
        <v>17</v>
      </c>
      <c r="I34" s="8" t="s">
        <v>22</v>
      </c>
      <c r="J34" s="8">
        <v>130</v>
      </c>
      <c r="K34" s="8">
        <v>163.18</v>
      </c>
      <c r="L34" s="8" t="s">
        <v>22</v>
      </c>
      <c r="M34" s="8">
        <f>1145.3743238/1000</f>
        <v>1.1453743238</v>
      </c>
      <c r="N34" s="8">
        <f>18393.3047631/1000</f>
        <v>18.393304763100002</v>
      </c>
      <c r="O34" s="8">
        <f>Table1[[#This Row],[R1 Length (km)]]+Table1[[#This Row],[T1 Length (km)]]</f>
        <v>19.5386790869</v>
      </c>
      <c r="P34" s="7">
        <v>25</v>
      </c>
      <c r="Q34" s="8">
        <f>(Table1[[#This Row],[Linear Features (km)]]*0.4)*100</f>
        <v>781.54716347600004</v>
      </c>
      <c r="R34" s="9">
        <v>5.2</v>
      </c>
      <c r="S34" s="10">
        <f>Table1[[#This Row],[ATG (ha)]]/Table1[[#This Row],[Linear Area (ha)]]</f>
        <v>6.6534692249058149E-3</v>
      </c>
      <c r="T34" s="11" t="s">
        <v>22</v>
      </c>
      <c r="U34" s="11" t="s">
        <v>22</v>
      </c>
      <c r="V34" s="9" t="s">
        <v>22</v>
      </c>
      <c r="W34" s="9" t="s">
        <v>22</v>
      </c>
      <c r="X34" s="13">
        <v>123.058359563351</v>
      </c>
      <c r="Y34" s="12">
        <f>Table1[[#This Row],[Raw Terrestrial Score]]/Table1[[#This Row],[Summed Raw Scores]]</f>
        <v>0.37120366808427774</v>
      </c>
      <c r="Z34" s="13">
        <v>208.453341811895</v>
      </c>
      <c r="AA34" s="12">
        <f>Table1[[#This Row],[Raw Freshwater Score]]/Table1[[#This Row],[Summed Raw Scores]]</f>
        <v>0.62879633191572237</v>
      </c>
      <c r="AB34" s="12">
        <f>Table1[[#This Row],[Raw Terrestrial Score]]+Table1[[#This Row],[Raw Freshwater Score]]</f>
        <v>331.51170137524599</v>
      </c>
      <c r="AC34" s="14">
        <f>Table1[[#This Row],[Terrestrial % of Summed Score]]*Table1[[#This Row],[Scaled Summed Score]]</f>
        <v>1.9191807194814628E-2</v>
      </c>
      <c r="AD34" s="14">
        <f>Table1[[#This Row],[Freshwater % of Summed Score]]*Table1[[#This Row],[Scaled Summed Score]]</f>
        <v>3.2509748702680814E-2</v>
      </c>
      <c r="AE34" s="14">
        <f>Table1[[#This Row],[Summed Raw Scores]]/MAX(Table1[Summed Raw Scores])</f>
        <v>5.1701555897495435E-2</v>
      </c>
      <c r="AF34" s="9"/>
    </row>
    <row r="35" spans="1:32" x14ac:dyDescent="0.3">
      <c r="A35" s="7" t="s">
        <v>45</v>
      </c>
      <c r="B35" s="7" t="s">
        <v>42</v>
      </c>
      <c r="C35" s="7" t="s">
        <v>30</v>
      </c>
      <c r="D35" s="7"/>
      <c r="E35" s="8">
        <v>53.701966269899998</v>
      </c>
      <c r="F35" s="8">
        <v>-128.527487237</v>
      </c>
      <c r="G35" s="8">
        <v>1000</v>
      </c>
      <c r="H35" s="8" t="s">
        <v>22</v>
      </c>
      <c r="I35" s="9">
        <v>1000</v>
      </c>
      <c r="J35" s="7" t="s">
        <v>22</v>
      </c>
      <c r="K35" s="7" t="s">
        <v>22</v>
      </c>
      <c r="L35" s="8">
        <v>126.90449799999999</v>
      </c>
      <c r="M35" s="8">
        <v>4.169848480982953</v>
      </c>
      <c r="N35" s="8">
        <v>88.597770542344747</v>
      </c>
      <c r="O35" s="8">
        <f>Table1[[#This Row],[R1 Length (km)]]+Table1[[#This Row],[T1 Length (km)]]</f>
        <v>92.767619023327697</v>
      </c>
      <c r="P35" s="7">
        <v>500</v>
      </c>
      <c r="Q35" s="8">
        <f>(Table1[[#This Row],[Linear Features (km)]]*0.4)*100</f>
        <v>3710.7047609331084</v>
      </c>
      <c r="R35" s="9">
        <v>87.2</v>
      </c>
      <c r="S35" s="10">
        <f>Table1[[#This Row],[ATG (ha)]]/Table1[[#This Row],[Linear Area (ha)]]</f>
        <v>2.3499579087524158E-2</v>
      </c>
      <c r="T35" s="11" t="s">
        <v>22</v>
      </c>
      <c r="U35" s="11" t="s">
        <v>22</v>
      </c>
      <c r="V35" s="9" t="s">
        <v>22</v>
      </c>
      <c r="W35" s="9" t="s">
        <v>22</v>
      </c>
      <c r="X35" s="13">
        <v>998.64089775085404</v>
      </c>
      <c r="Y35" s="12">
        <f>Table1[[#This Row],[Raw Terrestrial Score]]/Table1[[#This Row],[Summed Raw Scores]]</f>
        <v>0.53366426650852883</v>
      </c>
      <c r="Z35" s="13">
        <v>872.64965030178405</v>
      </c>
      <c r="AA35" s="12">
        <f>Table1[[#This Row],[Raw Freshwater Score]]/Table1[[#This Row],[Summed Raw Scores]]</f>
        <v>0.46633573349147117</v>
      </c>
      <c r="AB35" s="12">
        <f>Table1[[#This Row],[Raw Terrestrial Score]]+Table1[[#This Row],[Raw Freshwater Score]]</f>
        <v>1871.2905480526381</v>
      </c>
      <c r="AC35" s="14">
        <f>Table1[[#This Row],[Terrestrial % of Summed Score]]*Table1[[#This Row],[Scaled Summed Score]]</f>
        <v>0.15574499476912312</v>
      </c>
      <c r="AD35" s="14">
        <f>Table1[[#This Row],[Freshwater % of Summed Score]]*Table1[[#This Row],[Scaled Summed Score]]</f>
        <v>0.13609578330671995</v>
      </c>
      <c r="AE35" s="14">
        <f>Table1[[#This Row],[Summed Raw Scores]]/MAX(Table1[Summed Raw Scores])</f>
        <v>0.29184077807584308</v>
      </c>
      <c r="AF35" s="9"/>
    </row>
    <row r="36" spans="1:32" x14ac:dyDescent="0.3">
      <c r="A36" s="7" t="s">
        <v>31</v>
      </c>
      <c r="B36" s="7" t="s">
        <v>24</v>
      </c>
      <c r="C36" s="7" t="s">
        <v>32</v>
      </c>
      <c r="D36" s="7" t="s">
        <v>250</v>
      </c>
      <c r="E36" s="17">
        <v>50.569090000000003</v>
      </c>
      <c r="F36" s="17">
        <v>-123.512111</v>
      </c>
      <c r="G36" s="8">
        <v>99</v>
      </c>
      <c r="H36" s="8">
        <v>89</v>
      </c>
      <c r="I36" s="8" t="s">
        <v>22</v>
      </c>
      <c r="J36" s="18">
        <v>656.90040009999996</v>
      </c>
      <c r="K36" s="16">
        <v>98.184276859616105</v>
      </c>
      <c r="L36" s="8" t="s">
        <v>22</v>
      </c>
      <c r="M36" s="8">
        <v>2.5</v>
      </c>
      <c r="N36" s="8">
        <v>67.8</v>
      </c>
      <c r="O36" s="8">
        <f>Table1[[#This Row],[R1 Length (km)]]+Table1[[#This Row],[T1 Length (km)]]</f>
        <v>70.3</v>
      </c>
      <c r="P36" s="7">
        <v>230</v>
      </c>
      <c r="Q36" s="8">
        <f>(Table1[[#This Row],[Linear Features (km)]]*0.4)*100</f>
        <v>2812</v>
      </c>
      <c r="R36" s="9">
        <v>26.5</v>
      </c>
      <c r="S36" s="10">
        <f>Table1[[#This Row],[ATG (ha)]]/Table1[[#This Row],[Linear Area (ha)]]</f>
        <v>9.423897581792318E-3</v>
      </c>
      <c r="T36" s="11" t="s">
        <v>22</v>
      </c>
      <c r="U36" s="11" t="s">
        <v>22</v>
      </c>
      <c r="V36" s="9" t="s">
        <v>22</v>
      </c>
      <c r="W36" s="9" t="s">
        <v>22</v>
      </c>
      <c r="X36" s="13">
        <v>836.46022105217003</v>
      </c>
      <c r="Y36" s="12">
        <f>Table1[[#This Row],[Raw Terrestrial Score]]/Table1[[#This Row],[Summed Raw Scores]]</f>
        <v>0.4779355068748169</v>
      </c>
      <c r="Z36" s="13">
        <v>913.69269502162899</v>
      </c>
      <c r="AA36" s="12">
        <f>Table1[[#This Row],[Raw Freshwater Score]]/Table1[[#This Row],[Summed Raw Scores]]</f>
        <v>0.5220644931251831</v>
      </c>
      <c r="AB36" s="12">
        <f>Table1[[#This Row],[Raw Terrestrial Score]]+Table1[[#This Row],[Raw Freshwater Score]]</f>
        <v>1750.1529160737991</v>
      </c>
      <c r="AC36" s="14">
        <f>Table1[[#This Row],[Terrestrial % of Summed Score]]*Table1[[#This Row],[Scaled Summed Score]]</f>
        <v>0.13045179007364405</v>
      </c>
      <c r="AD36" s="14">
        <f>Table1[[#This Row],[Freshwater % of Summed Score]]*Table1[[#This Row],[Scaled Summed Score]]</f>
        <v>0.142496731635191</v>
      </c>
      <c r="AE36" s="14">
        <f>Table1[[#This Row],[Summed Raw Scores]]/MAX(Table1[Summed Raw Scores])</f>
        <v>0.27294852170883505</v>
      </c>
      <c r="AF36" s="9"/>
    </row>
    <row r="37" spans="1:32" x14ac:dyDescent="0.3">
      <c r="A37" s="7" t="s">
        <v>103</v>
      </c>
      <c r="B37" s="7" t="s">
        <v>97</v>
      </c>
      <c r="C37" s="7" t="s">
        <v>30</v>
      </c>
      <c r="D37" s="7" t="s">
        <v>250</v>
      </c>
      <c r="E37" s="8">
        <v>57.03</v>
      </c>
      <c r="F37" s="8">
        <v>-130.38</v>
      </c>
      <c r="G37" s="8">
        <v>76.599999999999994</v>
      </c>
      <c r="H37" s="8">
        <v>40</v>
      </c>
      <c r="I37" s="8">
        <v>3</v>
      </c>
      <c r="J37" s="8">
        <v>152</v>
      </c>
      <c r="K37" s="8">
        <v>154.71</v>
      </c>
      <c r="L37" s="8" t="s">
        <v>22</v>
      </c>
      <c r="M37" s="8">
        <f>3621.32034355755/1000</f>
        <v>3.6213203435575503</v>
      </c>
      <c r="N37" s="8">
        <v>13.109500000000001</v>
      </c>
      <c r="O37" s="8">
        <f>Table1[[#This Row],[R1 Length (km)]]+Table1[[#This Row],[T1 Length (km)]]</f>
        <v>16.73082034355755</v>
      </c>
      <c r="P37" s="7">
        <v>230</v>
      </c>
      <c r="Q37" s="8">
        <f>(Table1[[#This Row],[Linear Features (km)]]*0.4)*100</f>
        <v>669.23281374230203</v>
      </c>
      <c r="R37" s="9">
        <v>660.1</v>
      </c>
      <c r="S37" s="10">
        <f>Table1[[#This Row],[ATG (ha)]]/Table1[[#This Row],[Linear Area (ha)]]</f>
        <v>0.98635330851272529</v>
      </c>
      <c r="T37" s="11" t="s">
        <v>22</v>
      </c>
      <c r="U37" s="11" t="s">
        <v>22</v>
      </c>
      <c r="V37" s="9" t="s">
        <v>22</v>
      </c>
      <c r="W37" s="9" t="s">
        <v>22</v>
      </c>
      <c r="X37" s="13">
        <v>189.29978680610699</v>
      </c>
      <c r="Y37" s="12">
        <f>Table1[[#This Row],[Raw Terrestrial Score]]/Table1[[#This Row],[Summed Raw Scores]]</f>
        <v>0.34084712757107843</v>
      </c>
      <c r="Z37" s="13">
        <v>366.08053326606802</v>
      </c>
      <c r="AA37" s="12">
        <f>Table1[[#This Row],[Raw Freshwater Score]]/Table1[[#This Row],[Summed Raw Scores]]</f>
        <v>0.65915287242892162</v>
      </c>
      <c r="AB37" s="12">
        <f>Table1[[#This Row],[Raw Terrestrial Score]]+Table1[[#This Row],[Raw Freshwater Score]]</f>
        <v>555.38032007217498</v>
      </c>
      <c r="AC37" s="14">
        <f>Table1[[#This Row],[Terrestrial % of Summed Score]]*Table1[[#This Row],[Scaled Summed Score]]</f>
        <v>2.9522618563203189E-2</v>
      </c>
      <c r="AD37" s="14">
        <f>Table1[[#This Row],[Freshwater % of Summed Score]]*Table1[[#This Row],[Scaled Summed Score]]</f>
        <v>5.7092805699237463E-2</v>
      </c>
      <c r="AE37" s="14">
        <f>Table1[[#This Row],[Summed Raw Scores]]/MAX(Table1[Summed Raw Scores])</f>
        <v>8.6615424262440649E-2</v>
      </c>
      <c r="AF37" s="9"/>
    </row>
    <row r="38" spans="1:32" x14ac:dyDescent="0.3">
      <c r="A38" s="7" t="s">
        <v>36</v>
      </c>
      <c r="B38" s="7" t="s">
        <v>237</v>
      </c>
      <c r="C38" s="7" t="s">
        <v>21</v>
      </c>
      <c r="D38" s="7" t="s">
        <v>250</v>
      </c>
      <c r="E38" s="8">
        <v>49.681317</v>
      </c>
      <c r="F38" s="8">
        <v>-126.12749599999999</v>
      </c>
      <c r="G38" s="8">
        <v>12.2</v>
      </c>
      <c r="H38" s="8">
        <v>13</v>
      </c>
      <c r="I38" s="8" t="s">
        <v>22</v>
      </c>
      <c r="J38" s="8">
        <v>107</v>
      </c>
      <c r="K38" s="8">
        <v>178.98</v>
      </c>
      <c r="L38" s="8" t="s">
        <v>22</v>
      </c>
      <c r="M38" s="8">
        <v>0</v>
      </c>
      <c r="N38" s="8">
        <v>13.988200000000001</v>
      </c>
      <c r="O38" s="8">
        <f>Table1[[#This Row],[R1 Length (km)]]+Table1[[#This Row],[T1 Length (km)]]</f>
        <v>13.988200000000001</v>
      </c>
      <c r="P38" s="7">
        <v>25</v>
      </c>
      <c r="Q38" s="8">
        <f>(Table1[[#This Row],[Linear Features (km)]]*0.4)*100</f>
        <v>559.52800000000002</v>
      </c>
      <c r="R38" s="9">
        <v>4</v>
      </c>
      <c r="S38" s="10">
        <f>Table1[[#This Row],[ATG (ha)]]/Table1[[#This Row],[Linear Area (ha)]]</f>
        <v>7.148882629644986E-3</v>
      </c>
      <c r="T38" s="11" t="s">
        <v>22</v>
      </c>
      <c r="U38" s="11" t="s">
        <v>22</v>
      </c>
      <c r="V38" s="9" t="s">
        <v>22</v>
      </c>
      <c r="W38" s="9" t="s">
        <v>22</v>
      </c>
      <c r="X38" s="13">
        <v>36.617166481912101</v>
      </c>
      <c r="Y38" s="12">
        <f>Table1[[#This Row],[Raw Terrestrial Score]]/Table1[[#This Row],[Summed Raw Scores]]</f>
        <v>0.23042052630680579</v>
      </c>
      <c r="Z38" s="13">
        <v>122.2973498106</v>
      </c>
      <c r="AA38" s="12">
        <f>Table1[[#This Row],[Raw Freshwater Score]]/Table1[[#This Row],[Summed Raw Scores]]</f>
        <v>0.76957947369319413</v>
      </c>
      <c r="AB38" s="12">
        <f>Table1[[#This Row],[Raw Terrestrial Score]]+Table1[[#This Row],[Raw Freshwater Score]]</f>
        <v>158.9145162925121</v>
      </c>
      <c r="AC38" s="14">
        <f>Table1[[#This Row],[Terrestrial % of Summed Score]]*Table1[[#This Row],[Scaled Summed Score]]</f>
        <v>5.7107018298867126E-3</v>
      </c>
      <c r="AD38" s="14">
        <f>Table1[[#This Row],[Freshwater % of Summed Score]]*Table1[[#This Row],[Scaled Summed Score]]</f>
        <v>1.9073122430122536E-2</v>
      </c>
      <c r="AE38" s="14">
        <f>Table1[[#This Row],[Summed Raw Scores]]/MAX(Table1[Summed Raw Scores])</f>
        <v>2.478382426000925E-2</v>
      </c>
      <c r="AF38" s="9"/>
    </row>
    <row r="39" spans="1:32" x14ac:dyDescent="0.3">
      <c r="A39" s="7" t="s">
        <v>38</v>
      </c>
      <c r="B39" s="7" t="s">
        <v>237</v>
      </c>
      <c r="C39" s="7" t="s">
        <v>21</v>
      </c>
      <c r="D39" s="7" t="s">
        <v>250</v>
      </c>
      <c r="E39" s="8">
        <v>49.101284</v>
      </c>
      <c r="F39" s="8">
        <v>-123.010378</v>
      </c>
      <c r="G39" s="8">
        <v>25.3</v>
      </c>
      <c r="H39" s="8">
        <v>27</v>
      </c>
      <c r="I39" s="8" t="s">
        <v>22</v>
      </c>
      <c r="J39" s="8">
        <v>222</v>
      </c>
      <c r="K39" s="8">
        <v>92.14</v>
      </c>
      <c r="L39" s="8" t="s">
        <v>22</v>
      </c>
      <c r="M39" s="8">
        <v>0</v>
      </c>
      <c r="N39" s="8">
        <v>2.5970599999999999</v>
      </c>
      <c r="O39" s="8">
        <f>Table1[[#This Row],[R1 Length (km)]]+Table1[[#This Row],[T1 Length (km)]]</f>
        <v>2.5970599999999999</v>
      </c>
      <c r="P39" s="7">
        <v>69</v>
      </c>
      <c r="Q39" s="8">
        <f>(Table1[[#This Row],[Linear Features (km)]]*0.4)*100</f>
        <v>103.88239999999999</v>
      </c>
      <c r="R39" s="9">
        <v>4</v>
      </c>
      <c r="S39" s="10">
        <f>Table1[[#This Row],[ATG (ha)]]/Table1[[#This Row],[Linear Area (ha)]]</f>
        <v>3.850507881989635E-2</v>
      </c>
      <c r="T39" s="11" t="s">
        <v>22</v>
      </c>
      <c r="U39" s="11" t="s">
        <v>22</v>
      </c>
      <c r="V39" s="9" t="s">
        <v>22</v>
      </c>
      <c r="W39" s="9" t="s">
        <v>22</v>
      </c>
      <c r="X39" s="13">
        <v>59.583370208740199</v>
      </c>
      <c r="Y39" s="12">
        <f>Table1[[#This Row],[Raw Terrestrial Score]]/Table1[[#This Row],[Summed Raw Scores]]</f>
        <v>0.52003461587474265</v>
      </c>
      <c r="Z39" s="13">
        <v>54.992406845092802</v>
      </c>
      <c r="AA39" s="12">
        <f>Table1[[#This Row],[Raw Freshwater Score]]/Table1[[#This Row],[Summed Raw Scores]]</f>
        <v>0.4799653841252573</v>
      </c>
      <c r="AB39" s="12">
        <f>Table1[[#This Row],[Raw Terrestrial Score]]+Table1[[#This Row],[Raw Freshwater Score]]</f>
        <v>114.57577705383301</v>
      </c>
      <c r="AC39" s="14">
        <f>Table1[[#This Row],[Terrestrial % of Summed Score]]*Table1[[#This Row],[Scaled Summed Score]]</f>
        <v>9.2924410590303555E-3</v>
      </c>
      <c r="AD39" s="14">
        <f>Table1[[#This Row],[Freshwater % of Summed Score]]*Table1[[#This Row],[Scaled Summed Score]]</f>
        <v>8.5764483867225502E-3</v>
      </c>
      <c r="AE39" s="14">
        <f>Table1[[#This Row],[Summed Raw Scores]]/MAX(Table1[Summed Raw Scores])</f>
        <v>1.7868889445752906E-2</v>
      </c>
      <c r="AF39" s="9"/>
    </row>
    <row r="40" spans="1:32" x14ac:dyDescent="0.3">
      <c r="A40" s="7" t="s">
        <v>39</v>
      </c>
      <c r="B40" s="7" t="s">
        <v>237</v>
      </c>
      <c r="C40" s="7" t="s">
        <v>40</v>
      </c>
      <c r="D40" s="7" t="s">
        <v>250</v>
      </c>
      <c r="E40" s="8">
        <v>49.944439000000003</v>
      </c>
      <c r="F40" s="8">
        <v>-119.422766</v>
      </c>
      <c r="G40" s="8">
        <v>13.5</v>
      </c>
      <c r="H40" s="8">
        <v>14</v>
      </c>
      <c r="I40" s="8" t="s">
        <v>22</v>
      </c>
      <c r="J40" s="8">
        <v>118</v>
      </c>
      <c r="K40" s="8">
        <v>226.48</v>
      </c>
      <c r="L40" s="8" t="s">
        <v>22</v>
      </c>
      <c r="M40" s="8">
        <v>0</v>
      </c>
      <c r="N40" s="8">
        <v>19.576499999999999</v>
      </c>
      <c r="O40" s="8">
        <f>Table1[[#This Row],[R1 Length (km)]]+Table1[[#This Row],[T1 Length (km)]]</f>
        <v>19.576499999999999</v>
      </c>
      <c r="P40" s="7">
        <v>25</v>
      </c>
      <c r="Q40" s="8">
        <f>(Table1[[#This Row],[Linear Features (km)]]*0.4)*100</f>
        <v>783.06000000000006</v>
      </c>
      <c r="R40" s="9">
        <v>4</v>
      </c>
      <c r="S40" s="10">
        <f>Table1[[#This Row],[ATG (ha)]]/Table1[[#This Row],[Linear Area (ha)]]</f>
        <v>5.1081654023957292E-3</v>
      </c>
      <c r="T40" s="11" t="s">
        <v>22</v>
      </c>
      <c r="U40" s="11" t="s">
        <v>22</v>
      </c>
      <c r="V40" s="9" t="s">
        <v>22</v>
      </c>
      <c r="W40" s="9" t="s">
        <v>22</v>
      </c>
      <c r="X40" s="13">
        <v>389.758584976196</v>
      </c>
      <c r="Y40" s="12">
        <f>Table1[[#This Row],[Raw Terrestrial Score]]/Table1[[#This Row],[Summed Raw Scores]]</f>
        <v>0.95612724733353593</v>
      </c>
      <c r="Z40" s="13">
        <v>17.884420767193699</v>
      </c>
      <c r="AA40" s="12">
        <f>Table1[[#This Row],[Raw Freshwater Score]]/Table1[[#This Row],[Summed Raw Scores]]</f>
        <v>4.3872752666463996E-2</v>
      </c>
      <c r="AB40" s="12">
        <f>Table1[[#This Row],[Raw Terrestrial Score]]+Table1[[#This Row],[Raw Freshwater Score]]</f>
        <v>407.64300574338972</v>
      </c>
      <c r="AC40" s="14">
        <f>Table1[[#This Row],[Terrestrial % of Summed Score]]*Table1[[#This Row],[Scaled Summed Score]]</f>
        <v>6.0785562573147253E-2</v>
      </c>
      <c r="AD40" s="14">
        <f>Table1[[#This Row],[Freshwater % of Summed Score]]*Table1[[#This Row],[Scaled Summed Score]]</f>
        <v>2.7891998265930202E-3</v>
      </c>
      <c r="AE40" s="14">
        <f>Table1[[#This Row],[Summed Raw Scores]]/MAX(Table1[Summed Raw Scores])</f>
        <v>6.3574762399740276E-2</v>
      </c>
      <c r="AF40" s="9"/>
    </row>
    <row r="41" spans="1:32" x14ac:dyDescent="0.3">
      <c r="A41" s="7" t="s">
        <v>33</v>
      </c>
      <c r="B41" s="7" t="s">
        <v>24</v>
      </c>
      <c r="C41" s="7" t="s">
        <v>32</v>
      </c>
      <c r="D41" s="7" t="s">
        <v>250</v>
      </c>
      <c r="E41" s="8">
        <v>50.101612000000003</v>
      </c>
      <c r="F41" s="8">
        <v>-123.362587</v>
      </c>
      <c r="G41" s="8">
        <v>40.700000000000003</v>
      </c>
      <c r="H41" s="8">
        <v>31</v>
      </c>
      <c r="I41" s="8" t="s">
        <v>22</v>
      </c>
      <c r="J41" s="8">
        <v>232</v>
      </c>
      <c r="K41" s="8">
        <v>114.74</v>
      </c>
      <c r="L41" s="8" t="s">
        <v>22</v>
      </c>
      <c r="M41" s="8">
        <f>12486.3054484/1000</f>
        <v>12.4863054484</v>
      </c>
      <c r="N41" s="8">
        <f>64896.1864223/1000</f>
        <v>64.896186422300005</v>
      </c>
      <c r="O41" s="8">
        <f>Table1[[#This Row],[R1 Length (km)]]+Table1[[#This Row],[T1 Length (km)]]</f>
        <v>77.382491870700008</v>
      </c>
      <c r="P41" s="7">
        <v>69</v>
      </c>
      <c r="Q41" s="8">
        <f>(Table1[[#This Row],[Linear Features (km)]]*0.4)*100</f>
        <v>3095.2996748280002</v>
      </c>
      <c r="R41" s="9">
        <v>9.4</v>
      </c>
      <c r="S41" s="10">
        <f>Table1[[#This Row],[ATG (ha)]]/Table1[[#This Row],[Linear Area (ha)]]</f>
        <v>3.0368626587092377E-3</v>
      </c>
      <c r="T41" s="11" t="s">
        <v>22</v>
      </c>
      <c r="U41" s="11" t="s">
        <v>22</v>
      </c>
      <c r="V41" s="9" t="s">
        <v>22</v>
      </c>
      <c r="W41" s="9" t="s">
        <v>22</v>
      </c>
      <c r="X41" s="13">
        <v>727.44017177820194</v>
      </c>
      <c r="Y41" s="12">
        <f>Table1[[#This Row],[Raw Terrestrial Score]]/Table1[[#This Row],[Summed Raw Scores]]</f>
        <v>0.3381139887372589</v>
      </c>
      <c r="Z41" s="13">
        <v>1424.0241154432299</v>
      </c>
      <c r="AA41" s="12">
        <f>Table1[[#This Row],[Raw Freshwater Score]]/Table1[[#This Row],[Summed Raw Scores]]</f>
        <v>0.66188601126274116</v>
      </c>
      <c r="AB41" s="12">
        <f>Table1[[#This Row],[Raw Terrestrial Score]]+Table1[[#This Row],[Raw Freshwater Score]]</f>
        <v>2151.4642872214317</v>
      </c>
      <c r="AC41" s="14">
        <f>Table1[[#This Row],[Terrestrial % of Summed Score]]*Table1[[#This Row],[Scaled Summed Score]]</f>
        <v>0.11344935502202069</v>
      </c>
      <c r="AD41" s="14">
        <f>Table1[[#This Row],[Freshwater % of Summed Score]]*Table1[[#This Row],[Scaled Summed Score]]</f>
        <v>0.22208646662710887</v>
      </c>
      <c r="AE41" s="14">
        <f>Table1[[#This Row],[Summed Raw Scores]]/MAX(Table1[Summed Raw Scores])</f>
        <v>0.33553582164912954</v>
      </c>
      <c r="AF41" s="9"/>
    </row>
    <row r="42" spans="1:32" x14ac:dyDescent="0.3">
      <c r="A42" s="7" t="s">
        <v>104</v>
      </c>
      <c r="B42" s="7" t="s">
        <v>97</v>
      </c>
      <c r="C42" s="7" t="s">
        <v>32</v>
      </c>
      <c r="D42" s="7" t="s">
        <v>250</v>
      </c>
      <c r="E42" s="15">
        <v>49.9</v>
      </c>
      <c r="F42" s="15">
        <v>-122</v>
      </c>
      <c r="G42" s="8">
        <v>83.9</v>
      </c>
      <c r="H42" s="8">
        <v>40</v>
      </c>
      <c r="I42" s="8">
        <v>16</v>
      </c>
      <c r="J42" s="16">
        <v>371.8</v>
      </c>
      <c r="K42" s="16">
        <v>72.604934026208781</v>
      </c>
      <c r="L42" s="8" t="s">
        <v>22</v>
      </c>
      <c r="M42" s="8">
        <v>0.3</v>
      </c>
      <c r="N42" s="8">
        <v>53.3</v>
      </c>
      <c r="O42" s="8">
        <f>Table1[[#This Row],[R1 Length (km)]]+Table1[[#This Row],[T1 Length (km)]]</f>
        <v>53.599999999999994</v>
      </c>
      <c r="P42" s="7">
        <v>130</v>
      </c>
      <c r="Q42" s="8">
        <f>(Table1[[#This Row],[Linear Features (km)]]*0.4)*100</f>
        <v>2144</v>
      </c>
      <c r="R42" s="9">
        <v>53.32</v>
      </c>
      <c r="S42" s="10">
        <f>Table1[[#This Row],[ATG (ha)]]/Table1[[#This Row],[Linear Area (ha)]]</f>
        <v>2.4869402985074628E-2</v>
      </c>
      <c r="T42" s="11" t="s">
        <v>22</v>
      </c>
      <c r="U42" s="11" t="s">
        <v>22</v>
      </c>
      <c r="V42" s="9" t="s">
        <v>22</v>
      </c>
      <c r="W42" s="9" t="s">
        <v>22</v>
      </c>
      <c r="X42" s="13">
        <v>737.17361079156399</v>
      </c>
      <c r="Y42" s="12">
        <f>Table1[[#This Row],[Raw Terrestrial Score]]/Table1[[#This Row],[Summed Raw Scores]]</f>
        <v>0.56055290690294601</v>
      </c>
      <c r="Z42" s="13">
        <v>577.90941119193997</v>
      </c>
      <c r="AA42" s="12">
        <f>Table1[[#This Row],[Raw Freshwater Score]]/Table1[[#This Row],[Summed Raw Scores]]</f>
        <v>0.43944709309705404</v>
      </c>
      <c r="AB42" s="12">
        <f>Table1[[#This Row],[Raw Terrestrial Score]]+Table1[[#This Row],[Raw Freshwater Score]]</f>
        <v>1315.0830219835038</v>
      </c>
      <c r="AC42" s="14">
        <f>Table1[[#This Row],[Terrestrial % of Summed Score]]*Table1[[#This Row],[Scaled Summed Score]]</f>
        <v>0.11496735254408878</v>
      </c>
      <c r="AD42" s="14">
        <f>Table1[[#This Row],[Freshwater % of Summed Score]]*Table1[[#This Row],[Scaled Summed Score]]</f>
        <v>9.0128992739861746E-2</v>
      </c>
      <c r="AE42" s="14">
        <f>Table1[[#This Row],[Summed Raw Scores]]/MAX(Table1[Summed Raw Scores])</f>
        <v>0.20509634528395052</v>
      </c>
      <c r="AF42" s="9"/>
    </row>
    <row r="43" spans="1:32" x14ac:dyDescent="0.3">
      <c r="A43" s="7" t="s">
        <v>105</v>
      </c>
      <c r="B43" s="7" t="s">
        <v>97</v>
      </c>
      <c r="C43" s="7" t="s">
        <v>30</v>
      </c>
      <c r="D43" s="7" t="s">
        <v>250</v>
      </c>
      <c r="E43" s="8">
        <v>56.33</v>
      </c>
      <c r="F43" s="8">
        <v>-128.69</v>
      </c>
      <c r="G43" s="8">
        <v>77.2</v>
      </c>
      <c r="H43" s="8">
        <v>40</v>
      </c>
      <c r="I43" s="8">
        <v>5</v>
      </c>
      <c r="J43" s="8">
        <v>286</v>
      </c>
      <c r="K43" s="8">
        <v>109.41</v>
      </c>
      <c r="L43" s="8" t="s">
        <v>22</v>
      </c>
      <c r="M43" s="8">
        <f>8100/1000</f>
        <v>8.1</v>
      </c>
      <c r="N43" s="8">
        <v>53.5441</v>
      </c>
      <c r="O43" s="8">
        <f>Table1[[#This Row],[R1 Length (km)]]+Table1[[#This Row],[T1 Length (km)]]</f>
        <v>61.644100000000002</v>
      </c>
      <c r="P43" s="7">
        <v>130</v>
      </c>
      <c r="Q43" s="8">
        <f>(Table1[[#This Row],[Linear Features (km)]]*0.4)*100</f>
        <v>2465.7640000000001</v>
      </c>
      <c r="R43" s="9">
        <v>347.8</v>
      </c>
      <c r="S43" s="10">
        <f>Table1[[#This Row],[ATG (ha)]]/Table1[[#This Row],[Linear Area (ha)]]</f>
        <v>0.14105161726750817</v>
      </c>
      <c r="T43" s="11" t="s">
        <v>22</v>
      </c>
      <c r="U43" s="11" t="s">
        <v>22</v>
      </c>
      <c r="V43" s="9" t="s">
        <v>22</v>
      </c>
      <c r="W43" s="9" t="s">
        <v>22</v>
      </c>
      <c r="X43" s="13">
        <v>407.82014703750599</v>
      </c>
      <c r="Y43" s="12">
        <f>Table1[[#This Row],[Raw Terrestrial Score]]/Table1[[#This Row],[Summed Raw Scores]]</f>
        <v>0.37181845821928056</v>
      </c>
      <c r="Z43" s="13">
        <v>689.00583893060696</v>
      </c>
      <c r="AA43" s="12">
        <f>Table1[[#This Row],[Raw Freshwater Score]]/Table1[[#This Row],[Summed Raw Scores]]</f>
        <v>0.6281815417807195</v>
      </c>
      <c r="AB43" s="12">
        <f>Table1[[#This Row],[Raw Terrestrial Score]]+Table1[[#This Row],[Raw Freshwater Score]]</f>
        <v>1096.8259859681129</v>
      </c>
      <c r="AC43" s="14">
        <f>Table1[[#This Row],[Terrestrial % of Summed Score]]*Table1[[#This Row],[Scaled Summed Score]]</f>
        <v>6.3602388816791366E-2</v>
      </c>
      <c r="AD43" s="14">
        <f>Table1[[#This Row],[Freshwater % of Summed Score]]*Table1[[#This Row],[Scaled Summed Score]]</f>
        <v>0.10745525345679839</v>
      </c>
      <c r="AE43" s="14">
        <f>Table1[[#This Row],[Summed Raw Scores]]/MAX(Table1[Summed Raw Scores])</f>
        <v>0.17105764227358974</v>
      </c>
      <c r="AF43" s="9"/>
    </row>
    <row r="44" spans="1:32" x14ac:dyDescent="0.3">
      <c r="A44" s="7" t="s">
        <v>131</v>
      </c>
      <c r="B44" s="7" t="s">
        <v>114</v>
      </c>
      <c r="C44" s="7" t="s">
        <v>30</v>
      </c>
      <c r="D44" s="7" t="s">
        <v>250</v>
      </c>
      <c r="E44" s="8">
        <v>53.464523669999998</v>
      </c>
      <c r="F44" s="8">
        <v>-130.32914880000001</v>
      </c>
      <c r="G44" s="8">
        <v>345</v>
      </c>
      <c r="H44" s="7" t="s">
        <v>22</v>
      </c>
      <c r="I44" s="8">
        <v>82.8</v>
      </c>
      <c r="J44" s="9">
        <v>1150.2493200000001</v>
      </c>
      <c r="K44" s="9">
        <v>75.229339188373373</v>
      </c>
      <c r="L44" s="8" t="s">
        <v>22</v>
      </c>
      <c r="M44" s="8">
        <v>3.8769558105500002</v>
      </c>
      <c r="N44" s="8">
        <v>99.066101562499995</v>
      </c>
      <c r="O44" s="8">
        <f>Table1[[#This Row],[R1 Length (km)]]+Table1[[#This Row],[T1 Length (km)]]</f>
        <v>102.94305737305</v>
      </c>
      <c r="P44" s="7">
        <v>230</v>
      </c>
      <c r="Q44" s="8">
        <f>(Table1[[#This Row],[Linear Features (km)]]*0.4)*100</f>
        <v>4117.7222949220004</v>
      </c>
      <c r="R44" s="9">
        <f>((PI()*(45^2))*Table1[[#This Row],[Number of Turbines - WIND]])/10000</f>
        <v>43.895903352283383</v>
      </c>
      <c r="S44" s="10">
        <f>Table1[[#This Row],[ATG (ha)]]/Table1[[#This Row],[Linear Area (ha)]]</f>
        <v>1.066023889139296E-2</v>
      </c>
      <c r="T44" s="7" t="s">
        <v>115</v>
      </c>
      <c r="U44" s="7">
        <v>69</v>
      </c>
      <c r="V44" s="9" t="s">
        <v>22</v>
      </c>
      <c r="W44" s="9" t="s">
        <v>22</v>
      </c>
      <c r="X44" s="13">
        <v>1333.5665045216399</v>
      </c>
      <c r="Y44" s="12">
        <f>Table1[[#This Row],[Raw Terrestrial Score]]/Table1[[#This Row],[Summed Raw Scores]]</f>
        <v>0.29503547265146068</v>
      </c>
      <c r="Z44" s="13">
        <v>3186.4544019035502</v>
      </c>
      <c r="AA44" s="12">
        <f>Table1[[#This Row],[Raw Freshwater Score]]/Table1[[#This Row],[Summed Raw Scores]]</f>
        <v>0.7049645273485392</v>
      </c>
      <c r="AB44" s="12">
        <f>Table1[[#This Row],[Raw Terrestrial Score]]+Table1[[#This Row],[Raw Freshwater Score]]</f>
        <v>4520.0209064251903</v>
      </c>
      <c r="AC44" s="14">
        <f>Table1[[#This Row],[Terrestrial % of Summed Score]]*Table1[[#This Row],[Scaled Summed Score]]</f>
        <v>0.20797897296092691</v>
      </c>
      <c r="AD44" s="14">
        <f>Table1[[#This Row],[Freshwater % of Summed Score]]*Table1[[#This Row],[Scaled Summed Score]]</f>
        <v>0.49694972965180012</v>
      </c>
      <c r="AE44" s="14">
        <f>Table1[[#This Row],[Summed Raw Scores]]/MAX(Table1[Summed Raw Scores])</f>
        <v>0.70492870261272711</v>
      </c>
      <c r="AF44" s="9"/>
    </row>
    <row r="45" spans="1:32" x14ac:dyDescent="0.3">
      <c r="A45" s="7" t="s">
        <v>132</v>
      </c>
      <c r="B45" s="7" t="s">
        <v>114</v>
      </c>
      <c r="C45" s="7" t="s">
        <v>30</v>
      </c>
      <c r="D45" s="7" t="s">
        <v>250</v>
      </c>
      <c r="E45" s="8">
        <v>53.66880613</v>
      </c>
      <c r="F45" s="8">
        <v>-130.29157169999999</v>
      </c>
      <c r="G45" s="8">
        <v>234</v>
      </c>
      <c r="H45" s="7" t="s">
        <v>22</v>
      </c>
      <c r="I45" s="8">
        <v>56.4</v>
      </c>
      <c r="J45" s="9">
        <v>723.39204000000007</v>
      </c>
      <c r="K45" s="9">
        <v>84.952197534795616</v>
      </c>
      <c r="L45" s="8" t="s">
        <v>22</v>
      </c>
      <c r="M45" s="8">
        <v>3.9355344238300001</v>
      </c>
      <c r="N45" s="8">
        <v>78.465390624999998</v>
      </c>
      <c r="O45" s="8">
        <f>Table1[[#This Row],[R1 Length (km)]]+Table1[[#This Row],[T1 Length (km)]]</f>
        <v>82.400925048830004</v>
      </c>
      <c r="P45" s="7">
        <v>230</v>
      </c>
      <c r="Q45" s="8">
        <f>(Table1[[#This Row],[Linear Features (km)]]*0.4)*100</f>
        <v>3296.0370019532002</v>
      </c>
      <c r="R45" s="9">
        <f>((PI()*(45^2))*Table1[[#This Row],[Number of Turbines - WIND]])/10000</f>
        <v>29.900108080540853</v>
      </c>
      <c r="S45" s="10">
        <f>Table1[[#This Row],[ATG (ha)]]/Table1[[#This Row],[Linear Area (ha)]]</f>
        <v>9.0715328932358258E-3</v>
      </c>
      <c r="T45" s="7" t="s">
        <v>115</v>
      </c>
      <c r="U45" s="7">
        <v>47</v>
      </c>
      <c r="V45" s="9" t="s">
        <v>22</v>
      </c>
      <c r="W45" s="9" t="s">
        <v>22</v>
      </c>
      <c r="X45" s="13">
        <v>298.52364677179099</v>
      </c>
      <c r="Y45" s="12">
        <f>Table1[[#This Row],[Raw Terrestrial Score]]/Table1[[#This Row],[Summed Raw Scores]]</f>
        <v>0.22649525614866442</v>
      </c>
      <c r="Z45" s="13">
        <v>1019.48915335436</v>
      </c>
      <c r="AA45" s="12">
        <f>Table1[[#This Row],[Raw Freshwater Score]]/Table1[[#This Row],[Summed Raw Scores]]</f>
        <v>0.77350474385133561</v>
      </c>
      <c r="AB45" s="12">
        <f>Table1[[#This Row],[Raw Terrestrial Score]]+Table1[[#This Row],[Raw Freshwater Score]]</f>
        <v>1318.012800126151</v>
      </c>
      <c r="AC45" s="14">
        <f>Table1[[#This Row],[Terrestrial % of Summed Score]]*Table1[[#This Row],[Scaled Summed Score]]</f>
        <v>4.6556839309951442E-2</v>
      </c>
      <c r="AD45" s="14">
        <f>Table1[[#This Row],[Freshwater % of Summed Score]]*Table1[[#This Row],[Scaled Summed Score]]</f>
        <v>0.15899642525552354</v>
      </c>
      <c r="AE45" s="14">
        <f>Table1[[#This Row],[Summed Raw Scores]]/MAX(Table1[Summed Raw Scores])</f>
        <v>0.20555326456547499</v>
      </c>
      <c r="AF45" s="9"/>
    </row>
    <row r="46" spans="1:32" x14ac:dyDescent="0.3">
      <c r="A46" s="7" t="s">
        <v>133</v>
      </c>
      <c r="B46" s="7" t="s">
        <v>114</v>
      </c>
      <c r="C46" s="7" t="s">
        <v>30</v>
      </c>
      <c r="D46" s="7"/>
      <c r="E46" s="8">
        <v>52.636803919999998</v>
      </c>
      <c r="F46" s="8">
        <v>-129.0720259</v>
      </c>
      <c r="G46" s="8">
        <v>261</v>
      </c>
      <c r="H46" s="7" t="s">
        <v>22</v>
      </c>
      <c r="I46" s="8">
        <v>62.4</v>
      </c>
      <c r="J46" s="8">
        <v>720.63264000000004</v>
      </c>
      <c r="K46" s="8">
        <v>135.21545013418904</v>
      </c>
      <c r="L46" s="8" t="s">
        <v>22</v>
      </c>
      <c r="M46" s="8">
        <v>4.9254838867199995</v>
      </c>
      <c r="N46" s="8">
        <v>214.113828125</v>
      </c>
      <c r="O46" s="8">
        <f>Table1[[#This Row],[R1 Length (km)]]+Table1[[#This Row],[T1 Length (km)]]</f>
        <v>219.03931201172</v>
      </c>
      <c r="P46" s="7">
        <v>230</v>
      </c>
      <c r="Q46" s="8">
        <f>(Table1[[#This Row],[Linear Features (km)]]*0.4)*100</f>
        <v>8761.5724804687998</v>
      </c>
      <c r="R46" s="9">
        <f>((PI()*(45^2))*Table1[[#This Row],[Number of Turbines - WIND]])/10000</f>
        <v>33.080970642300521</v>
      </c>
      <c r="S46" s="10">
        <f>Table1[[#This Row],[ATG (ha)]]/Table1[[#This Row],[Linear Area (ha)]]</f>
        <v>3.7756887494846676E-3</v>
      </c>
      <c r="T46" s="7" t="s">
        <v>115</v>
      </c>
      <c r="U46" s="7">
        <v>52</v>
      </c>
      <c r="V46" s="9" t="s">
        <v>22</v>
      </c>
      <c r="W46" s="9" t="s">
        <v>22</v>
      </c>
      <c r="X46" s="13">
        <v>1432.2003676761501</v>
      </c>
      <c r="Y46" s="12">
        <f>Table1[[#This Row],[Raw Terrestrial Score]]/Table1[[#This Row],[Summed Raw Scores]]</f>
        <v>0.44601119917666926</v>
      </c>
      <c r="Z46" s="13">
        <v>1778.93058670341</v>
      </c>
      <c r="AA46" s="12">
        <f>Table1[[#This Row],[Raw Freshwater Score]]/Table1[[#This Row],[Summed Raw Scores]]</f>
        <v>0.55398880082333068</v>
      </c>
      <c r="AB46" s="12">
        <f>Table1[[#This Row],[Raw Terrestrial Score]]+Table1[[#This Row],[Raw Freshwater Score]]</f>
        <v>3211.1309543795601</v>
      </c>
      <c r="AC46" s="14">
        <f>Table1[[#This Row],[Terrestrial % of Summed Score]]*Table1[[#This Row],[Scaled Summed Score]]</f>
        <v>0.22336161003863461</v>
      </c>
      <c r="AD46" s="14">
        <f>Table1[[#This Row],[Freshwater % of Summed Score]]*Table1[[#This Row],[Scaled Summed Score]]</f>
        <v>0.2774365996273046</v>
      </c>
      <c r="AE46" s="14">
        <f>Table1[[#This Row],[Summed Raw Scores]]/MAX(Table1[Summed Raw Scores])</f>
        <v>0.50079820966593924</v>
      </c>
      <c r="AF46" s="9"/>
    </row>
    <row r="47" spans="1:32" x14ac:dyDescent="0.3">
      <c r="A47" s="7" t="s">
        <v>134</v>
      </c>
      <c r="B47" s="7" t="s">
        <v>114</v>
      </c>
      <c r="C47" s="7" t="s">
        <v>30</v>
      </c>
      <c r="D47" s="7"/>
      <c r="E47" s="8">
        <v>52.347802309999999</v>
      </c>
      <c r="F47" s="8">
        <v>-128.68156629999999</v>
      </c>
      <c r="G47" s="8">
        <v>198</v>
      </c>
      <c r="H47" s="7" t="s">
        <v>22</v>
      </c>
      <c r="I47" s="8">
        <v>48</v>
      </c>
      <c r="J47" s="8">
        <v>595.50479999999993</v>
      </c>
      <c r="K47" s="8">
        <v>134.62651943639156</v>
      </c>
      <c r="L47" s="8" t="s">
        <v>22</v>
      </c>
      <c r="M47" s="8">
        <v>2.7656855468799999</v>
      </c>
      <c r="N47" s="8">
        <v>220.113828125</v>
      </c>
      <c r="O47" s="8">
        <f>Table1[[#This Row],[R1 Length (km)]]+Table1[[#This Row],[T1 Length (km)]]</f>
        <v>222.87951367188001</v>
      </c>
      <c r="P47" s="7">
        <v>230</v>
      </c>
      <c r="Q47" s="8">
        <f>(Table1[[#This Row],[Linear Features (km)]]*0.4)*100</f>
        <v>8915.1805468752009</v>
      </c>
      <c r="R47" s="9">
        <f>((PI()*(45^2))*Table1[[#This Row],[Number of Turbines - WIND]])/10000</f>
        <v>25.446900494077326</v>
      </c>
      <c r="S47" s="10">
        <f>Table1[[#This Row],[ATG (ha)]]/Table1[[#This Row],[Linear Area (ha)]]</f>
        <v>2.8543337244018624E-3</v>
      </c>
      <c r="T47" s="7" t="s">
        <v>115</v>
      </c>
      <c r="U47" s="7">
        <v>40</v>
      </c>
      <c r="V47" s="9" t="s">
        <v>22</v>
      </c>
      <c r="W47" s="9" t="s">
        <v>22</v>
      </c>
      <c r="X47" s="13">
        <v>1916.3058734962301</v>
      </c>
      <c r="Y47" s="12">
        <f>Table1[[#This Row],[Raw Terrestrial Score]]/Table1[[#This Row],[Summed Raw Scores]]</f>
        <v>0.49809857793722656</v>
      </c>
      <c r="Z47" s="13">
        <v>1930.93633593191</v>
      </c>
      <c r="AA47" s="12">
        <f>Table1[[#This Row],[Raw Freshwater Score]]/Table1[[#This Row],[Summed Raw Scores]]</f>
        <v>0.50190142206277344</v>
      </c>
      <c r="AB47" s="12">
        <f>Table1[[#This Row],[Raw Terrestrial Score]]+Table1[[#This Row],[Raw Freshwater Score]]</f>
        <v>3847.2422094281401</v>
      </c>
      <c r="AC47" s="14">
        <f>Table1[[#This Row],[Terrestrial % of Summed Score]]*Table1[[#This Row],[Scaled Summed Score]]</f>
        <v>0.2988612312152375</v>
      </c>
      <c r="AD47" s="14">
        <f>Table1[[#This Row],[Freshwater % of Summed Score]]*Table1[[#This Row],[Scaled Summed Score]]</f>
        <v>0.30114295360478388</v>
      </c>
      <c r="AE47" s="14">
        <f>Table1[[#This Row],[Summed Raw Scores]]/MAX(Table1[Summed Raw Scores])</f>
        <v>0.60000418482002138</v>
      </c>
      <c r="AF47" s="9"/>
    </row>
    <row r="48" spans="1:32" x14ac:dyDescent="0.3">
      <c r="A48" s="7" t="s">
        <v>135</v>
      </c>
      <c r="B48" s="7" t="s">
        <v>114</v>
      </c>
      <c r="C48" s="7" t="s">
        <v>30</v>
      </c>
      <c r="D48" s="7" t="s">
        <v>250</v>
      </c>
      <c r="E48" s="8">
        <v>54.2217287</v>
      </c>
      <c r="F48" s="8">
        <v>-126.3493254</v>
      </c>
      <c r="G48" s="8">
        <v>117</v>
      </c>
      <c r="H48" s="7" t="s">
        <v>22</v>
      </c>
      <c r="I48" s="8">
        <v>27.599999999999998</v>
      </c>
      <c r="J48" s="8">
        <v>338.78861999999998</v>
      </c>
      <c r="K48" s="8">
        <v>78.174797926861075</v>
      </c>
      <c r="L48" s="8" t="s">
        <v>22</v>
      </c>
      <c r="M48" s="8">
        <v>1.0656854248000001</v>
      </c>
      <c r="N48" s="8">
        <v>28.352900390624999</v>
      </c>
      <c r="O48" s="8">
        <f>Table1[[#This Row],[R1 Length (km)]]+Table1[[#This Row],[T1 Length (km)]]</f>
        <v>29.418585815425001</v>
      </c>
      <c r="P48" s="7">
        <v>130</v>
      </c>
      <c r="Q48" s="8">
        <f>(Table1[[#This Row],[Linear Features (km)]]*0.4)*100</f>
        <v>1176.7434326170001</v>
      </c>
      <c r="R48" s="9">
        <v>14.63</v>
      </c>
      <c r="S48" s="10">
        <f>Table1[[#This Row],[ATG (ha)]]/Table1[[#This Row],[Linear Area (ha)]]</f>
        <v>1.2432616655836219E-2</v>
      </c>
      <c r="T48" s="7" t="s">
        <v>136</v>
      </c>
      <c r="U48" s="11" t="s">
        <v>22</v>
      </c>
      <c r="V48" s="9" t="s">
        <v>22</v>
      </c>
      <c r="W48" s="9" t="s">
        <v>22</v>
      </c>
      <c r="X48" s="13">
        <v>223.813652871177</v>
      </c>
      <c r="Y48" s="12">
        <f>Table1[[#This Row],[Raw Terrestrial Score]]/Table1[[#This Row],[Summed Raw Scores]]</f>
        <v>0.2897094384098266</v>
      </c>
      <c r="Z48" s="13">
        <v>548.73160523176205</v>
      </c>
      <c r="AA48" s="12">
        <f>Table1[[#This Row],[Raw Freshwater Score]]/Table1[[#This Row],[Summed Raw Scores]]</f>
        <v>0.71029056159017345</v>
      </c>
      <c r="AB48" s="12">
        <f>Table1[[#This Row],[Raw Terrestrial Score]]+Table1[[#This Row],[Raw Freshwater Score]]</f>
        <v>772.54525810293899</v>
      </c>
      <c r="AC48" s="14">
        <f>Table1[[#This Row],[Terrestrial % of Summed Score]]*Table1[[#This Row],[Scaled Summed Score]]</f>
        <v>3.4905296062064863E-2</v>
      </c>
      <c r="AD48" s="14">
        <f>Table1[[#This Row],[Freshwater % of Summed Score]]*Table1[[#This Row],[Scaled Summed Score]]</f>
        <v>8.5578510933161156E-2</v>
      </c>
      <c r="AE48" s="14">
        <f>Table1[[#This Row],[Summed Raw Scores]]/MAX(Table1[Summed Raw Scores])</f>
        <v>0.12048380699522601</v>
      </c>
      <c r="AF48" s="9"/>
    </row>
    <row r="49" spans="1:32" x14ac:dyDescent="0.3">
      <c r="A49" s="7" t="s">
        <v>137</v>
      </c>
      <c r="B49" s="7" t="s">
        <v>114</v>
      </c>
      <c r="C49" s="7" t="s">
        <v>30</v>
      </c>
      <c r="D49" s="7" t="s">
        <v>250</v>
      </c>
      <c r="E49" s="8">
        <v>54.280761560000002</v>
      </c>
      <c r="F49" s="8">
        <v>-125.5268817</v>
      </c>
      <c r="G49" s="8">
        <v>195</v>
      </c>
      <c r="H49" s="7" t="s">
        <v>22</v>
      </c>
      <c r="I49" s="8">
        <v>46.8</v>
      </c>
      <c r="J49" s="8">
        <v>516.38886000000002</v>
      </c>
      <c r="K49" s="8">
        <v>84.12008727319369</v>
      </c>
      <c r="L49" s="8" t="s">
        <v>22</v>
      </c>
      <c r="M49" s="8">
        <v>1.48994958496</v>
      </c>
      <c r="N49" s="8">
        <v>42.6198046875</v>
      </c>
      <c r="O49" s="8">
        <f>Table1[[#This Row],[R1 Length (km)]]+Table1[[#This Row],[T1 Length (km)]]</f>
        <v>44.109754272460002</v>
      </c>
      <c r="P49" s="7">
        <v>230</v>
      </c>
      <c r="Q49" s="8">
        <f>(Table1[[#This Row],[Linear Features (km)]]*0.4)*100</f>
        <v>1764.3901708983999</v>
      </c>
      <c r="R49" s="9">
        <f>((PI()*(45^2))*Table1[[#This Row],[Number of Turbines - WIND]])/10000</f>
        <v>24.810727981725389</v>
      </c>
      <c r="S49" s="10">
        <f>Table1[[#This Row],[ATG (ha)]]/Table1[[#This Row],[Linear Area (ha)]]</f>
        <v>1.4061928246342562E-2</v>
      </c>
      <c r="T49" s="7" t="s">
        <v>115</v>
      </c>
      <c r="U49" s="7">
        <v>39</v>
      </c>
      <c r="V49" s="9" t="s">
        <v>22</v>
      </c>
      <c r="W49" s="9" t="s">
        <v>22</v>
      </c>
      <c r="X49" s="13">
        <v>155.668080084026</v>
      </c>
      <c r="Y49" s="12">
        <f>Table1[[#This Row],[Raw Terrestrial Score]]/Table1[[#This Row],[Summed Raw Scores]]</f>
        <v>0.25674274409362385</v>
      </c>
      <c r="Z49" s="13">
        <v>450.65121681988199</v>
      </c>
      <c r="AA49" s="12">
        <f>Table1[[#This Row],[Raw Freshwater Score]]/Table1[[#This Row],[Summed Raw Scores]]</f>
        <v>0.74325725590637615</v>
      </c>
      <c r="AB49" s="12">
        <f>Table1[[#This Row],[Raw Terrestrial Score]]+Table1[[#This Row],[Raw Freshwater Score]]</f>
        <v>606.31929690390803</v>
      </c>
      <c r="AC49" s="14">
        <f>Table1[[#This Row],[Terrestrial % of Summed Score]]*Table1[[#This Row],[Scaled Summed Score]]</f>
        <v>2.4277519950374315E-2</v>
      </c>
      <c r="AD49" s="14">
        <f>Table1[[#This Row],[Freshwater % of Summed Score]]*Table1[[#This Row],[Scaled Summed Score]]</f>
        <v>7.0282192091658188E-2</v>
      </c>
      <c r="AE49" s="14">
        <f>Table1[[#This Row],[Summed Raw Scores]]/MAX(Table1[Summed Raw Scores])</f>
        <v>9.4559712042032507E-2</v>
      </c>
      <c r="AF49" s="9"/>
    </row>
    <row r="50" spans="1:32" x14ac:dyDescent="0.3">
      <c r="A50" s="7" t="s">
        <v>138</v>
      </c>
      <c r="B50" s="7" t="s">
        <v>114</v>
      </c>
      <c r="C50" s="7" t="s">
        <v>30</v>
      </c>
      <c r="D50" s="7" t="s">
        <v>250</v>
      </c>
      <c r="E50" s="8">
        <v>53.731754780000003</v>
      </c>
      <c r="F50" s="8">
        <v>-124.2257591</v>
      </c>
      <c r="G50" s="8">
        <v>333</v>
      </c>
      <c r="H50" s="7" t="s">
        <v>22</v>
      </c>
      <c r="I50" s="8">
        <v>80.399999999999991</v>
      </c>
      <c r="J50" s="8">
        <v>1126.00602</v>
      </c>
      <c r="K50" s="8">
        <v>61.8691277592863</v>
      </c>
      <c r="L50" s="8" t="s">
        <v>22</v>
      </c>
      <c r="M50" s="8">
        <v>0.241421356201</v>
      </c>
      <c r="N50" s="8">
        <v>34.152187499999997</v>
      </c>
      <c r="O50" s="8">
        <f>Table1[[#This Row],[R1 Length (km)]]+Table1[[#This Row],[T1 Length (km)]]</f>
        <v>34.393608856200999</v>
      </c>
      <c r="P50" s="7">
        <v>230</v>
      </c>
      <c r="Q50" s="8">
        <f>(Table1[[#This Row],[Linear Features (km)]]*0.4)*100</f>
        <v>1375.7443542480401</v>
      </c>
      <c r="R50" s="9">
        <f>((PI()*(45^2))*Table1[[#This Row],[Number of Turbines - WIND]])/10000</f>
        <v>42.623558327579516</v>
      </c>
      <c r="S50" s="10">
        <f>Table1[[#This Row],[ATG (ha)]]/Table1[[#This Row],[Linear Area (ha)]]</f>
        <v>3.0982179353283172E-2</v>
      </c>
      <c r="T50" s="7" t="s">
        <v>115</v>
      </c>
      <c r="U50" s="7">
        <v>67</v>
      </c>
      <c r="V50" s="9" t="s">
        <v>22</v>
      </c>
      <c r="W50" s="9" t="s">
        <v>22</v>
      </c>
      <c r="X50" s="13">
        <v>251.79087929800201</v>
      </c>
      <c r="Y50" s="12">
        <f>Table1[[#This Row],[Raw Terrestrial Score]]/Table1[[#This Row],[Summed Raw Scores]]</f>
        <v>0.2570410391377122</v>
      </c>
      <c r="Z50" s="13">
        <v>727.78374482691299</v>
      </c>
      <c r="AA50" s="12">
        <f>Table1[[#This Row],[Raw Freshwater Score]]/Table1[[#This Row],[Summed Raw Scores]]</f>
        <v>0.74295896086228785</v>
      </c>
      <c r="AB50" s="12">
        <f>Table1[[#This Row],[Raw Terrestrial Score]]+Table1[[#This Row],[Raw Freshwater Score]]</f>
        <v>979.57462412491498</v>
      </c>
      <c r="AC50" s="14">
        <f>Table1[[#This Row],[Terrestrial % of Summed Score]]*Table1[[#This Row],[Scaled Summed Score]]</f>
        <v>3.9268539139044788E-2</v>
      </c>
      <c r="AD50" s="14">
        <f>Table1[[#This Row],[Freshwater % of Summed Score]]*Table1[[#This Row],[Scaled Summed Score]]</f>
        <v>0.11350293762893658</v>
      </c>
      <c r="AE50" s="14">
        <f>Table1[[#This Row],[Summed Raw Scores]]/MAX(Table1[Summed Raw Scores])</f>
        <v>0.15277147676798136</v>
      </c>
      <c r="AF50" s="9"/>
    </row>
    <row r="51" spans="1:32" x14ac:dyDescent="0.3">
      <c r="A51" s="7" t="s">
        <v>139</v>
      </c>
      <c r="B51" s="7" t="s">
        <v>114</v>
      </c>
      <c r="C51" s="7" t="s">
        <v>59</v>
      </c>
      <c r="D51" s="7" t="s">
        <v>250</v>
      </c>
      <c r="E51" s="8">
        <v>53.603466359999999</v>
      </c>
      <c r="F51" s="8">
        <v>-122.39073879999999</v>
      </c>
      <c r="G51" s="8">
        <v>96</v>
      </c>
      <c r="H51" s="7" t="s">
        <v>22</v>
      </c>
      <c r="I51" s="8">
        <v>22.8</v>
      </c>
      <c r="J51" s="8">
        <v>300.25776000000002</v>
      </c>
      <c r="K51" s="8">
        <v>81.417215013863583</v>
      </c>
      <c r="L51" s="8" t="s">
        <v>22</v>
      </c>
      <c r="M51" s="8">
        <v>2.6384777831999999</v>
      </c>
      <c r="N51" s="8">
        <v>33.161730468750001</v>
      </c>
      <c r="O51" s="8">
        <f>Table1[[#This Row],[R1 Length (km)]]+Table1[[#This Row],[T1 Length (km)]]</f>
        <v>35.800208251950004</v>
      </c>
      <c r="P51" s="7">
        <v>230</v>
      </c>
      <c r="Q51" s="8">
        <f>(Table1[[#This Row],[Linear Features (km)]]*0.4)*100</f>
        <v>1432.0083300780002</v>
      </c>
      <c r="R51" s="9">
        <v>12.09</v>
      </c>
      <c r="S51" s="10">
        <f>Table1[[#This Row],[ATG (ha)]]/Table1[[#This Row],[Linear Area (ha)]]</f>
        <v>8.4426883182596203E-3</v>
      </c>
      <c r="T51" s="7" t="s">
        <v>136</v>
      </c>
      <c r="U51" s="11" t="s">
        <v>22</v>
      </c>
      <c r="V51" s="9" t="s">
        <v>22</v>
      </c>
      <c r="W51" s="9" t="s">
        <v>22</v>
      </c>
      <c r="X51" s="13">
        <v>251.51290287077401</v>
      </c>
      <c r="Y51" s="12">
        <f>Table1[[#This Row],[Raw Terrestrial Score]]/Table1[[#This Row],[Summed Raw Scores]]</f>
        <v>0.49029882825653381</v>
      </c>
      <c r="Z51" s="13">
        <v>261.46589368302398</v>
      </c>
      <c r="AA51" s="12">
        <f>Table1[[#This Row],[Raw Freshwater Score]]/Table1[[#This Row],[Summed Raw Scores]]</f>
        <v>0.50970117174346619</v>
      </c>
      <c r="AB51" s="12">
        <f>Table1[[#This Row],[Raw Terrestrial Score]]+Table1[[#This Row],[Raw Freshwater Score]]</f>
        <v>512.97879655379802</v>
      </c>
      <c r="AC51" s="14">
        <f>Table1[[#This Row],[Terrestrial % of Summed Score]]*Table1[[#This Row],[Scaled Summed Score]]</f>
        <v>3.9225186781553657E-2</v>
      </c>
      <c r="AD51" s="14">
        <f>Table1[[#This Row],[Freshwater % of Summed Score]]*Table1[[#This Row],[Scaled Summed Score]]</f>
        <v>4.0777424933908742E-2</v>
      </c>
      <c r="AE51" s="14">
        <f>Table1[[#This Row],[Summed Raw Scores]]/MAX(Table1[Summed Raw Scores])</f>
        <v>8.0002611715462399E-2</v>
      </c>
      <c r="AF51" s="9"/>
    </row>
    <row r="52" spans="1:32" x14ac:dyDescent="0.3">
      <c r="A52" s="7" t="s">
        <v>140</v>
      </c>
      <c r="B52" s="7" t="s">
        <v>114</v>
      </c>
      <c r="C52" s="7" t="s">
        <v>59</v>
      </c>
      <c r="D52" s="7"/>
      <c r="E52" s="8">
        <v>53.187641970000001</v>
      </c>
      <c r="F52" s="8">
        <v>-121.9923874</v>
      </c>
      <c r="G52" s="8">
        <v>75</v>
      </c>
      <c r="H52" s="7" t="s">
        <v>22</v>
      </c>
      <c r="I52" s="8">
        <v>18</v>
      </c>
      <c r="J52" s="8">
        <v>212.47380000000001</v>
      </c>
      <c r="K52" s="8">
        <v>98.4377501225039</v>
      </c>
      <c r="L52" s="8" t="s">
        <v>22</v>
      </c>
      <c r="M52" s="8">
        <v>1.8970565185499999</v>
      </c>
      <c r="N52" s="8">
        <v>36.525691406249997</v>
      </c>
      <c r="O52" s="8">
        <f>Table1[[#This Row],[R1 Length (km)]]+Table1[[#This Row],[T1 Length (km)]]</f>
        <v>38.422747924799999</v>
      </c>
      <c r="P52" s="7">
        <v>230</v>
      </c>
      <c r="Q52" s="8">
        <f>(Table1[[#This Row],[Linear Features (km)]]*0.4)*100</f>
        <v>1536.909916992</v>
      </c>
      <c r="R52" s="9">
        <f>1110924/10000</f>
        <v>111.0924</v>
      </c>
      <c r="S52" s="10">
        <f>Table1[[#This Row],[ATG (ha)]]/Table1[[#This Row],[Linear Area (ha)]]</f>
        <v>7.2282961266478873E-2</v>
      </c>
      <c r="T52" s="7" t="s">
        <v>136</v>
      </c>
      <c r="U52" s="11" t="s">
        <v>22</v>
      </c>
      <c r="V52" s="9" t="s">
        <v>22</v>
      </c>
      <c r="W52" s="9" t="s">
        <v>22</v>
      </c>
      <c r="X52" s="13">
        <v>319.48068203777098</v>
      </c>
      <c r="Y52" s="12">
        <f>Table1[[#This Row],[Raw Terrestrial Score]]/Table1[[#This Row],[Summed Raw Scores]]</f>
        <v>0.52655080590257519</v>
      </c>
      <c r="Z52" s="13">
        <v>287.26168442796899</v>
      </c>
      <c r="AA52" s="12">
        <f>Table1[[#This Row],[Raw Freshwater Score]]/Table1[[#This Row],[Summed Raw Scores]]</f>
        <v>0.47344919409742486</v>
      </c>
      <c r="AB52" s="12">
        <f>Table1[[#This Row],[Raw Terrestrial Score]]+Table1[[#This Row],[Raw Freshwater Score]]</f>
        <v>606.74236646573991</v>
      </c>
      <c r="AC52" s="14">
        <f>Table1[[#This Row],[Terrestrial % of Summed Score]]*Table1[[#This Row],[Scaled Summed Score]]</f>
        <v>4.9825234741409812E-2</v>
      </c>
      <c r="AD52" s="14">
        <f>Table1[[#This Row],[Freshwater % of Summed Score]]*Table1[[#This Row],[Scaled Summed Score]]</f>
        <v>4.480045794175494E-2</v>
      </c>
      <c r="AE52" s="14">
        <f>Table1[[#This Row],[Summed Raw Scores]]/MAX(Table1[Summed Raw Scores])</f>
        <v>9.4625692683164744E-2</v>
      </c>
      <c r="AF52" s="9"/>
    </row>
    <row r="53" spans="1:32" x14ac:dyDescent="0.3">
      <c r="A53" s="7" t="s">
        <v>141</v>
      </c>
      <c r="B53" s="7" t="s">
        <v>114</v>
      </c>
      <c r="C53" s="7" t="s">
        <v>30</v>
      </c>
      <c r="D53" s="7" t="s">
        <v>250</v>
      </c>
      <c r="E53" s="8">
        <v>53.759855649999999</v>
      </c>
      <c r="F53" s="8">
        <v>-123.8971043</v>
      </c>
      <c r="G53" s="8">
        <v>75</v>
      </c>
      <c r="H53" s="7" t="s">
        <v>22</v>
      </c>
      <c r="I53" s="8">
        <v>18</v>
      </c>
      <c r="J53" s="8">
        <v>246.9006</v>
      </c>
      <c r="K53" s="8">
        <v>84.536178019825769</v>
      </c>
      <c r="L53" s="8" t="s">
        <v>22</v>
      </c>
      <c r="M53" s="8">
        <v>1.95563513184</v>
      </c>
      <c r="N53" s="8">
        <v>31.794826171874998</v>
      </c>
      <c r="O53" s="8">
        <f>Table1[[#This Row],[R1 Length (km)]]+Table1[[#This Row],[T1 Length (km)]]</f>
        <v>33.750461303714999</v>
      </c>
      <c r="P53" s="7">
        <v>230</v>
      </c>
      <c r="Q53" s="8">
        <f>(Table1[[#This Row],[Linear Features (km)]]*0.4)*100</f>
        <v>1350.0184521486001</v>
      </c>
      <c r="R53" s="9">
        <v>9.5399999999999991</v>
      </c>
      <c r="S53" s="10">
        <f>Table1[[#This Row],[ATG (ha)]]/Table1[[#This Row],[Linear Area (ha)]]</f>
        <v>7.0665700789620811E-3</v>
      </c>
      <c r="T53" s="7" t="s">
        <v>136</v>
      </c>
      <c r="U53" s="11" t="s">
        <v>22</v>
      </c>
      <c r="V53" s="9" t="s">
        <v>22</v>
      </c>
      <c r="W53" s="9" t="s">
        <v>22</v>
      </c>
      <c r="X53" s="13">
        <v>445.17737496085499</v>
      </c>
      <c r="Y53" s="12">
        <f>Table1[[#This Row],[Raw Terrestrial Score]]/Table1[[#This Row],[Summed Raw Scores]]</f>
        <v>0.38867310159155261</v>
      </c>
      <c r="Z53" s="13">
        <v>700.19999521970703</v>
      </c>
      <c r="AA53" s="12">
        <f>Table1[[#This Row],[Raw Freshwater Score]]/Table1[[#This Row],[Summed Raw Scores]]</f>
        <v>0.61132689840844734</v>
      </c>
      <c r="AB53" s="12">
        <f>Table1[[#This Row],[Raw Terrestrial Score]]+Table1[[#This Row],[Raw Freshwater Score]]</f>
        <v>1145.3773701805621</v>
      </c>
      <c r="AC53" s="14">
        <f>Table1[[#This Row],[Terrestrial % of Summed Score]]*Table1[[#This Row],[Scaled Summed Score]]</f>
        <v>6.9428508376499679E-2</v>
      </c>
      <c r="AD53" s="14">
        <f>Table1[[#This Row],[Freshwater % of Summed Score]]*Table1[[#This Row],[Scaled Summed Score]]</f>
        <v>0.10920105999908722</v>
      </c>
      <c r="AE53" s="14">
        <f>Table1[[#This Row],[Summed Raw Scores]]/MAX(Table1[Summed Raw Scores])</f>
        <v>0.17862956837558691</v>
      </c>
      <c r="AF53" s="9"/>
    </row>
    <row r="54" spans="1:32" x14ac:dyDescent="0.3">
      <c r="A54" s="7" t="s">
        <v>142</v>
      </c>
      <c r="B54" s="7" t="s">
        <v>114</v>
      </c>
      <c r="C54" s="7" t="s">
        <v>30</v>
      </c>
      <c r="D54" s="7"/>
      <c r="E54" s="8">
        <v>54.277220999999997</v>
      </c>
      <c r="F54" s="8">
        <v>-130.33815799999999</v>
      </c>
      <c r="G54" s="8">
        <v>27</v>
      </c>
      <c r="H54" s="7" t="s">
        <v>22</v>
      </c>
      <c r="I54" s="8">
        <v>7.1999999999999993</v>
      </c>
      <c r="J54" s="8">
        <v>89.352000000000004</v>
      </c>
      <c r="K54" s="8">
        <v>105.77926262590856</v>
      </c>
      <c r="L54" s="8" t="s">
        <v>22</v>
      </c>
      <c r="M54" s="8">
        <v>6.2</v>
      </c>
      <c r="N54" s="8">
        <v>4.5941127929687502</v>
      </c>
      <c r="O54" s="8">
        <f>Table1[[#This Row],[R1 Length (km)]]+Table1[[#This Row],[T1 Length (km)]]</f>
        <v>10.79411279296875</v>
      </c>
      <c r="P54" s="7">
        <v>69</v>
      </c>
      <c r="Q54" s="8">
        <f>(Table1[[#This Row],[Linear Features (km)]]*0.4)*100</f>
        <v>431.76451171875004</v>
      </c>
      <c r="R54" s="9">
        <f>423200.9/10000</f>
        <v>42.32009</v>
      </c>
      <c r="S54" s="10">
        <f>Table1[[#This Row],[ATG (ha)]]/Table1[[#This Row],[Linear Area (ha)]]</f>
        <v>9.801660129855036E-2</v>
      </c>
      <c r="T54" s="7" t="s">
        <v>136</v>
      </c>
      <c r="U54" s="11" t="s">
        <v>22</v>
      </c>
      <c r="V54" s="9" t="s">
        <v>22</v>
      </c>
      <c r="W54" s="9" t="s">
        <v>22</v>
      </c>
      <c r="X54" s="13">
        <v>61.7483367323875</v>
      </c>
      <c r="Y54" s="12">
        <f>Table1[[#This Row],[Raw Terrestrial Score]]/Table1[[#This Row],[Summed Raw Scores]]</f>
        <v>0.64773981498057587</v>
      </c>
      <c r="Z54" s="13">
        <v>33.580582849681399</v>
      </c>
      <c r="AA54" s="12">
        <f>Table1[[#This Row],[Raw Freshwater Score]]/Table1[[#This Row],[Summed Raw Scores]]</f>
        <v>0.35226018501942419</v>
      </c>
      <c r="AB54" s="12">
        <f>Table1[[#This Row],[Raw Terrestrial Score]]+Table1[[#This Row],[Raw Freshwater Score]]</f>
        <v>95.328919582068892</v>
      </c>
      <c r="AC54" s="14">
        <f>Table1[[#This Row],[Terrestrial % of Summed Score]]*Table1[[#This Row],[Scaled Summed Score]]</f>
        <v>9.6300826483746143E-3</v>
      </c>
      <c r="AD54" s="14">
        <f>Table1[[#This Row],[Freshwater % of Summed Score]]*Table1[[#This Row],[Scaled Summed Score]]</f>
        <v>5.2371254892993021E-3</v>
      </c>
      <c r="AE54" s="14">
        <f>Table1[[#This Row],[Summed Raw Scores]]/MAX(Table1[Summed Raw Scores])</f>
        <v>1.4867208137673915E-2</v>
      </c>
      <c r="AF54" s="9"/>
    </row>
    <row r="55" spans="1:32" x14ac:dyDescent="0.3">
      <c r="A55" s="7" t="s">
        <v>106</v>
      </c>
      <c r="B55" s="7" t="s">
        <v>97</v>
      </c>
      <c r="C55" s="7" t="s">
        <v>21</v>
      </c>
      <c r="D55" s="7" t="s">
        <v>250</v>
      </c>
      <c r="E55" s="15">
        <v>50.52</v>
      </c>
      <c r="F55" s="15">
        <v>-127.02</v>
      </c>
      <c r="G55" s="8">
        <v>77.599999999999994</v>
      </c>
      <c r="H55" s="8">
        <v>40</v>
      </c>
      <c r="I55" s="8">
        <v>38</v>
      </c>
      <c r="J55" s="16">
        <v>380</v>
      </c>
      <c r="K55" s="16">
        <v>75.443835022643938</v>
      </c>
      <c r="L55" s="8" t="s">
        <v>22</v>
      </c>
      <c r="M55" s="8">
        <v>0</v>
      </c>
      <c r="N55" s="8">
        <v>7.6</v>
      </c>
      <c r="O55" s="8">
        <f>Table1[[#This Row],[R1 Length (km)]]+Table1[[#This Row],[T1 Length (km)]]</f>
        <v>7.6</v>
      </c>
      <c r="P55" s="7">
        <v>130</v>
      </c>
      <c r="Q55" s="8">
        <f>(Table1[[#This Row],[Linear Features (km)]]*0.4)*100</f>
        <v>304</v>
      </c>
      <c r="R55" s="9">
        <v>7.62</v>
      </c>
      <c r="S55" s="10">
        <f>Table1[[#This Row],[ATG (ha)]]/Table1[[#This Row],[Linear Area (ha)]]</f>
        <v>2.5065789473684211E-2</v>
      </c>
      <c r="T55" s="11" t="s">
        <v>22</v>
      </c>
      <c r="U55" s="11" t="s">
        <v>22</v>
      </c>
      <c r="V55" s="9" t="s">
        <v>22</v>
      </c>
      <c r="W55" s="9" t="s">
        <v>22</v>
      </c>
      <c r="X55" s="13">
        <v>20.308280483819502</v>
      </c>
      <c r="Y55" s="12">
        <f>Table1[[#This Row],[Raw Terrestrial Score]]/Table1[[#This Row],[Summed Raw Scores]]</f>
        <v>0.16148828079450261</v>
      </c>
      <c r="Z55" s="13">
        <v>105.448711812496</v>
      </c>
      <c r="AA55" s="12">
        <f>Table1[[#This Row],[Raw Freshwater Score]]/Table1[[#This Row],[Summed Raw Scores]]</f>
        <v>0.83851171920549739</v>
      </c>
      <c r="AB55" s="12">
        <f>Table1[[#This Row],[Raw Terrestrial Score]]+Table1[[#This Row],[Raw Freshwater Score]]</f>
        <v>125.7569922963155</v>
      </c>
      <c r="AC55" s="14">
        <f>Table1[[#This Row],[Terrestrial % of Summed Score]]*Table1[[#This Row],[Scaled Summed Score]]</f>
        <v>3.1672176103000474E-3</v>
      </c>
      <c r="AD55" s="14">
        <f>Table1[[#This Row],[Freshwater % of Summed Score]]*Table1[[#This Row],[Scaled Summed Score]]</f>
        <v>1.644546013150093E-2</v>
      </c>
      <c r="AE55" s="14">
        <f>Table1[[#This Row],[Summed Raw Scores]]/MAX(Table1[Summed Raw Scores])</f>
        <v>1.9612677741800977E-2</v>
      </c>
      <c r="AF55" s="9"/>
    </row>
    <row r="56" spans="1:32" x14ac:dyDescent="0.3">
      <c r="A56" s="7" t="s">
        <v>143</v>
      </c>
      <c r="B56" s="7" t="s">
        <v>114</v>
      </c>
      <c r="C56" s="7" t="s">
        <v>27</v>
      </c>
      <c r="D56" s="7"/>
      <c r="E56" s="8">
        <v>57.537468050000001</v>
      </c>
      <c r="F56" s="8">
        <v>-123.217569</v>
      </c>
      <c r="G56" s="8">
        <v>150</v>
      </c>
      <c r="H56" s="7" t="s">
        <v>22</v>
      </c>
      <c r="I56" s="8">
        <v>36</v>
      </c>
      <c r="J56" s="8">
        <v>464.76180000000005</v>
      </c>
      <c r="K56" s="8">
        <v>107.20800391045138</v>
      </c>
      <c r="L56" s="8" t="s">
        <v>22</v>
      </c>
      <c r="M56" s="8">
        <v>28.1865078125</v>
      </c>
      <c r="N56" s="8">
        <v>218.74175</v>
      </c>
      <c r="O56" s="8">
        <f>Table1[[#This Row],[R1 Length (km)]]+Table1[[#This Row],[T1 Length (km)]]</f>
        <v>246.92825781249999</v>
      </c>
      <c r="P56" s="7">
        <v>230</v>
      </c>
      <c r="Q56" s="8">
        <f>(Table1[[#This Row],[Linear Features (km)]]*0.4)*100</f>
        <v>9877.1303124999995</v>
      </c>
      <c r="R56" s="9">
        <f>2266088/10000</f>
        <v>226.6088</v>
      </c>
      <c r="S56" s="10">
        <f>Table1[[#This Row],[ATG (ha)]]/Table1[[#This Row],[Linear Area (ha)]]</f>
        <v>2.2942777186326608E-2</v>
      </c>
      <c r="T56" s="7" t="s">
        <v>136</v>
      </c>
      <c r="U56" s="11" t="s">
        <v>22</v>
      </c>
      <c r="V56" s="9" t="s">
        <v>22</v>
      </c>
      <c r="W56" s="9" t="s">
        <v>22</v>
      </c>
      <c r="X56" s="13">
        <v>1308.99903351068</v>
      </c>
      <c r="Y56" s="12">
        <f>Table1[[#This Row],[Raw Terrestrial Score]]/Table1[[#This Row],[Summed Raw Scores]]</f>
        <v>0.52755372860572347</v>
      </c>
      <c r="Z56" s="13">
        <v>1172.26299257763</v>
      </c>
      <c r="AA56" s="12">
        <f>Table1[[#This Row],[Raw Freshwater Score]]/Table1[[#This Row],[Summed Raw Scores]]</f>
        <v>0.47244627139427647</v>
      </c>
      <c r="AB56" s="12">
        <f>Table1[[#This Row],[Raw Terrestrial Score]]+Table1[[#This Row],[Raw Freshwater Score]]</f>
        <v>2481.26202608831</v>
      </c>
      <c r="AC56" s="14">
        <f>Table1[[#This Row],[Terrestrial % of Summed Score]]*Table1[[#This Row],[Scaled Summed Score]]</f>
        <v>0.20414750496005685</v>
      </c>
      <c r="AD56" s="14">
        <f>Table1[[#This Row],[Freshwater % of Summed Score]]*Table1[[#This Row],[Scaled Summed Score]]</f>
        <v>0.18282256821068943</v>
      </c>
      <c r="AE56" s="14">
        <f>Table1[[#This Row],[Summed Raw Scores]]/MAX(Table1[Summed Raw Scores])</f>
        <v>0.38697007317074628</v>
      </c>
      <c r="AF56" s="9"/>
    </row>
    <row r="57" spans="1:32" x14ac:dyDescent="0.3">
      <c r="A57" s="7" t="s">
        <v>144</v>
      </c>
      <c r="B57" s="7" t="s">
        <v>114</v>
      </c>
      <c r="C57" s="7" t="s">
        <v>27</v>
      </c>
      <c r="D57" s="7"/>
      <c r="E57" s="8">
        <v>57.414985940000001</v>
      </c>
      <c r="F57" s="8">
        <v>-123.31186289999999</v>
      </c>
      <c r="G57" s="8">
        <v>138</v>
      </c>
      <c r="H57" s="7" t="s">
        <v>22</v>
      </c>
      <c r="I57" s="8">
        <v>33.6</v>
      </c>
      <c r="J57" s="8">
        <v>392.57064000000003</v>
      </c>
      <c r="K57" s="8">
        <v>118.86725171561042</v>
      </c>
      <c r="L57" s="8" t="s">
        <v>22</v>
      </c>
      <c r="M57" s="8">
        <v>33.036265624999999</v>
      </c>
      <c r="N57" s="8">
        <v>207.05425</v>
      </c>
      <c r="O57" s="8">
        <f>Table1[[#This Row],[R1 Length (km)]]+Table1[[#This Row],[T1 Length (km)]]</f>
        <v>240.09051562499999</v>
      </c>
      <c r="P57" s="7">
        <v>230</v>
      </c>
      <c r="Q57" s="8">
        <f>(Table1[[#This Row],[Linear Features (km)]]*0.4)*100</f>
        <v>9603.6206250000014</v>
      </c>
      <c r="R57" s="9">
        <f>2218345/10000</f>
        <v>221.83449999999999</v>
      </c>
      <c r="S57" s="10">
        <f>Table1[[#This Row],[ATG (ha)]]/Table1[[#This Row],[Linear Area (ha)]]</f>
        <v>2.3099048646561874E-2</v>
      </c>
      <c r="T57" s="7" t="s">
        <v>136</v>
      </c>
      <c r="U57" s="11" t="s">
        <v>22</v>
      </c>
      <c r="V57" s="9" t="s">
        <v>22</v>
      </c>
      <c r="W57" s="9" t="s">
        <v>22</v>
      </c>
      <c r="X57" s="13">
        <v>1215.0203520841901</v>
      </c>
      <c r="Y57" s="12">
        <f>Table1[[#This Row],[Raw Terrestrial Score]]/Table1[[#This Row],[Summed Raw Scores]]</f>
        <v>0.54626850358924717</v>
      </c>
      <c r="Z57" s="13">
        <v>1009.19785581343</v>
      </c>
      <c r="AA57" s="12">
        <f>Table1[[#This Row],[Raw Freshwater Score]]/Table1[[#This Row],[Summed Raw Scores]]</f>
        <v>0.45373149641075278</v>
      </c>
      <c r="AB57" s="12">
        <f>Table1[[#This Row],[Raw Terrestrial Score]]+Table1[[#This Row],[Raw Freshwater Score]]</f>
        <v>2224.2182078976202</v>
      </c>
      <c r="AC57" s="14">
        <f>Table1[[#This Row],[Terrestrial % of Summed Score]]*Table1[[#This Row],[Scaled Summed Score]]</f>
        <v>0.18949087585529792</v>
      </c>
      <c r="AD57" s="14">
        <f>Table1[[#This Row],[Freshwater % of Summed Score]]*Table1[[#This Row],[Scaled Summed Score]]</f>
        <v>0.15739142581549509</v>
      </c>
      <c r="AE57" s="14">
        <f>Table1[[#This Row],[Summed Raw Scores]]/MAX(Table1[Summed Raw Scores])</f>
        <v>0.34688230167079304</v>
      </c>
      <c r="AF57" s="9"/>
    </row>
    <row r="58" spans="1:32" x14ac:dyDescent="0.3">
      <c r="A58" s="7" t="s">
        <v>145</v>
      </c>
      <c r="B58" s="7" t="s">
        <v>114</v>
      </c>
      <c r="C58" s="7" t="s">
        <v>27</v>
      </c>
      <c r="D58" s="7"/>
      <c r="E58" s="8">
        <v>57.126208089999999</v>
      </c>
      <c r="F58" s="8">
        <v>-123.0578247</v>
      </c>
      <c r="G58" s="8">
        <v>102</v>
      </c>
      <c r="H58" s="7" t="s">
        <v>22</v>
      </c>
      <c r="I58" s="8">
        <v>25.2</v>
      </c>
      <c r="J58" s="8">
        <v>398.45735999999999</v>
      </c>
      <c r="K58" s="8">
        <v>100.10009970678456</v>
      </c>
      <c r="L58" s="8" t="s">
        <v>22</v>
      </c>
      <c r="M58" s="8">
        <v>16.8266933594</v>
      </c>
      <c r="N58" s="8">
        <v>168.71971875</v>
      </c>
      <c r="O58" s="8">
        <f>Table1[[#This Row],[R1 Length (km)]]+Table1[[#This Row],[T1 Length (km)]]</f>
        <v>185.54641210939999</v>
      </c>
      <c r="P58" s="7">
        <v>230</v>
      </c>
      <c r="Q58" s="8">
        <f>(Table1[[#This Row],[Linear Features (km)]]*0.4)*100</f>
        <v>7421.8564843760005</v>
      </c>
      <c r="R58" s="9">
        <f>1911905/10000</f>
        <v>191.19049999999999</v>
      </c>
      <c r="S58" s="10">
        <f>Table1[[#This Row],[ATG (ha)]]/Table1[[#This Row],[Linear Area (ha)]]</f>
        <v>2.576046847611262E-2</v>
      </c>
      <c r="T58" s="7" t="s">
        <v>136</v>
      </c>
      <c r="U58" s="11" t="s">
        <v>22</v>
      </c>
      <c r="V58" s="9" t="s">
        <v>22</v>
      </c>
      <c r="W58" s="9" t="s">
        <v>22</v>
      </c>
      <c r="X58" s="13">
        <v>947.03790073841799</v>
      </c>
      <c r="Y58" s="12">
        <f>Table1[[#This Row],[Raw Terrestrial Score]]/Table1[[#This Row],[Summed Raw Scores]]</f>
        <v>0.71788749916972661</v>
      </c>
      <c r="Z58" s="13">
        <v>372.16309082880599</v>
      </c>
      <c r="AA58" s="12">
        <f>Table1[[#This Row],[Raw Freshwater Score]]/Table1[[#This Row],[Summed Raw Scores]]</f>
        <v>0.28211250083027339</v>
      </c>
      <c r="AB58" s="12">
        <f>Table1[[#This Row],[Raw Terrestrial Score]]+Table1[[#This Row],[Raw Freshwater Score]]</f>
        <v>1319.200991567224</v>
      </c>
      <c r="AC58" s="14">
        <f>Table1[[#This Row],[Terrestrial % of Summed Score]]*Table1[[#This Row],[Scaled Summed Score]]</f>
        <v>0.1476971484232808</v>
      </c>
      <c r="AD58" s="14">
        <f>Table1[[#This Row],[Freshwater % of Summed Score]]*Table1[[#This Row],[Scaled Summed Score]]</f>
        <v>5.8041422862749485E-2</v>
      </c>
      <c r="AE58" s="14">
        <f>Table1[[#This Row],[Summed Raw Scores]]/MAX(Table1[Summed Raw Scores])</f>
        <v>0.20573857128603029</v>
      </c>
      <c r="AF58" s="9"/>
    </row>
    <row r="59" spans="1:32" x14ac:dyDescent="0.3">
      <c r="A59" s="7" t="s">
        <v>146</v>
      </c>
      <c r="B59" s="7" t="s">
        <v>114</v>
      </c>
      <c r="C59" s="7" t="s">
        <v>27</v>
      </c>
      <c r="D59" s="7"/>
      <c r="E59" s="8">
        <v>57.039813369999997</v>
      </c>
      <c r="F59" s="8">
        <v>-123.0997048</v>
      </c>
      <c r="G59" s="8">
        <v>96</v>
      </c>
      <c r="H59" s="7" t="s">
        <v>22</v>
      </c>
      <c r="I59" s="8">
        <v>22.8</v>
      </c>
      <c r="J59" s="8">
        <v>381.56370000000004</v>
      </c>
      <c r="K59" s="8">
        <v>98.028597491633946</v>
      </c>
      <c r="L59" s="8" t="s">
        <v>22</v>
      </c>
      <c r="M59" s="8">
        <v>17.419585937499999</v>
      </c>
      <c r="N59" s="8">
        <v>159.68956249999999</v>
      </c>
      <c r="O59" s="8">
        <f>Table1[[#This Row],[R1 Length (km)]]+Table1[[#This Row],[T1 Length (km)]]</f>
        <v>177.10914843749998</v>
      </c>
      <c r="P59" s="7">
        <v>230</v>
      </c>
      <c r="Q59" s="8">
        <f>(Table1[[#This Row],[Linear Features (km)]]*0.4)*100</f>
        <v>7084.3659374999997</v>
      </c>
      <c r="R59" s="9">
        <f>1734104/10000</f>
        <v>173.41040000000001</v>
      </c>
      <c r="S59" s="10">
        <f>Table1[[#This Row],[ATG (ha)]]/Table1[[#This Row],[Linear Area (ha)]]</f>
        <v>2.4477899861451081E-2</v>
      </c>
      <c r="T59" s="7" t="s">
        <v>136</v>
      </c>
      <c r="U59" s="11" t="s">
        <v>22</v>
      </c>
      <c r="V59" s="9" t="s">
        <v>22</v>
      </c>
      <c r="W59" s="9" t="s">
        <v>22</v>
      </c>
      <c r="X59" s="13">
        <v>838.59785159677301</v>
      </c>
      <c r="Y59" s="12">
        <f>Table1[[#This Row],[Raw Terrestrial Score]]/Table1[[#This Row],[Summed Raw Scores]]</f>
        <v>0.76194673640803501</v>
      </c>
      <c r="Z59" s="13">
        <v>262.00119493249798</v>
      </c>
      <c r="AA59" s="12">
        <f>Table1[[#This Row],[Raw Freshwater Score]]/Table1[[#This Row],[Summed Raw Scores]]</f>
        <v>0.23805326359196508</v>
      </c>
      <c r="AB59" s="12">
        <f>Table1[[#This Row],[Raw Terrestrial Score]]+Table1[[#This Row],[Raw Freshwater Score]]</f>
        <v>1100.5990465292709</v>
      </c>
      <c r="AC59" s="14">
        <f>Table1[[#This Row],[Terrestrial % of Summed Score]]*Table1[[#This Row],[Scaled Summed Score]]</f>
        <v>0.13078516842690127</v>
      </c>
      <c r="AD59" s="14">
        <f>Table1[[#This Row],[Freshwater % of Summed Score]]*Table1[[#This Row],[Scaled Summed Score]]</f>
        <v>4.0860908887436972E-2</v>
      </c>
      <c r="AE59" s="14">
        <f>Table1[[#This Row],[Summed Raw Scores]]/MAX(Table1[Summed Raw Scores])</f>
        <v>0.17164607731433823</v>
      </c>
      <c r="AF59" s="9"/>
    </row>
    <row r="60" spans="1:32" x14ac:dyDescent="0.3">
      <c r="A60" s="7" t="s">
        <v>147</v>
      </c>
      <c r="B60" s="7" t="s">
        <v>114</v>
      </c>
      <c r="C60" s="7" t="s">
        <v>27</v>
      </c>
      <c r="D60" s="7" t="s">
        <v>250</v>
      </c>
      <c r="E60" s="8">
        <v>56.835681530000002</v>
      </c>
      <c r="F60" s="8">
        <v>-123.01556770000001</v>
      </c>
      <c r="G60" s="8">
        <v>243</v>
      </c>
      <c r="H60" s="7" t="s">
        <v>22</v>
      </c>
      <c r="I60" s="8">
        <v>58.8</v>
      </c>
      <c r="J60" s="8">
        <v>935.09933999999998</v>
      </c>
      <c r="K60" s="8">
        <v>72.047365486389182</v>
      </c>
      <c r="L60" s="8" t="s">
        <v>22</v>
      </c>
      <c r="M60" s="8">
        <v>6.5627421874999996</v>
      </c>
      <c r="N60" s="8">
        <v>134.880015625</v>
      </c>
      <c r="O60" s="8">
        <f>Table1[[#This Row],[R1 Length (km)]]+Table1[[#This Row],[T1 Length (km)]]</f>
        <v>141.44275781249999</v>
      </c>
      <c r="P60" s="7">
        <v>230</v>
      </c>
      <c r="Q60" s="8">
        <f>(Table1[[#This Row],[Linear Features (km)]]*0.4)*100</f>
        <v>5657.7103125000003</v>
      </c>
      <c r="R60" s="9">
        <v>31.17</v>
      </c>
      <c r="S60" s="10">
        <f>Table1[[#This Row],[ATG (ha)]]/Table1[[#This Row],[Linear Area (ha)]]</f>
        <v>5.5092958596932402E-3</v>
      </c>
      <c r="T60" s="7" t="s">
        <v>136</v>
      </c>
      <c r="U60" s="11" t="s">
        <v>22</v>
      </c>
      <c r="V60" s="9" t="s">
        <v>22</v>
      </c>
      <c r="W60" s="9" t="s">
        <v>22</v>
      </c>
      <c r="X60" s="13">
        <v>820.08160084113501</v>
      </c>
      <c r="Y60" s="12">
        <f>Table1[[#This Row],[Raw Terrestrial Score]]/Table1[[#This Row],[Summed Raw Scores]]</f>
        <v>0.75272416643341067</v>
      </c>
      <c r="Z60" s="13">
        <v>269.40328274760401</v>
      </c>
      <c r="AA60" s="12">
        <f>Table1[[#This Row],[Raw Freshwater Score]]/Table1[[#This Row],[Summed Raw Scores]]</f>
        <v>0.24727583356658936</v>
      </c>
      <c r="AB60" s="12">
        <f>Table1[[#This Row],[Raw Terrestrial Score]]+Table1[[#This Row],[Raw Freshwater Score]]</f>
        <v>1089.484883588739</v>
      </c>
      <c r="AC60" s="14">
        <f>Table1[[#This Row],[Terrestrial % of Summed Score]]*Table1[[#This Row],[Scaled Summed Score]]</f>
        <v>0.12789743031846251</v>
      </c>
      <c r="AD60" s="14">
        <f>Table1[[#This Row],[Freshwater % of Summed Score]]*Table1[[#This Row],[Scaled Summed Score]]</f>
        <v>4.2015315972747325E-2</v>
      </c>
      <c r="AE60" s="14">
        <f>Table1[[#This Row],[Summed Raw Scores]]/MAX(Table1[Summed Raw Scores])</f>
        <v>0.16991274629120984</v>
      </c>
      <c r="AF60" s="9"/>
    </row>
    <row r="61" spans="1:32" x14ac:dyDescent="0.3">
      <c r="A61" s="7" t="s">
        <v>148</v>
      </c>
      <c r="B61" s="7" t="s">
        <v>114</v>
      </c>
      <c r="C61" s="7" t="s">
        <v>27</v>
      </c>
      <c r="D61" s="7"/>
      <c r="E61" s="8">
        <v>57.097944140000003</v>
      </c>
      <c r="F61" s="8">
        <v>-122.8989455</v>
      </c>
      <c r="G61" s="8">
        <v>117</v>
      </c>
      <c r="H61" s="7" t="s">
        <v>22</v>
      </c>
      <c r="I61" s="8">
        <v>28.799999999999997</v>
      </c>
      <c r="J61" s="8">
        <v>382.74191999999999</v>
      </c>
      <c r="K61" s="8">
        <v>101.4093717537758</v>
      </c>
      <c r="L61" s="8" t="s">
        <v>22</v>
      </c>
      <c r="M61" s="8">
        <v>10.536749023400001</v>
      </c>
      <c r="N61" s="8">
        <v>162.043265625</v>
      </c>
      <c r="O61" s="8">
        <f>Table1[[#This Row],[R1 Length (km)]]+Table1[[#This Row],[T1 Length (km)]]</f>
        <v>172.58001464840001</v>
      </c>
      <c r="P61" s="7">
        <v>230</v>
      </c>
      <c r="Q61" s="8">
        <f>(Table1[[#This Row],[Linear Features (km)]]*0.4)*100</f>
        <v>6903.2005859360015</v>
      </c>
      <c r="R61" s="9">
        <f>1774803/10000</f>
        <v>177.4803</v>
      </c>
      <c r="S61" s="10">
        <f>Table1[[#This Row],[ATG (ha)]]/Table1[[#This Row],[Linear Area (ha)]]</f>
        <v>2.5709857013511007E-2</v>
      </c>
      <c r="T61" s="7" t="s">
        <v>136</v>
      </c>
      <c r="U61" s="11" t="s">
        <v>22</v>
      </c>
      <c r="V61" s="9" t="s">
        <v>22</v>
      </c>
      <c r="W61" s="9" t="s">
        <v>22</v>
      </c>
      <c r="X61" s="13">
        <v>882.67894299328304</v>
      </c>
      <c r="Y61" s="12">
        <f>Table1[[#This Row],[Raw Terrestrial Score]]/Table1[[#This Row],[Summed Raw Scores]]</f>
        <v>0.72299309080483742</v>
      </c>
      <c r="Z61" s="13">
        <v>338.18880003131898</v>
      </c>
      <c r="AA61" s="12">
        <f>Table1[[#This Row],[Raw Freshwater Score]]/Table1[[#This Row],[Summed Raw Scores]]</f>
        <v>0.27700690919516252</v>
      </c>
      <c r="AB61" s="12">
        <f>Table1[[#This Row],[Raw Terrestrial Score]]+Table1[[#This Row],[Raw Freshwater Score]]</f>
        <v>1220.8677430246021</v>
      </c>
      <c r="AC61" s="14">
        <f>Table1[[#This Row],[Terrestrial % of Summed Score]]*Table1[[#This Row],[Scaled Summed Score]]</f>
        <v>0.13765992126791649</v>
      </c>
      <c r="AD61" s="14">
        <f>Table1[[#This Row],[Freshwater % of Summed Score]]*Table1[[#This Row],[Scaled Summed Score]]</f>
        <v>5.2742895880271153E-2</v>
      </c>
      <c r="AE61" s="14">
        <f>Table1[[#This Row],[Summed Raw Scores]]/MAX(Table1[Summed Raw Scores])</f>
        <v>0.19040281714818766</v>
      </c>
      <c r="AF61" s="9"/>
    </row>
    <row r="62" spans="1:32" x14ac:dyDescent="0.3">
      <c r="A62" s="7" t="s">
        <v>149</v>
      </c>
      <c r="B62" s="7" t="s">
        <v>114</v>
      </c>
      <c r="C62" s="7" t="s">
        <v>27</v>
      </c>
      <c r="D62" s="7"/>
      <c r="E62" s="8">
        <v>56.747592869999998</v>
      </c>
      <c r="F62" s="8">
        <v>-122.8784138</v>
      </c>
      <c r="G62" s="8">
        <v>39</v>
      </c>
      <c r="H62" s="7" t="s">
        <v>22</v>
      </c>
      <c r="I62" s="8">
        <v>9.6</v>
      </c>
      <c r="J62" s="8">
        <v>140.82575999999997</v>
      </c>
      <c r="K62" s="8">
        <v>121.98573541611616</v>
      </c>
      <c r="L62" s="8" t="s">
        <v>22</v>
      </c>
      <c r="M62" s="8">
        <v>11.612484374999999</v>
      </c>
      <c r="N62" s="8">
        <v>101.4219453125</v>
      </c>
      <c r="O62" s="8">
        <f>Table1[[#This Row],[R1 Length (km)]]+Table1[[#This Row],[T1 Length (km)]]</f>
        <v>113.03442968749999</v>
      </c>
      <c r="P62" s="7">
        <v>130</v>
      </c>
      <c r="Q62" s="8">
        <f>(Table1[[#This Row],[Linear Features (km)]]*0.4)*100</f>
        <v>4521.3771875000002</v>
      </c>
      <c r="R62" s="9">
        <f>883905/10000</f>
        <v>88.390500000000003</v>
      </c>
      <c r="S62" s="10">
        <f>Table1[[#This Row],[ATG (ha)]]/Table1[[#This Row],[Linear Area (ha)]]</f>
        <v>1.9549463876707366E-2</v>
      </c>
      <c r="T62" s="7" t="s">
        <v>136</v>
      </c>
      <c r="U62" s="11" t="s">
        <v>22</v>
      </c>
      <c r="V62" s="9" t="s">
        <v>22</v>
      </c>
      <c r="W62" s="9" t="s">
        <v>22</v>
      </c>
      <c r="X62" s="13">
        <v>417.45293180272</v>
      </c>
      <c r="Y62" s="12">
        <f>Table1[[#This Row],[Raw Terrestrial Score]]/Table1[[#This Row],[Summed Raw Scores]]</f>
        <v>0.75626254067740084</v>
      </c>
      <c r="Z62" s="13">
        <v>134.54179139062799</v>
      </c>
      <c r="AA62" s="12">
        <f>Table1[[#This Row],[Raw Freshwater Score]]/Table1[[#This Row],[Summed Raw Scores]]</f>
        <v>0.24373745932259905</v>
      </c>
      <c r="AB62" s="12">
        <f>Table1[[#This Row],[Raw Terrestrial Score]]+Table1[[#This Row],[Raw Freshwater Score]]</f>
        <v>551.99472319334802</v>
      </c>
      <c r="AC62" s="14">
        <f>Table1[[#This Row],[Terrestrial % of Summed Score]]*Table1[[#This Row],[Scaled Summed Score]]</f>
        <v>6.5104688608687761E-2</v>
      </c>
      <c r="AD62" s="14">
        <f>Table1[[#This Row],[Freshwater % of Summed Score]]*Table1[[#This Row],[Scaled Summed Score]]</f>
        <v>2.0982728269546173E-2</v>
      </c>
      <c r="AE62" s="14">
        <f>Table1[[#This Row],[Summed Raw Scores]]/MAX(Table1[Summed Raw Scores])</f>
        <v>8.6087416878233944E-2</v>
      </c>
      <c r="AF62" s="9"/>
    </row>
    <row r="63" spans="1:32" x14ac:dyDescent="0.3">
      <c r="A63" s="7" t="s">
        <v>150</v>
      </c>
      <c r="B63" s="7" t="s">
        <v>114</v>
      </c>
      <c r="C63" s="7" t="s">
        <v>27</v>
      </c>
      <c r="D63" s="7" t="s">
        <v>250</v>
      </c>
      <c r="E63" s="8">
        <v>56.576144149999998</v>
      </c>
      <c r="F63" s="8">
        <v>-122.7750882</v>
      </c>
      <c r="G63" s="8">
        <v>207</v>
      </c>
      <c r="H63" s="7" t="s">
        <v>22</v>
      </c>
      <c r="I63" s="8">
        <v>49.199999999999996</v>
      </c>
      <c r="J63" s="8">
        <v>849.41339999999991</v>
      </c>
      <c r="K63" s="8">
        <v>65.79728571598406</v>
      </c>
      <c r="L63" s="8" t="s">
        <v>22</v>
      </c>
      <c r="M63" s="8">
        <v>3.5870061035200003</v>
      </c>
      <c r="N63" s="8">
        <v>101.32417968750001</v>
      </c>
      <c r="O63" s="8">
        <f>Table1[[#This Row],[R1 Length (km)]]+Table1[[#This Row],[T1 Length (km)]]</f>
        <v>104.91118579102</v>
      </c>
      <c r="P63" s="7">
        <v>230</v>
      </c>
      <c r="Q63" s="8">
        <f>(Table1[[#This Row],[Linear Features (km)]]*0.4)*100</f>
        <v>4196.4474316408005</v>
      </c>
      <c r="R63" s="9">
        <v>26.08</v>
      </c>
      <c r="S63" s="10">
        <f>Table1[[#This Row],[ATG (ha)]]/Table1[[#This Row],[Linear Area (ha)]]</f>
        <v>6.2147805792488586E-3</v>
      </c>
      <c r="T63" s="7" t="s">
        <v>136</v>
      </c>
      <c r="U63" s="11" t="s">
        <v>22</v>
      </c>
      <c r="V63" s="9" t="s">
        <v>22</v>
      </c>
      <c r="W63" s="9" t="s">
        <v>22</v>
      </c>
      <c r="X63" s="13">
        <v>756.94179536029696</v>
      </c>
      <c r="Y63" s="12">
        <f>Table1[[#This Row],[Raw Terrestrial Score]]/Table1[[#This Row],[Summed Raw Scores]]</f>
        <v>0.6062725894897748</v>
      </c>
      <c r="Z63" s="13">
        <v>491.57546978164498</v>
      </c>
      <c r="AA63" s="12">
        <f>Table1[[#This Row],[Raw Freshwater Score]]/Table1[[#This Row],[Summed Raw Scores]]</f>
        <v>0.39372741051022508</v>
      </c>
      <c r="AB63" s="12">
        <f>Table1[[#This Row],[Raw Terrestrial Score]]+Table1[[#This Row],[Raw Freshwater Score]]</f>
        <v>1248.5172651419421</v>
      </c>
      <c r="AC63" s="14">
        <f>Table1[[#This Row],[Terrestrial % of Summed Score]]*Table1[[#This Row],[Scaled Summed Score]]</f>
        <v>0.11805033843940559</v>
      </c>
      <c r="AD63" s="14">
        <f>Table1[[#This Row],[Freshwater % of Summed Score]]*Table1[[#This Row],[Scaled Summed Score]]</f>
        <v>7.6664614019114841E-2</v>
      </c>
      <c r="AE63" s="14">
        <f>Table1[[#This Row],[Summed Raw Scores]]/MAX(Table1[Summed Raw Scores])</f>
        <v>0.19471495245852044</v>
      </c>
      <c r="AF63" s="9"/>
    </row>
    <row r="64" spans="1:32" x14ac:dyDescent="0.3">
      <c r="A64" s="7" t="s">
        <v>151</v>
      </c>
      <c r="B64" s="7" t="s">
        <v>114</v>
      </c>
      <c r="C64" s="7" t="s">
        <v>27</v>
      </c>
      <c r="D64" s="7" t="s">
        <v>250</v>
      </c>
      <c r="E64" s="17">
        <v>56.4503433</v>
      </c>
      <c r="F64" s="17">
        <v>-122.62548390000001</v>
      </c>
      <c r="G64" s="8">
        <v>297</v>
      </c>
      <c r="H64" s="7" t="s">
        <v>22</v>
      </c>
      <c r="I64" s="9">
        <v>70.8</v>
      </c>
      <c r="J64" s="9">
        <v>1239.1238999999998</v>
      </c>
      <c r="K64" s="9">
        <v>55.402836873971559</v>
      </c>
      <c r="L64" s="8" t="s">
        <v>22</v>
      </c>
      <c r="M64" s="8">
        <v>1.7</v>
      </c>
      <c r="N64" s="8">
        <v>82.7</v>
      </c>
      <c r="O64" s="8">
        <f>Table1[[#This Row],[R1 Length (km)]]+Table1[[#This Row],[T1 Length (km)]]</f>
        <v>84.4</v>
      </c>
      <c r="P64" s="7">
        <v>230</v>
      </c>
      <c r="Q64" s="8">
        <f>(Table1[[#This Row],[Linear Features (km)]]*0.4)*100</f>
        <v>3376.0000000000005</v>
      </c>
      <c r="R64" s="9">
        <v>37.53</v>
      </c>
      <c r="S64" s="10">
        <f>Table1[[#This Row],[ATG (ha)]]/Table1[[#This Row],[Linear Area (ha)]]</f>
        <v>1.1116706161137439E-2</v>
      </c>
      <c r="T64" s="7" t="s">
        <v>136</v>
      </c>
      <c r="U64" s="11" t="s">
        <v>22</v>
      </c>
      <c r="V64" s="9" t="s">
        <v>22</v>
      </c>
      <c r="W64" s="9" t="s">
        <v>22</v>
      </c>
      <c r="X64" s="13">
        <v>938.84614177048195</v>
      </c>
      <c r="Y64" s="12">
        <f>Table1[[#This Row],[Raw Terrestrial Score]]/Table1[[#This Row],[Summed Raw Scores]]</f>
        <v>0.57619048079043111</v>
      </c>
      <c r="Z64" s="13">
        <v>690.55624002963305</v>
      </c>
      <c r="AA64" s="12">
        <f>Table1[[#This Row],[Raw Freshwater Score]]/Table1[[#This Row],[Summed Raw Scores]]</f>
        <v>0.42380951920956883</v>
      </c>
      <c r="AB64" s="12">
        <f>Table1[[#This Row],[Raw Terrestrial Score]]+Table1[[#This Row],[Raw Freshwater Score]]</f>
        <v>1629.4023818001151</v>
      </c>
      <c r="AC64" s="14">
        <f>Table1[[#This Row],[Terrestrial % of Summed Score]]*Table1[[#This Row],[Scaled Summed Score]]</f>
        <v>0.14641958662856108</v>
      </c>
      <c r="AD64" s="14">
        <f>Table1[[#This Row],[Freshwater % of Summed Score]]*Table1[[#This Row],[Scaled Summed Score]]</f>
        <v>0.10769704929312124</v>
      </c>
      <c r="AE64" s="14">
        <f>Table1[[#This Row],[Summed Raw Scores]]/MAX(Table1[Summed Raw Scores])</f>
        <v>0.25411663592168232</v>
      </c>
      <c r="AF64" s="9"/>
    </row>
    <row r="65" spans="1:32" x14ac:dyDescent="0.3">
      <c r="A65" s="7" t="s">
        <v>152</v>
      </c>
      <c r="B65" s="7" t="s">
        <v>114</v>
      </c>
      <c r="C65" s="7" t="s">
        <v>27</v>
      </c>
      <c r="D65" s="7" t="s">
        <v>250</v>
      </c>
      <c r="E65" s="17">
        <v>54.408751680000002</v>
      </c>
      <c r="F65" s="17">
        <v>-120.1624003</v>
      </c>
      <c r="G65" s="8">
        <v>126</v>
      </c>
      <c r="H65" s="7" t="s">
        <v>22</v>
      </c>
      <c r="I65" s="9">
        <v>30</v>
      </c>
      <c r="J65" s="9">
        <v>570.82349999999997</v>
      </c>
      <c r="K65" s="9">
        <v>63.989458989339575</v>
      </c>
      <c r="L65" s="8" t="s">
        <v>22</v>
      </c>
      <c r="M65" s="17">
        <v>32.181849609399997</v>
      </c>
      <c r="N65" s="9">
        <v>105.7322109375</v>
      </c>
      <c r="O65" s="9">
        <f>Table1[[#This Row],[R1 Length (km)]]+Table1[[#This Row],[T1 Length (km)]]</f>
        <v>137.9140605469</v>
      </c>
      <c r="P65" s="20">
        <v>230</v>
      </c>
      <c r="Q65" s="17">
        <f>(Table1[[#This Row],[Linear Features (km)]]*0.4)*100</f>
        <v>5516.5624218760004</v>
      </c>
      <c r="R65" s="9">
        <v>15.9</v>
      </c>
      <c r="S65" s="10">
        <f>Table1[[#This Row],[ATG (ha)]]/Table1[[#This Row],[Linear Area (ha)]]</f>
        <v>2.8822296901687078E-3</v>
      </c>
      <c r="T65" s="20" t="s">
        <v>136</v>
      </c>
      <c r="U65" s="11" t="s">
        <v>22</v>
      </c>
      <c r="V65" s="9" t="s">
        <v>22</v>
      </c>
      <c r="W65" s="9" t="s">
        <v>22</v>
      </c>
      <c r="X65" s="13">
        <v>1288.99188378453</v>
      </c>
      <c r="Y65" s="12">
        <f>Table1[[#This Row],[Raw Terrestrial Score]]/Table1[[#This Row],[Summed Raw Scores]]</f>
        <v>0.54748721746751927</v>
      </c>
      <c r="Z65" s="13">
        <v>1065.3861595001099</v>
      </c>
      <c r="AA65" s="12">
        <f>Table1[[#This Row],[Raw Freshwater Score]]/Table1[[#This Row],[Summed Raw Scores]]</f>
        <v>0.45251278253248084</v>
      </c>
      <c r="AB65" s="12">
        <f>Table1[[#This Row],[Raw Terrestrial Score]]+Table1[[#This Row],[Raw Freshwater Score]]</f>
        <v>2354.3780432846397</v>
      </c>
      <c r="AC65" s="14">
        <f>Table1[[#This Row],[Terrestrial % of Summed Score]]*Table1[[#This Row],[Scaled Summed Score]]</f>
        <v>0.20102725078614692</v>
      </c>
      <c r="AD65" s="14">
        <f>Table1[[#This Row],[Freshwater % of Summed Score]]*Table1[[#This Row],[Scaled Summed Score]]</f>
        <v>0.16615438263358359</v>
      </c>
      <c r="AE65" s="14">
        <f>Table1[[#This Row],[Summed Raw Scores]]/MAX(Table1[Summed Raw Scores])</f>
        <v>0.36718163341973048</v>
      </c>
      <c r="AF65" s="9"/>
    </row>
    <row r="66" spans="1:32" x14ac:dyDescent="0.3">
      <c r="A66" s="7" t="s">
        <v>153</v>
      </c>
      <c r="B66" s="7" t="s">
        <v>114</v>
      </c>
      <c r="C66" s="7" t="s">
        <v>27</v>
      </c>
      <c r="D66" s="7" t="s">
        <v>250</v>
      </c>
      <c r="E66" s="8">
        <v>54.532078400000003</v>
      </c>
      <c r="F66" s="8">
        <v>-120.0978831</v>
      </c>
      <c r="G66" s="8">
        <v>96</v>
      </c>
      <c r="H66" s="7" t="s">
        <v>22</v>
      </c>
      <c r="I66" s="8">
        <v>22.8</v>
      </c>
      <c r="J66" s="9">
        <v>344.44758000000002</v>
      </c>
      <c r="K66" s="9">
        <v>80.359901262891157</v>
      </c>
      <c r="L66" s="8" t="s">
        <v>22</v>
      </c>
      <c r="M66" s="8">
        <v>14.8</v>
      </c>
      <c r="N66" s="8">
        <v>97.7</v>
      </c>
      <c r="O66" s="8">
        <f>Table1[[#This Row],[R1 Length (km)]]+Table1[[#This Row],[T1 Length (km)]]</f>
        <v>112.5</v>
      </c>
      <c r="P66" s="7">
        <v>230</v>
      </c>
      <c r="Q66" s="8">
        <f>(Table1[[#This Row],[Linear Features (km)]]*0.4)*100</f>
        <v>4500</v>
      </c>
      <c r="R66" s="9">
        <v>12.09</v>
      </c>
      <c r="S66" s="10">
        <f>Table1[[#This Row],[ATG (ha)]]/Table1[[#This Row],[Linear Area (ha)]]</f>
        <v>2.6866666666666666E-3</v>
      </c>
      <c r="T66" s="7" t="s">
        <v>136</v>
      </c>
      <c r="U66" s="11" t="s">
        <v>22</v>
      </c>
      <c r="V66" s="9" t="s">
        <v>22</v>
      </c>
      <c r="W66" s="9" t="s">
        <v>22</v>
      </c>
      <c r="X66" s="13">
        <v>555.74308043718304</v>
      </c>
      <c r="Y66" s="12">
        <f>Table1[[#This Row],[Raw Terrestrial Score]]/Table1[[#This Row],[Summed Raw Scores]]</f>
        <v>0.65341151132455733</v>
      </c>
      <c r="Z66" s="13">
        <v>294.782309466973</v>
      </c>
      <c r="AA66" s="12">
        <f>Table1[[#This Row],[Raw Freshwater Score]]/Table1[[#This Row],[Summed Raw Scores]]</f>
        <v>0.34658848867544262</v>
      </c>
      <c r="AB66" s="12">
        <f>Table1[[#This Row],[Raw Terrestrial Score]]+Table1[[#This Row],[Raw Freshwater Score]]</f>
        <v>850.5253899041561</v>
      </c>
      <c r="AC66" s="14">
        <f>Table1[[#This Row],[Terrestrial % of Summed Score]]*Table1[[#This Row],[Scaled Summed Score]]</f>
        <v>8.667199926480422E-2</v>
      </c>
      <c r="AD66" s="14">
        <f>Table1[[#This Row],[Freshwater % of Summed Score]]*Table1[[#This Row],[Scaled Summed Score]]</f>
        <v>4.597335173170309E-2</v>
      </c>
      <c r="AE66" s="14">
        <f>Table1[[#This Row],[Summed Raw Scores]]/MAX(Table1[Summed Raw Scores])</f>
        <v>0.13264535099650732</v>
      </c>
      <c r="AF66" s="9"/>
    </row>
    <row r="67" spans="1:32" x14ac:dyDescent="0.3">
      <c r="A67" s="7" t="s">
        <v>154</v>
      </c>
      <c r="B67" s="7" t="s">
        <v>114</v>
      </c>
      <c r="C67" s="7" t="s">
        <v>27</v>
      </c>
      <c r="D67" s="7" t="s">
        <v>250</v>
      </c>
      <c r="E67" s="17">
        <v>54.475945340000003</v>
      </c>
      <c r="F67" s="17">
        <v>-120.2898646</v>
      </c>
      <c r="G67" s="8">
        <v>135</v>
      </c>
      <c r="H67" s="7" t="s">
        <v>22</v>
      </c>
      <c r="I67" s="9">
        <v>32.4</v>
      </c>
      <c r="J67" s="9">
        <v>639.31355999999994</v>
      </c>
      <c r="K67" s="9">
        <v>58.304319594040237</v>
      </c>
      <c r="L67" s="8" t="s">
        <v>22</v>
      </c>
      <c r="M67" s="17">
        <v>6.0698486328099994</v>
      </c>
      <c r="N67" s="9">
        <v>95.404289062499998</v>
      </c>
      <c r="O67" s="9">
        <f>Table1[[#This Row],[R1 Length (km)]]+Table1[[#This Row],[T1 Length (km)]]</f>
        <v>101.47413769530999</v>
      </c>
      <c r="P67" s="20">
        <v>230</v>
      </c>
      <c r="Q67" s="17">
        <f>(Table1[[#This Row],[Linear Features (km)]]*0.4)*100</f>
        <v>4058.9655078123997</v>
      </c>
      <c r="R67" s="9">
        <v>17.18</v>
      </c>
      <c r="S67" s="10">
        <f>Table1[[#This Row],[ATG (ha)]]/Table1[[#This Row],[Linear Area (ha)]]</f>
        <v>4.2326055658598706E-3</v>
      </c>
      <c r="T67" s="20" t="s">
        <v>136</v>
      </c>
      <c r="U67" s="11" t="s">
        <v>22</v>
      </c>
      <c r="V67" s="9" t="s">
        <v>22</v>
      </c>
      <c r="W67" s="9" t="s">
        <v>22</v>
      </c>
      <c r="X67" s="13">
        <v>995.06031909584999</v>
      </c>
      <c r="Y67" s="12">
        <f>Table1[[#This Row],[Raw Terrestrial Score]]/Table1[[#This Row],[Summed Raw Scores]]</f>
        <v>0.51418910010578189</v>
      </c>
      <c r="Z67" s="13">
        <v>940.14273925591306</v>
      </c>
      <c r="AA67" s="12">
        <f>Table1[[#This Row],[Raw Freshwater Score]]/Table1[[#This Row],[Summed Raw Scores]]</f>
        <v>0.48581089989421811</v>
      </c>
      <c r="AB67" s="12">
        <f>Table1[[#This Row],[Raw Terrestrial Score]]+Table1[[#This Row],[Raw Freshwater Score]]</f>
        <v>1935.203058351763</v>
      </c>
      <c r="AC67" s="14">
        <f>Table1[[#This Row],[Terrestrial % of Summed Score]]*Table1[[#This Row],[Scaled Summed Score]]</f>
        <v>0.15518657862058569</v>
      </c>
      <c r="AD67" s="14">
        <f>Table1[[#This Row],[Freshwater % of Summed Score]]*Table1[[#This Row],[Scaled Summed Score]]</f>
        <v>0.14662180002583022</v>
      </c>
      <c r="AE67" s="14">
        <f>Table1[[#This Row],[Summed Raw Scores]]/MAX(Table1[Summed Raw Scores])</f>
        <v>0.30180837864641591</v>
      </c>
      <c r="AF67" s="9"/>
    </row>
    <row r="68" spans="1:32" x14ac:dyDescent="0.3">
      <c r="A68" s="7" t="s">
        <v>155</v>
      </c>
      <c r="B68" s="7" t="s">
        <v>114</v>
      </c>
      <c r="C68" s="7" t="s">
        <v>27</v>
      </c>
      <c r="D68" s="7" t="s">
        <v>250</v>
      </c>
      <c r="E68" s="8">
        <v>54.607456880000001</v>
      </c>
      <c r="F68" s="8">
        <v>-120.4986409</v>
      </c>
      <c r="G68" s="8">
        <v>144</v>
      </c>
      <c r="H68" s="7" t="s">
        <v>22</v>
      </c>
      <c r="I68" s="8">
        <v>34.799999999999997</v>
      </c>
      <c r="J68" s="9">
        <v>640.30781999999999</v>
      </c>
      <c r="K68" s="9">
        <v>53.724829135258389</v>
      </c>
      <c r="L68" s="8" t="s">
        <v>22</v>
      </c>
      <c r="M68" s="8">
        <v>8</v>
      </c>
      <c r="N68" s="8">
        <v>75.900000000000006</v>
      </c>
      <c r="O68" s="8">
        <f>Table1[[#This Row],[R1 Length (km)]]+Table1[[#This Row],[T1 Length (km)]]</f>
        <v>83.9</v>
      </c>
      <c r="P68" s="7">
        <v>230</v>
      </c>
      <c r="Q68" s="8">
        <f>(Table1[[#This Row],[Linear Features (km)]]*0.4)*100</f>
        <v>3356</v>
      </c>
      <c r="R68" s="9">
        <v>18.45</v>
      </c>
      <c r="S68" s="10">
        <f>Table1[[#This Row],[ATG (ha)]]/Table1[[#This Row],[Linear Area (ha)]]</f>
        <v>5.49761620977354E-3</v>
      </c>
      <c r="T68" s="7" t="s">
        <v>136</v>
      </c>
      <c r="U68" s="11" t="s">
        <v>22</v>
      </c>
      <c r="V68" s="9" t="s">
        <v>22</v>
      </c>
      <c r="W68" s="9" t="s">
        <v>22</v>
      </c>
      <c r="X68" s="13">
        <v>189.96316021680801</v>
      </c>
      <c r="Y68" s="12">
        <f>Table1[[#This Row],[Raw Terrestrial Score]]/Table1[[#This Row],[Summed Raw Scores]]</f>
        <v>0.38740264286624498</v>
      </c>
      <c r="Z68" s="13">
        <v>300.38754779938603</v>
      </c>
      <c r="AA68" s="12">
        <f>Table1[[#This Row],[Raw Freshwater Score]]/Table1[[#This Row],[Summed Raw Scores]]</f>
        <v>0.61259735713375496</v>
      </c>
      <c r="AB68" s="12">
        <f>Table1[[#This Row],[Raw Terrestrial Score]]+Table1[[#This Row],[Raw Freshwater Score]]</f>
        <v>490.35070801619406</v>
      </c>
      <c r="AC68" s="14">
        <f>Table1[[#This Row],[Terrestrial % of Summed Score]]*Table1[[#This Row],[Scaled Summed Score]]</f>
        <v>2.9626076261172793E-2</v>
      </c>
      <c r="AD68" s="14">
        <f>Table1[[#This Row],[Freshwater % of Summed Score]]*Table1[[#This Row],[Scaled Summed Score]]</f>
        <v>4.6847527640908791E-2</v>
      </c>
      <c r="AE68" s="14">
        <f>Table1[[#This Row],[Summed Raw Scores]]/MAX(Table1[Summed Raw Scores])</f>
        <v>7.6473603902081591E-2</v>
      </c>
      <c r="AF68" s="9"/>
    </row>
    <row r="69" spans="1:32" x14ac:dyDescent="0.3">
      <c r="A69" s="7" t="s">
        <v>156</v>
      </c>
      <c r="B69" s="7" t="s">
        <v>114</v>
      </c>
      <c r="C69" s="7" t="s">
        <v>27</v>
      </c>
      <c r="D69" s="7" t="s">
        <v>250</v>
      </c>
      <c r="E69" s="8">
        <v>54.738847200000002</v>
      </c>
      <c r="F69" s="8">
        <v>-120.7330381</v>
      </c>
      <c r="G69" s="8">
        <v>108</v>
      </c>
      <c r="H69" s="7" t="s">
        <v>22</v>
      </c>
      <c r="I69" s="8">
        <v>26.4</v>
      </c>
      <c r="J69" s="9">
        <v>476.30748000000006</v>
      </c>
      <c r="K69" s="9">
        <v>62.376135598209594</v>
      </c>
      <c r="L69" s="8" t="s">
        <v>22</v>
      </c>
      <c r="M69" s="8">
        <v>13.4</v>
      </c>
      <c r="N69" s="8">
        <v>55.7</v>
      </c>
      <c r="O69" s="8">
        <f>Table1[[#This Row],[R1 Length (km)]]+Table1[[#This Row],[T1 Length (km)]]</f>
        <v>69.100000000000009</v>
      </c>
      <c r="P69" s="7">
        <v>230</v>
      </c>
      <c r="Q69" s="8">
        <f>(Table1[[#This Row],[Linear Features (km)]]*0.4)*100</f>
        <v>2764.0000000000005</v>
      </c>
      <c r="R69" s="9">
        <v>14</v>
      </c>
      <c r="S69" s="10">
        <f>Table1[[#This Row],[ATG (ha)]]/Table1[[#This Row],[Linear Area (ha)]]</f>
        <v>5.0651230101302451E-3</v>
      </c>
      <c r="T69" s="7" t="s">
        <v>136</v>
      </c>
      <c r="U69" s="11" t="s">
        <v>22</v>
      </c>
      <c r="V69" s="9" t="s">
        <v>22</v>
      </c>
      <c r="W69" s="9" t="s">
        <v>22</v>
      </c>
      <c r="X69" s="13">
        <v>153.727758288383</v>
      </c>
      <c r="Y69" s="12">
        <f>Table1[[#This Row],[Raw Terrestrial Score]]/Table1[[#This Row],[Summed Raw Scores]]</f>
        <v>0.38343612464970361</v>
      </c>
      <c r="Z69" s="13">
        <v>247.19366879109299</v>
      </c>
      <c r="AA69" s="12">
        <f>Table1[[#This Row],[Raw Freshwater Score]]/Table1[[#This Row],[Summed Raw Scores]]</f>
        <v>0.61656387535029644</v>
      </c>
      <c r="AB69" s="12">
        <f>Table1[[#This Row],[Raw Terrestrial Score]]+Table1[[#This Row],[Raw Freshwater Score]]</f>
        <v>400.92142707947596</v>
      </c>
      <c r="AC69" s="14">
        <f>Table1[[#This Row],[Terrestrial % of Summed Score]]*Table1[[#This Row],[Scaled Summed Score]]</f>
        <v>2.3974913269040273E-2</v>
      </c>
      <c r="AD69" s="14">
        <f>Table1[[#This Row],[Freshwater % of Summed Score]]*Table1[[#This Row],[Scaled Summed Score]]</f>
        <v>3.8551572181288844E-2</v>
      </c>
      <c r="AE69" s="14">
        <f>Table1[[#This Row],[Summed Raw Scores]]/MAX(Table1[Summed Raw Scores])</f>
        <v>6.2526485450329114E-2</v>
      </c>
      <c r="AF69" s="9"/>
    </row>
    <row r="70" spans="1:32" x14ac:dyDescent="0.3">
      <c r="A70" s="7" t="s">
        <v>157</v>
      </c>
      <c r="B70" s="7" t="s">
        <v>114</v>
      </c>
      <c r="C70" s="7" t="s">
        <v>27</v>
      </c>
      <c r="D70" s="7" t="s">
        <v>250</v>
      </c>
      <c r="E70" s="17">
        <v>54.660196710000001</v>
      </c>
      <c r="F70" s="17">
        <v>-120.64686709999999</v>
      </c>
      <c r="G70" s="8">
        <v>99</v>
      </c>
      <c r="H70" s="7" t="s">
        <v>22</v>
      </c>
      <c r="I70" s="9">
        <v>24</v>
      </c>
      <c r="J70" s="9">
        <v>455.60760000000005</v>
      </c>
      <c r="K70" s="9">
        <v>62.647886314441195</v>
      </c>
      <c r="L70" s="8" t="s">
        <v>22</v>
      </c>
      <c r="M70" s="17">
        <v>7.4941132812499998</v>
      </c>
      <c r="N70" s="9">
        <v>66.314632812499994</v>
      </c>
      <c r="O70" s="9">
        <f>Table1[[#This Row],[R1 Length (km)]]+Table1[[#This Row],[T1 Length (km)]]</f>
        <v>73.808746093749988</v>
      </c>
      <c r="P70" s="20">
        <v>230</v>
      </c>
      <c r="Q70" s="17">
        <f>(Table1[[#This Row],[Linear Features (km)]]*0.4)*100</f>
        <v>2952.3498437499993</v>
      </c>
      <c r="R70" s="9">
        <v>12.72</v>
      </c>
      <c r="S70" s="10">
        <f>Table1[[#This Row],[ATG (ha)]]/Table1[[#This Row],[Linear Area (ha)]]</f>
        <v>4.3084324938413741E-3</v>
      </c>
      <c r="T70" s="20" t="s">
        <v>136</v>
      </c>
      <c r="U70" s="11" t="s">
        <v>22</v>
      </c>
      <c r="V70" s="9" t="s">
        <v>22</v>
      </c>
      <c r="W70" s="9" t="s">
        <v>22</v>
      </c>
      <c r="X70" s="13">
        <v>410.91395670175598</v>
      </c>
      <c r="Y70" s="12">
        <f>Table1[[#This Row],[Raw Terrestrial Score]]/Table1[[#This Row],[Summed Raw Scores]]</f>
        <v>0.45439849623803175</v>
      </c>
      <c r="Z70" s="13">
        <v>493.38911671005201</v>
      </c>
      <c r="AA70" s="12">
        <f>Table1[[#This Row],[Raw Freshwater Score]]/Table1[[#This Row],[Summed Raw Scores]]</f>
        <v>0.54560150376196825</v>
      </c>
      <c r="AB70" s="12">
        <f>Table1[[#This Row],[Raw Terrestrial Score]]+Table1[[#This Row],[Raw Freshwater Score]]</f>
        <v>904.30307341180799</v>
      </c>
      <c r="AC70" s="14">
        <f>Table1[[#This Row],[Terrestrial % of Summed Score]]*Table1[[#This Row],[Scaled Summed Score]]</f>
        <v>6.4084889955148994E-2</v>
      </c>
      <c r="AD70" s="14">
        <f>Table1[[#This Row],[Freshwater % of Summed Score]]*Table1[[#This Row],[Scaled Summed Score]]</f>
        <v>7.6947464873725308E-2</v>
      </c>
      <c r="AE70" s="14">
        <f>Table1[[#This Row],[Summed Raw Scores]]/MAX(Table1[Summed Raw Scores])</f>
        <v>0.1410323548288743</v>
      </c>
      <c r="AF70" s="9"/>
    </row>
    <row r="71" spans="1:32" x14ac:dyDescent="0.3">
      <c r="A71" s="7" t="s">
        <v>158</v>
      </c>
      <c r="B71" s="7" t="s">
        <v>114</v>
      </c>
      <c r="C71" s="7" t="s">
        <v>27</v>
      </c>
      <c r="D71" s="7" t="s">
        <v>250</v>
      </c>
      <c r="E71" s="8">
        <v>55.689261600000002</v>
      </c>
      <c r="F71" s="8">
        <v>-122.1239058</v>
      </c>
      <c r="G71" s="8">
        <v>102</v>
      </c>
      <c r="H71" s="7" t="s">
        <v>22</v>
      </c>
      <c r="I71" s="8">
        <v>25.2</v>
      </c>
      <c r="J71" s="9">
        <v>335.91096000000005</v>
      </c>
      <c r="K71" s="9">
        <v>68.72877135682117</v>
      </c>
      <c r="L71" s="8" t="s">
        <v>22</v>
      </c>
      <c r="M71" s="8">
        <v>1.4</v>
      </c>
      <c r="N71" s="8">
        <v>32.299999999999997</v>
      </c>
      <c r="O71" s="8">
        <f>Table1[[#This Row],[R1 Length (km)]]+Table1[[#This Row],[T1 Length (km)]]</f>
        <v>33.699999999999996</v>
      </c>
      <c r="P71" s="7">
        <v>130</v>
      </c>
      <c r="Q71" s="8">
        <f>(Table1[[#This Row],[Linear Features (km)]]*0.4)*100</f>
        <v>1347.9999999999998</v>
      </c>
      <c r="R71" s="9">
        <v>13.36</v>
      </c>
      <c r="S71" s="10">
        <f>Table1[[#This Row],[ATG (ha)]]/Table1[[#This Row],[Linear Area (ha)]]</f>
        <v>9.9109792284866483E-3</v>
      </c>
      <c r="T71" s="7" t="s">
        <v>136</v>
      </c>
      <c r="U71" s="11" t="s">
        <v>22</v>
      </c>
      <c r="V71" s="9" t="s">
        <v>22</v>
      </c>
      <c r="W71" s="9" t="s">
        <v>22</v>
      </c>
      <c r="X71" s="13">
        <v>785.17927653342497</v>
      </c>
      <c r="Y71" s="12">
        <f>Table1[[#This Row],[Raw Terrestrial Score]]/Table1[[#This Row],[Summed Raw Scores]]</f>
        <v>0.50202179830928861</v>
      </c>
      <c r="Z71" s="13">
        <v>778.85495301149797</v>
      </c>
      <c r="AA71" s="12">
        <f>Table1[[#This Row],[Raw Freshwater Score]]/Table1[[#This Row],[Summed Raw Scores]]</f>
        <v>0.49797820169071133</v>
      </c>
      <c r="AB71" s="12">
        <f>Table1[[#This Row],[Raw Terrestrial Score]]+Table1[[#This Row],[Raw Freshwater Score]]</f>
        <v>1564.0342295449229</v>
      </c>
      <c r="AC71" s="14">
        <f>Table1[[#This Row],[Terrestrial % of Summed Score]]*Table1[[#This Row],[Scaled Summed Score]]</f>
        <v>0.12245417005446048</v>
      </c>
      <c r="AD71" s="14">
        <f>Table1[[#This Row],[Freshwater % of Summed Score]]*Table1[[#This Row],[Scaled Summed Score]]</f>
        <v>0.12146784780783595</v>
      </c>
      <c r="AE71" s="14">
        <f>Table1[[#This Row],[Summed Raw Scores]]/MAX(Table1[Summed Raw Scores])</f>
        <v>0.24392201786229645</v>
      </c>
      <c r="AF71" s="9"/>
    </row>
    <row r="72" spans="1:32" x14ac:dyDescent="0.3">
      <c r="A72" s="7" t="s">
        <v>159</v>
      </c>
      <c r="B72" s="7" t="s">
        <v>114</v>
      </c>
      <c r="C72" s="7" t="s">
        <v>27</v>
      </c>
      <c r="D72" s="7" t="s">
        <v>250</v>
      </c>
      <c r="E72" s="17">
        <v>55.364116840000001</v>
      </c>
      <c r="F72" s="17">
        <v>-121.4835836</v>
      </c>
      <c r="G72" s="8">
        <v>138</v>
      </c>
      <c r="H72" s="7" t="s">
        <v>22</v>
      </c>
      <c r="I72" s="9">
        <v>33.6</v>
      </c>
      <c r="J72" s="9">
        <v>562.91759999999999</v>
      </c>
      <c r="K72" s="9">
        <v>52.49959951056757</v>
      </c>
      <c r="L72" s="8" t="s">
        <v>22</v>
      </c>
      <c r="M72" s="17">
        <v>7.1597988281300005</v>
      </c>
      <c r="N72" s="9">
        <v>18.976451171874999</v>
      </c>
      <c r="O72" s="9">
        <f>Table1[[#This Row],[R1 Length (km)]]+Table1[[#This Row],[T1 Length (km)]]</f>
        <v>26.136250000004999</v>
      </c>
      <c r="P72" s="20">
        <v>230</v>
      </c>
      <c r="Q72" s="17">
        <f>(Table1[[#This Row],[Linear Features (km)]]*0.4)*100</f>
        <v>1045.4500000001999</v>
      </c>
      <c r="R72" s="9">
        <v>17.809999999999999</v>
      </c>
      <c r="S72" s="10">
        <f>Table1[[#This Row],[ATG (ha)]]/Table1[[#This Row],[Linear Area (ha)]]</f>
        <v>1.7035726242284752E-2</v>
      </c>
      <c r="T72" s="20" t="s">
        <v>136</v>
      </c>
      <c r="U72" s="11" t="s">
        <v>22</v>
      </c>
      <c r="V72" s="9" t="s">
        <v>22</v>
      </c>
      <c r="W72" s="9" t="s">
        <v>22</v>
      </c>
      <c r="X72" s="13">
        <v>107.665150224231</v>
      </c>
      <c r="Y72" s="12">
        <f>Table1[[#This Row],[Raw Terrestrial Score]]/Table1[[#This Row],[Summed Raw Scores]]</f>
        <v>0.59776343144376731</v>
      </c>
      <c r="Z72" s="13">
        <v>72.448159758932903</v>
      </c>
      <c r="AA72" s="12">
        <f>Table1[[#This Row],[Raw Freshwater Score]]/Table1[[#This Row],[Summed Raw Scores]]</f>
        <v>0.40223656855623274</v>
      </c>
      <c r="AB72" s="12">
        <f>Table1[[#This Row],[Raw Terrestrial Score]]+Table1[[#This Row],[Raw Freshwater Score]]</f>
        <v>180.1133099831639</v>
      </c>
      <c r="AC72" s="14">
        <f>Table1[[#This Row],[Terrestrial % of Summed Score]]*Table1[[#This Row],[Scaled Summed Score]]</f>
        <v>1.6791129119842194E-2</v>
      </c>
      <c r="AD72" s="14">
        <f>Table1[[#This Row],[Freshwater % of Summed Score]]*Table1[[#This Row],[Scaled Summed Score]]</f>
        <v>1.1298794479677571E-2</v>
      </c>
      <c r="AE72" s="14">
        <f>Table1[[#This Row],[Summed Raw Scores]]/MAX(Table1[Summed Raw Scores])</f>
        <v>2.8089923599519763E-2</v>
      </c>
      <c r="AF72" s="9"/>
    </row>
    <row r="73" spans="1:32" x14ac:dyDescent="0.3">
      <c r="A73" s="7" t="s">
        <v>160</v>
      </c>
      <c r="B73" s="7" t="s">
        <v>114</v>
      </c>
      <c r="C73" s="7" t="s">
        <v>27</v>
      </c>
      <c r="D73" s="7" t="s">
        <v>250</v>
      </c>
      <c r="E73" s="17">
        <v>54.924725109999997</v>
      </c>
      <c r="F73" s="17">
        <v>-121.4223738</v>
      </c>
      <c r="G73" s="8">
        <v>117</v>
      </c>
      <c r="H73" s="7" t="s">
        <v>22</v>
      </c>
      <c r="I73" s="9">
        <v>27.599999999999998</v>
      </c>
      <c r="J73" s="9">
        <v>536.13828000000001</v>
      </c>
      <c r="K73" s="9">
        <v>54.493656577696221</v>
      </c>
      <c r="L73" s="8" t="s">
        <v>22</v>
      </c>
      <c r="M73" s="17">
        <v>3.4455847168</v>
      </c>
      <c r="N73" s="9">
        <v>33.058789062499997</v>
      </c>
      <c r="O73" s="9">
        <f>Table1[[#This Row],[R1 Length (km)]]+Table1[[#This Row],[T1 Length (km)]]</f>
        <v>36.504373779299996</v>
      </c>
      <c r="P73" s="20">
        <v>230</v>
      </c>
      <c r="Q73" s="17">
        <f>(Table1[[#This Row],[Linear Features (km)]]*0.4)*100</f>
        <v>1460.174951172</v>
      </c>
      <c r="R73" s="9">
        <v>14.63</v>
      </c>
      <c r="S73" s="10">
        <f>Table1[[#This Row],[ATG (ha)]]/Table1[[#This Row],[Linear Area (ha)]]</f>
        <v>1.0019347331124483E-2</v>
      </c>
      <c r="T73" s="20" t="s">
        <v>136</v>
      </c>
      <c r="U73" s="11" t="s">
        <v>22</v>
      </c>
      <c r="V73" s="9" t="s">
        <v>22</v>
      </c>
      <c r="W73" s="9" t="s">
        <v>22</v>
      </c>
      <c r="X73" s="13">
        <v>663.57863071560905</v>
      </c>
      <c r="Y73" s="12">
        <f>Table1[[#This Row],[Raw Terrestrial Score]]/Table1[[#This Row],[Summed Raw Scores]]</f>
        <v>0.44321471478319791</v>
      </c>
      <c r="Z73" s="13">
        <v>833.61586347036098</v>
      </c>
      <c r="AA73" s="12">
        <f>Table1[[#This Row],[Raw Freshwater Score]]/Table1[[#This Row],[Summed Raw Scores]]</f>
        <v>0.55678528521680204</v>
      </c>
      <c r="AB73" s="12">
        <f>Table1[[#This Row],[Raw Terrestrial Score]]+Table1[[#This Row],[Raw Freshwater Score]]</f>
        <v>1497.1944941859701</v>
      </c>
      <c r="AC73" s="14">
        <f>Table1[[#This Row],[Terrestrial % of Summed Score]]*Table1[[#This Row],[Scaled Summed Score]]</f>
        <v>0.10348970345843825</v>
      </c>
      <c r="AD73" s="14">
        <f>Table1[[#This Row],[Freshwater % of Summed Score]]*Table1[[#This Row],[Scaled Summed Score]]</f>
        <v>0.13000819272278641</v>
      </c>
      <c r="AE73" s="14">
        <f>Table1[[#This Row],[Summed Raw Scores]]/MAX(Table1[Summed Raw Scores])</f>
        <v>0.23349789618122466</v>
      </c>
      <c r="AF73" s="9"/>
    </row>
    <row r="74" spans="1:32" x14ac:dyDescent="0.3">
      <c r="A74" s="7" t="s">
        <v>161</v>
      </c>
      <c r="B74" s="7" t="s">
        <v>114</v>
      </c>
      <c r="C74" s="7" t="s">
        <v>27</v>
      </c>
      <c r="D74" s="7" t="s">
        <v>250</v>
      </c>
      <c r="E74" s="8">
        <v>54.783424879999998</v>
      </c>
      <c r="F74" s="8">
        <v>-120.28676</v>
      </c>
      <c r="G74" s="8">
        <v>156</v>
      </c>
      <c r="H74" s="7" t="s">
        <v>22</v>
      </c>
      <c r="I74" s="8">
        <v>38.4</v>
      </c>
      <c r="J74" s="9">
        <v>681.59807999999998</v>
      </c>
      <c r="K74" s="9">
        <v>53.877756587889799</v>
      </c>
      <c r="L74" s="8" t="s">
        <v>22</v>
      </c>
      <c r="M74" s="8">
        <v>7.3</v>
      </c>
      <c r="N74" s="8">
        <v>72.2</v>
      </c>
      <c r="O74" s="8">
        <f>Table1[[#This Row],[R1 Length (km)]]+Table1[[#This Row],[T1 Length (km)]]</f>
        <v>79.5</v>
      </c>
      <c r="P74" s="7">
        <v>230</v>
      </c>
      <c r="Q74" s="8">
        <f>(Table1[[#This Row],[Linear Features (km)]]*0.4)*100</f>
        <v>3180</v>
      </c>
      <c r="R74" s="9">
        <v>20.36</v>
      </c>
      <c r="S74" s="10">
        <f>Table1[[#This Row],[ATG (ha)]]/Table1[[#This Row],[Linear Area (ha)]]</f>
        <v>6.4025157232704402E-3</v>
      </c>
      <c r="T74" s="7" t="s">
        <v>136</v>
      </c>
      <c r="U74" s="11" t="s">
        <v>22</v>
      </c>
      <c r="V74" s="9" t="s">
        <v>22</v>
      </c>
      <c r="W74" s="9" t="s">
        <v>22</v>
      </c>
      <c r="X74" s="13">
        <v>382.43551254272501</v>
      </c>
      <c r="Y74" s="12">
        <f>Table1[[#This Row],[Raw Terrestrial Score]]/Table1[[#This Row],[Summed Raw Scores]]</f>
        <v>0.78652889274569471</v>
      </c>
      <c r="Z74" s="13">
        <v>103.796482327394</v>
      </c>
      <c r="AA74" s="12">
        <f>Table1[[#This Row],[Raw Freshwater Score]]/Table1[[#This Row],[Summed Raw Scores]]</f>
        <v>0.21347110725430529</v>
      </c>
      <c r="AB74" s="12">
        <f>Table1[[#This Row],[Raw Terrestrial Score]]+Table1[[#This Row],[Raw Freshwater Score]]</f>
        <v>486.23199487011902</v>
      </c>
      <c r="AC74" s="14">
        <f>Table1[[#This Row],[Terrestrial % of Summed Score]]*Table1[[#This Row],[Scaled Summed Score]]</f>
        <v>5.9643478486251192E-2</v>
      </c>
      <c r="AD74" s="14">
        <f>Table1[[#This Row],[Freshwater % of Summed Score]]*Table1[[#This Row],[Scaled Summed Score]]</f>
        <v>1.6187783450028984E-2</v>
      </c>
      <c r="AE74" s="14">
        <f>Table1[[#This Row],[Summed Raw Scores]]/MAX(Table1[Summed Raw Scores])</f>
        <v>7.5831261936280175E-2</v>
      </c>
      <c r="AF74" s="9"/>
    </row>
    <row r="75" spans="1:32" x14ac:dyDescent="0.3">
      <c r="A75" s="7" t="s">
        <v>162</v>
      </c>
      <c r="B75" s="7" t="s">
        <v>114</v>
      </c>
      <c r="C75" s="7" t="s">
        <v>27</v>
      </c>
      <c r="D75" s="7" t="s">
        <v>250</v>
      </c>
      <c r="E75" s="17">
        <v>54.862150470000003</v>
      </c>
      <c r="F75" s="17">
        <v>-121.0169033</v>
      </c>
      <c r="G75" s="8">
        <v>99</v>
      </c>
      <c r="H75" s="7" t="s">
        <v>22</v>
      </c>
      <c r="I75" s="9">
        <v>24</v>
      </c>
      <c r="J75" s="9">
        <v>462.52800000000002</v>
      </c>
      <c r="K75" s="9">
        <v>57.646413028801121</v>
      </c>
      <c r="L75" s="8" t="s">
        <v>22</v>
      </c>
      <c r="M75" s="17">
        <v>15.8065888672</v>
      </c>
      <c r="N75" s="9">
        <v>35.176449218750001</v>
      </c>
      <c r="O75" s="9">
        <f>Table1[[#This Row],[R1 Length (km)]]+Table1[[#This Row],[T1 Length (km)]]</f>
        <v>50.98303808595</v>
      </c>
      <c r="P75" s="20">
        <v>230</v>
      </c>
      <c r="Q75" s="17">
        <f>(Table1[[#This Row],[Linear Features (km)]]*0.4)*100</f>
        <v>2039.3215234380002</v>
      </c>
      <c r="R75" s="9">
        <v>12.72</v>
      </c>
      <c r="S75" s="10">
        <f>Table1[[#This Row],[ATG (ha)]]/Table1[[#This Row],[Linear Area (ha)]]</f>
        <v>6.2373685825450054E-3</v>
      </c>
      <c r="T75" s="20" t="s">
        <v>136</v>
      </c>
      <c r="U75" s="11" t="s">
        <v>22</v>
      </c>
      <c r="V75" s="9" t="s">
        <v>22</v>
      </c>
      <c r="W75" s="9" t="s">
        <v>22</v>
      </c>
      <c r="X75" s="13">
        <v>781.95895117521297</v>
      </c>
      <c r="Y75" s="12">
        <f>Table1[[#This Row],[Raw Terrestrial Score]]/Table1[[#This Row],[Summed Raw Scores]]</f>
        <v>0.47915469633530478</v>
      </c>
      <c r="Z75" s="13">
        <v>849.99615049827798</v>
      </c>
      <c r="AA75" s="12">
        <f>Table1[[#This Row],[Raw Freshwater Score]]/Table1[[#This Row],[Summed Raw Scores]]</f>
        <v>0.52084530366469528</v>
      </c>
      <c r="AB75" s="12">
        <f>Table1[[#This Row],[Raw Terrestrial Score]]+Table1[[#This Row],[Raw Freshwater Score]]</f>
        <v>1631.9551016734908</v>
      </c>
      <c r="AC75" s="14">
        <f>Table1[[#This Row],[Terrestrial % of Summed Score]]*Table1[[#This Row],[Scaled Summed Score]]</f>
        <v>0.1219519379135586</v>
      </c>
      <c r="AD75" s="14">
        <f>Table1[[#This Row],[Freshwater % of Summed Score]]*Table1[[#This Row],[Scaled Summed Score]]</f>
        <v>0.1325628124296554</v>
      </c>
      <c r="AE75" s="14">
        <f>Table1[[#This Row],[Summed Raw Scores]]/MAX(Table1[Summed Raw Scores])</f>
        <v>0.25451475034321397</v>
      </c>
      <c r="AF75" s="9"/>
    </row>
    <row r="76" spans="1:32" x14ac:dyDescent="0.3">
      <c r="A76" s="7" t="s">
        <v>163</v>
      </c>
      <c r="B76" s="7" t="s">
        <v>114</v>
      </c>
      <c r="C76" s="7" t="s">
        <v>59</v>
      </c>
      <c r="D76" s="7"/>
      <c r="E76" s="8">
        <v>56.238809310000001</v>
      </c>
      <c r="F76" s="8">
        <v>-124.4981851</v>
      </c>
      <c r="G76" s="8">
        <v>207</v>
      </c>
      <c r="H76" s="7" t="s">
        <v>22</v>
      </c>
      <c r="I76" s="8">
        <v>49.199999999999996</v>
      </c>
      <c r="J76" s="8">
        <v>459.3656400000001</v>
      </c>
      <c r="K76" s="8">
        <v>121.35392801256627</v>
      </c>
      <c r="L76" s="8" t="s">
        <v>22</v>
      </c>
      <c r="M76" s="8">
        <v>3.4455849609400002</v>
      </c>
      <c r="N76" s="8">
        <v>181.21009375</v>
      </c>
      <c r="O76" s="8">
        <f>Table1[[#This Row],[R1 Length (km)]]+Table1[[#This Row],[T1 Length (km)]]</f>
        <v>184.65567871094001</v>
      </c>
      <c r="P76" s="7">
        <v>230</v>
      </c>
      <c r="Q76" s="8">
        <f>(Table1[[#This Row],[Linear Features (km)]]*0.4)*100</f>
        <v>7386.2271484376006</v>
      </c>
      <c r="R76" s="9">
        <f>2987057/10000</f>
        <v>298.70569999999998</v>
      </c>
      <c r="S76" s="10">
        <f>Table1[[#This Row],[ATG (ha)]]/Table1[[#This Row],[Linear Area (ha)]]</f>
        <v>4.0440903589484767E-2</v>
      </c>
      <c r="T76" s="7" t="s">
        <v>136</v>
      </c>
      <c r="U76" s="11" t="s">
        <v>22</v>
      </c>
      <c r="V76" s="9" t="s">
        <v>22</v>
      </c>
      <c r="W76" s="9" t="s">
        <v>22</v>
      </c>
      <c r="X76" s="13">
        <v>1416.9746628999701</v>
      </c>
      <c r="Y76" s="12">
        <f>Table1[[#This Row],[Raw Terrestrial Score]]/Table1[[#This Row],[Summed Raw Scores]]</f>
        <v>0.66308476551238993</v>
      </c>
      <c r="Z76" s="13">
        <v>719.96881189849205</v>
      </c>
      <c r="AA76" s="12">
        <f>Table1[[#This Row],[Raw Freshwater Score]]/Table1[[#This Row],[Summed Raw Scores]]</f>
        <v>0.33691523448761002</v>
      </c>
      <c r="AB76" s="12">
        <f>Table1[[#This Row],[Raw Terrestrial Score]]+Table1[[#This Row],[Raw Freshwater Score]]</f>
        <v>2136.9434747984624</v>
      </c>
      <c r="AC76" s="14">
        <f>Table1[[#This Row],[Terrestrial % of Summed Score]]*Table1[[#This Row],[Scaled Summed Score]]</f>
        <v>0.22098705546545114</v>
      </c>
      <c r="AD76" s="14">
        <f>Table1[[#This Row],[Freshwater % of Summed Score]]*Table1[[#This Row],[Scaled Summed Score]]</f>
        <v>0.11228414447636371</v>
      </c>
      <c r="AE76" s="14">
        <f>Table1[[#This Row],[Summed Raw Scores]]/MAX(Table1[Summed Raw Scores])</f>
        <v>0.33327119994181487</v>
      </c>
      <c r="AF76" s="9"/>
    </row>
    <row r="77" spans="1:32" x14ac:dyDescent="0.3">
      <c r="A77" s="7" t="s">
        <v>164</v>
      </c>
      <c r="B77" s="7" t="s">
        <v>114</v>
      </c>
      <c r="C77" s="7" t="s">
        <v>59</v>
      </c>
      <c r="D77" s="7"/>
      <c r="E77" s="8">
        <v>55.498280790000003</v>
      </c>
      <c r="F77" s="8">
        <v>-124.4117115</v>
      </c>
      <c r="G77" s="8">
        <v>54</v>
      </c>
      <c r="H77" s="7" t="s">
        <v>22</v>
      </c>
      <c r="I77" s="8">
        <v>13.2</v>
      </c>
      <c r="J77" s="8">
        <v>157.93403999999998</v>
      </c>
      <c r="K77" s="8">
        <v>134.85350200349799</v>
      </c>
      <c r="L77" s="8" t="s">
        <v>22</v>
      </c>
      <c r="M77" s="8">
        <v>9.0012187499999996</v>
      </c>
      <c r="N77" s="8">
        <v>92.210257812500004</v>
      </c>
      <c r="O77" s="8">
        <f>Table1[[#This Row],[R1 Length (km)]]+Table1[[#This Row],[T1 Length (km)]]</f>
        <v>101.2114765625</v>
      </c>
      <c r="P77" s="7">
        <v>130</v>
      </c>
      <c r="Q77" s="8">
        <f>(Table1[[#This Row],[Linear Features (km)]]*0.4)*100</f>
        <v>4048.4590625000001</v>
      </c>
      <c r="R77" s="9">
        <f>835260.1/10000</f>
        <v>83.526009999999999</v>
      </c>
      <c r="S77" s="10">
        <f>Table1[[#This Row],[ATG (ha)]]/Table1[[#This Row],[Linear Area (ha)]]</f>
        <v>2.0631556034167012E-2</v>
      </c>
      <c r="T77" s="7" t="s">
        <v>136</v>
      </c>
      <c r="U77" s="11" t="s">
        <v>22</v>
      </c>
      <c r="V77" s="9" t="s">
        <v>22</v>
      </c>
      <c r="W77" s="9" t="s">
        <v>22</v>
      </c>
      <c r="X77" s="13">
        <v>599.82485953811602</v>
      </c>
      <c r="Y77" s="12">
        <f>Table1[[#This Row],[Raw Terrestrial Score]]/Table1[[#This Row],[Summed Raw Scores]]</f>
        <v>0.65680225429268324</v>
      </c>
      <c r="Z77" s="13">
        <v>313.42544619366498</v>
      </c>
      <c r="AA77" s="12">
        <f>Table1[[#This Row],[Raw Freshwater Score]]/Table1[[#This Row],[Summed Raw Scores]]</f>
        <v>0.34319774570731665</v>
      </c>
      <c r="AB77" s="12">
        <f>Table1[[#This Row],[Raw Terrestrial Score]]+Table1[[#This Row],[Raw Freshwater Score]]</f>
        <v>913.25030573178105</v>
      </c>
      <c r="AC77" s="14">
        <f>Table1[[#This Row],[Terrestrial % of Summed Score]]*Table1[[#This Row],[Scaled Summed Score]]</f>
        <v>9.3546859358108039E-2</v>
      </c>
      <c r="AD77" s="14">
        <f>Table1[[#This Row],[Freshwater % of Summed Score]]*Table1[[#This Row],[Scaled Summed Score]]</f>
        <v>4.8880878589974301E-2</v>
      </c>
      <c r="AE77" s="14">
        <f>Table1[[#This Row],[Summed Raw Scores]]/MAX(Table1[Summed Raw Scores])</f>
        <v>0.14242773794808236</v>
      </c>
      <c r="AF77" s="9"/>
    </row>
    <row r="78" spans="1:32" x14ac:dyDescent="0.3">
      <c r="A78" s="7" t="s">
        <v>165</v>
      </c>
      <c r="B78" s="7" t="s">
        <v>114</v>
      </c>
      <c r="C78" s="7" t="s">
        <v>59</v>
      </c>
      <c r="D78" s="7"/>
      <c r="E78" s="8">
        <v>55.481708900000001</v>
      </c>
      <c r="F78" s="8">
        <v>-123.9167898</v>
      </c>
      <c r="G78" s="8">
        <v>117</v>
      </c>
      <c r="H78" s="7" t="s">
        <v>22</v>
      </c>
      <c r="I78" s="8">
        <v>28.799999999999997</v>
      </c>
      <c r="J78" s="8">
        <v>308.42207999999999</v>
      </c>
      <c r="K78" s="8">
        <v>106.96629348122117</v>
      </c>
      <c r="L78" s="8" t="s">
        <v>22</v>
      </c>
      <c r="M78" s="8">
        <v>1.9242641601600001</v>
      </c>
      <c r="N78" s="8">
        <v>60.264675781249998</v>
      </c>
      <c r="O78" s="8">
        <f>Table1[[#This Row],[R1 Length (km)]]+Table1[[#This Row],[T1 Length (km)]]</f>
        <v>62.188939941409998</v>
      </c>
      <c r="P78" s="7">
        <v>130</v>
      </c>
      <c r="Q78" s="8">
        <f>(Table1[[#This Row],[Linear Features (km)]]*0.4)*100</f>
        <v>2487.5575976564</v>
      </c>
      <c r="R78" s="9">
        <f>1867770/10000</f>
        <v>186.77699999999999</v>
      </c>
      <c r="S78" s="10">
        <f>Table1[[#This Row],[ATG (ha)]]/Table1[[#This Row],[Linear Area (ha)]]</f>
        <v>7.5084492586611054E-2</v>
      </c>
      <c r="T78" s="7" t="s">
        <v>136</v>
      </c>
      <c r="U78" s="11" t="s">
        <v>22</v>
      </c>
      <c r="V78" s="9" t="s">
        <v>22</v>
      </c>
      <c r="W78" s="9" t="s">
        <v>22</v>
      </c>
      <c r="X78" s="13">
        <v>573.691428641789</v>
      </c>
      <c r="Y78" s="12">
        <f>Table1[[#This Row],[Raw Terrestrial Score]]/Table1[[#This Row],[Summed Raw Scores]]</f>
        <v>0.63228320917504377</v>
      </c>
      <c r="Z78" s="13">
        <v>333.64158339612197</v>
      </c>
      <c r="AA78" s="12">
        <f>Table1[[#This Row],[Raw Freshwater Score]]/Table1[[#This Row],[Summed Raw Scores]]</f>
        <v>0.36771679082495617</v>
      </c>
      <c r="AB78" s="12">
        <f>Table1[[#This Row],[Raw Terrestrial Score]]+Table1[[#This Row],[Raw Freshwater Score]]</f>
        <v>907.33301203791098</v>
      </c>
      <c r="AC78" s="14">
        <f>Table1[[#This Row],[Terrestrial % of Summed Score]]*Table1[[#This Row],[Scaled Summed Score]]</f>
        <v>8.9471169019954944E-2</v>
      </c>
      <c r="AD78" s="14">
        <f>Table1[[#This Row],[Freshwater % of Summed Score]]*Table1[[#This Row],[Scaled Summed Score]]</f>
        <v>5.2033725814577013E-2</v>
      </c>
      <c r="AE78" s="14">
        <f>Table1[[#This Row],[Summed Raw Scores]]/MAX(Table1[Summed Raw Scores])</f>
        <v>0.14150489483453196</v>
      </c>
      <c r="AF78" s="9"/>
    </row>
    <row r="79" spans="1:32" x14ac:dyDescent="0.3">
      <c r="A79" s="7" t="s">
        <v>166</v>
      </c>
      <c r="B79" s="7" t="s">
        <v>114</v>
      </c>
      <c r="C79" s="7" t="s">
        <v>59</v>
      </c>
      <c r="D79" s="7" t="s">
        <v>250</v>
      </c>
      <c r="E79" s="8">
        <v>55.22798306</v>
      </c>
      <c r="F79" s="8">
        <v>-123.42672570000001</v>
      </c>
      <c r="G79" s="8">
        <v>117</v>
      </c>
      <c r="H79" s="7" t="s">
        <v>22</v>
      </c>
      <c r="I79" s="8">
        <v>38.4</v>
      </c>
      <c r="J79" s="8">
        <v>477.38496000000004</v>
      </c>
      <c r="K79" s="8">
        <v>83.356993131118287</v>
      </c>
      <c r="L79" s="8" t="s">
        <v>22</v>
      </c>
      <c r="M79" s="8">
        <v>1.6485283203100001</v>
      </c>
      <c r="N79" s="8">
        <v>24.594826171874999</v>
      </c>
      <c r="O79" s="8">
        <f>Table1[[#This Row],[R1 Length (km)]]+Table1[[#This Row],[T1 Length (km)]]</f>
        <v>26.243354492184999</v>
      </c>
      <c r="P79" s="7">
        <v>130</v>
      </c>
      <c r="Q79" s="8">
        <f>(Table1[[#This Row],[Linear Features (km)]]*0.4)*100</f>
        <v>1049.7341796874</v>
      </c>
      <c r="R79" s="9">
        <v>20.36</v>
      </c>
      <c r="S79" s="10">
        <f>Table1[[#This Row],[ATG (ha)]]/Table1[[#This Row],[Linear Area (ha)]]</f>
        <v>1.9395386369207294E-2</v>
      </c>
      <c r="T79" s="7" t="s">
        <v>136</v>
      </c>
      <c r="U79" s="11" t="s">
        <v>22</v>
      </c>
      <c r="V79" s="9" t="s">
        <v>22</v>
      </c>
      <c r="W79" s="9" t="s">
        <v>22</v>
      </c>
      <c r="X79" s="13">
        <v>329.014106304385</v>
      </c>
      <c r="Y79" s="12">
        <f>Table1[[#This Row],[Raw Terrestrial Score]]/Table1[[#This Row],[Summed Raw Scores]]</f>
        <v>0.52670149610224726</v>
      </c>
      <c r="Z79" s="13">
        <v>295.65491161029797</v>
      </c>
      <c r="AA79" s="12">
        <f>Table1[[#This Row],[Raw Freshwater Score]]/Table1[[#This Row],[Summed Raw Scores]]</f>
        <v>0.4732985038977528</v>
      </c>
      <c r="AB79" s="12">
        <f>Table1[[#This Row],[Raw Terrestrial Score]]+Table1[[#This Row],[Raw Freshwater Score]]</f>
        <v>624.66901791468297</v>
      </c>
      <c r="AC79" s="14">
        <f>Table1[[#This Row],[Terrestrial % of Summed Score]]*Table1[[#This Row],[Scaled Summed Score]]</f>
        <v>5.1312038572376151E-2</v>
      </c>
      <c r="AD79" s="14">
        <f>Table1[[#This Row],[Freshwater % of Summed Score]]*Table1[[#This Row],[Scaled Summed Score]]</f>
        <v>4.6109440105966307E-2</v>
      </c>
      <c r="AE79" s="14">
        <f>Table1[[#This Row],[Summed Raw Scores]]/MAX(Table1[Summed Raw Scores])</f>
        <v>9.7421478678342457E-2</v>
      </c>
      <c r="AF79" s="9"/>
    </row>
    <row r="80" spans="1:32" x14ac:dyDescent="0.3">
      <c r="A80" s="7" t="s">
        <v>167</v>
      </c>
      <c r="B80" s="7" t="s">
        <v>114</v>
      </c>
      <c r="C80" s="7" t="s">
        <v>27</v>
      </c>
      <c r="D80" s="7" t="s">
        <v>250</v>
      </c>
      <c r="E80" s="17">
        <v>55.543307339999998</v>
      </c>
      <c r="F80" s="17">
        <v>-122.3474683</v>
      </c>
      <c r="G80" s="8">
        <v>126</v>
      </c>
      <c r="H80" s="7" t="s">
        <v>22</v>
      </c>
      <c r="I80" s="9">
        <v>30</v>
      </c>
      <c r="J80" s="9">
        <v>518.37300000000005</v>
      </c>
      <c r="K80" s="9">
        <v>59.692496414795102</v>
      </c>
      <c r="L80" s="8" t="s">
        <v>22</v>
      </c>
      <c r="M80" s="17">
        <v>4.9526914062499996</v>
      </c>
      <c r="N80" s="9">
        <v>52.425691406250003</v>
      </c>
      <c r="O80" s="9">
        <f>Table1[[#This Row],[R1 Length (km)]]+Table1[[#This Row],[T1 Length (km)]]</f>
        <v>57.3783828125</v>
      </c>
      <c r="P80" s="20">
        <v>130</v>
      </c>
      <c r="Q80" s="17">
        <f>(Table1[[#This Row],[Linear Features (km)]]*0.4)*100</f>
        <v>2295.1353125000001</v>
      </c>
      <c r="R80" s="9">
        <v>15.9</v>
      </c>
      <c r="S80" s="10">
        <f>Table1[[#This Row],[ATG (ha)]]/Table1[[#This Row],[Linear Area (ha)]]</f>
        <v>6.927696120313168E-3</v>
      </c>
      <c r="T80" s="20" t="s">
        <v>136</v>
      </c>
      <c r="U80" s="11" t="s">
        <v>22</v>
      </c>
      <c r="V80" s="9" t="s">
        <v>22</v>
      </c>
      <c r="W80" s="9" t="s">
        <v>22</v>
      </c>
      <c r="X80" s="13">
        <v>656.76278667524502</v>
      </c>
      <c r="Y80" s="12">
        <f>Table1[[#This Row],[Raw Terrestrial Score]]/Table1[[#This Row],[Summed Raw Scores]]</f>
        <v>0.50657105106758327</v>
      </c>
      <c r="Z80" s="13">
        <v>639.72422199044399</v>
      </c>
      <c r="AA80" s="12">
        <f>Table1[[#This Row],[Raw Freshwater Score]]/Table1[[#This Row],[Summed Raw Scores]]</f>
        <v>0.49342894893241673</v>
      </c>
      <c r="AB80" s="12">
        <f>Table1[[#This Row],[Raw Terrestrial Score]]+Table1[[#This Row],[Raw Freshwater Score]]</f>
        <v>1296.487008665689</v>
      </c>
      <c r="AC80" s="14">
        <f>Table1[[#This Row],[Terrestrial % of Summed Score]]*Table1[[#This Row],[Scaled Summed Score]]</f>
        <v>0.10242672516783904</v>
      </c>
      <c r="AD80" s="14">
        <f>Table1[[#This Row],[Freshwater % of Summed Score]]*Table1[[#This Row],[Scaled Summed Score]]</f>
        <v>9.9769442481255383E-2</v>
      </c>
      <c r="AE80" s="14">
        <f>Table1[[#This Row],[Summed Raw Scores]]/MAX(Table1[Summed Raw Scores])</f>
        <v>0.20219616764909443</v>
      </c>
      <c r="AF80" s="9"/>
    </row>
    <row r="81" spans="1:32" x14ac:dyDescent="0.3">
      <c r="A81" s="7" t="s">
        <v>168</v>
      </c>
      <c r="B81" s="7" t="s">
        <v>114</v>
      </c>
      <c r="C81" s="7" t="s">
        <v>27</v>
      </c>
      <c r="D81" s="7" t="s">
        <v>250</v>
      </c>
      <c r="E81" s="17">
        <v>55.088797079999999</v>
      </c>
      <c r="F81" s="17">
        <v>-120.8807972</v>
      </c>
      <c r="G81" s="8">
        <v>108</v>
      </c>
      <c r="H81" s="7" t="s">
        <v>22</v>
      </c>
      <c r="I81" s="8">
        <v>26.4</v>
      </c>
      <c r="J81" s="8">
        <v>349.97952000000004</v>
      </c>
      <c r="K81" s="8">
        <v>74.776098252114934</v>
      </c>
      <c r="L81" s="8" t="s">
        <v>22</v>
      </c>
      <c r="M81" s="8">
        <v>0.6</v>
      </c>
      <c r="N81" s="8">
        <v>18.7</v>
      </c>
      <c r="O81" s="8">
        <f>Table1[[#This Row],[R1 Length (km)]]+Table1[[#This Row],[T1 Length (km)]]</f>
        <v>19.3</v>
      </c>
      <c r="P81" s="7">
        <v>230</v>
      </c>
      <c r="Q81" s="8">
        <f>(Table1[[#This Row],[Linear Features (km)]]*0.4)*100</f>
        <v>772.00000000000011</v>
      </c>
      <c r="R81" s="9">
        <v>14</v>
      </c>
      <c r="S81" s="10">
        <f>Table1[[#This Row],[ATG (ha)]]/Table1[[#This Row],[Linear Area (ha)]]</f>
        <v>1.8134715025906734E-2</v>
      </c>
      <c r="T81" s="7" t="s">
        <v>136</v>
      </c>
      <c r="U81" s="11" t="s">
        <v>22</v>
      </c>
      <c r="V81" s="9" t="s">
        <v>22</v>
      </c>
      <c r="W81" s="9" t="s">
        <v>22</v>
      </c>
      <c r="X81" s="13">
        <v>174.36036527156801</v>
      </c>
      <c r="Y81" s="12">
        <f>Table1[[#This Row],[Raw Terrestrial Score]]/Table1[[#This Row],[Summed Raw Scores]]</f>
        <v>0.78306911879023788</v>
      </c>
      <c r="Z81" s="13">
        <v>48.3024381613359</v>
      </c>
      <c r="AA81" s="12">
        <f>Table1[[#This Row],[Raw Freshwater Score]]/Table1[[#This Row],[Summed Raw Scores]]</f>
        <v>0.21693088120976217</v>
      </c>
      <c r="AB81" s="12">
        <f>Table1[[#This Row],[Raw Terrestrial Score]]+Table1[[#This Row],[Raw Freshwater Score]]</f>
        <v>222.6628034329039</v>
      </c>
      <c r="AC81" s="14">
        <f>Table1[[#This Row],[Terrestrial % of Summed Score]]*Table1[[#This Row],[Scaled Summed Score]]</f>
        <v>2.7192711853002555E-2</v>
      </c>
      <c r="AD81" s="14">
        <f>Table1[[#This Row],[Freshwater % of Summed Score]]*Table1[[#This Row],[Scaled Summed Score]]</f>
        <v>7.5331012336027885E-3</v>
      </c>
      <c r="AE81" s="14">
        <f>Table1[[#This Row],[Summed Raw Scores]]/MAX(Table1[Summed Raw Scores])</f>
        <v>3.4725813086605342E-2</v>
      </c>
      <c r="AF81" s="9"/>
    </row>
    <row r="82" spans="1:32" x14ac:dyDescent="0.3">
      <c r="A82" s="7" t="s">
        <v>169</v>
      </c>
      <c r="B82" s="7" t="s">
        <v>114</v>
      </c>
      <c r="C82" s="7" t="s">
        <v>27</v>
      </c>
      <c r="D82" s="7" t="s">
        <v>250</v>
      </c>
      <c r="E82" s="17">
        <v>55.438547239999998</v>
      </c>
      <c r="F82" s="17">
        <v>-122.1718735</v>
      </c>
      <c r="G82" s="8">
        <v>153</v>
      </c>
      <c r="H82" s="7" t="s">
        <v>22</v>
      </c>
      <c r="I82" s="9">
        <v>36</v>
      </c>
      <c r="J82" s="9">
        <v>694.58039999999994</v>
      </c>
      <c r="K82" s="9">
        <v>50.959020257979866</v>
      </c>
      <c r="L82" s="8" t="s">
        <v>22</v>
      </c>
      <c r="M82" s="8">
        <v>4.9000000000000004</v>
      </c>
      <c r="N82" s="9">
        <v>45.674933593749998</v>
      </c>
      <c r="O82" s="9">
        <f>Table1[[#This Row],[R1 Length (km)]]+Table1[[#This Row],[T1 Length (km)]]</f>
        <v>50.574933593749996</v>
      </c>
      <c r="P82" s="20">
        <v>130</v>
      </c>
      <c r="Q82" s="17">
        <f>(Table1[[#This Row],[Linear Features (km)]]*0.4)*100</f>
        <v>2022.99734375</v>
      </c>
      <c r="R82" s="9">
        <v>19.09</v>
      </c>
      <c r="S82" s="10">
        <f>Table1[[#This Row],[ATG (ha)]]/Table1[[#This Row],[Linear Area (ha)]]</f>
        <v>9.4364928648957846E-3</v>
      </c>
      <c r="T82" s="20" t="s">
        <v>136</v>
      </c>
      <c r="U82" s="11" t="s">
        <v>22</v>
      </c>
      <c r="V82" s="9" t="s">
        <v>22</v>
      </c>
      <c r="W82" s="9" t="s">
        <v>22</v>
      </c>
      <c r="X82" s="13">
        <v>609.39562342688396</v>
      </c>
      <c r="Y82" s="12">
        <f>Table1[[#This Row],[Raw Terrestrial Score]]/Table1[[#This Row],[Summed Raw Scores]]</f>
        <v>0.50685613504738669</v>
      </c>
      <c r="Z82" s="13">
        <v>592.90929366741295</v>
      </c>
      <c r="AA82" s="12">
        <f>Table1[[#This Row],[Raw Freshwater Score]]/Table1[[#This Row],[Summed Raw Scores]]</f>
        <v>0.49314386495261342</v>
      </c>
      <c r="AB82" s="12">
        <f>Table1[[#This Row],[Raw Terrestrial Score]]+Table1[[#This Row],[Raw Freshwater Score]]</f>
        <v>1202.3049170942968</v>
      </c>
      <c r="AC82" s="14">
        <f>Table1[[#This Row],[Terrestrial % of Summed Score]]*Table1[[#This Row],[Scaled Summed Score]]</f>
        <v>9.5039486562891892E-2</v>
      </c>
      <c r="AD82" s="14">
        <f>Table1[[#This Row],[Freshwater % of Summed Score]]*Table1[[#This Row],[Scaled Summed Score]]</f>
        <v>9.2468328754380588E-2</v>
      </c>
      <c r="AE82" s="14">
        <f>Table1[[#This Row],[Summed Raw Scores]]/MAX(Table1[Summed Raw Scores])</f>
        <v>0.18750781531727245</v>
      </c>
      <c r="AF82" s="9"/>
    </row>
    <row r="83" spans="1:32" x14ac:dyDescent="0.3">
      <c r="A83" s="7" t="s">
        <v>170</v>
      </c>
      <c r="B83" s="7" t="s">
        <v>114</v>
      </c>
      <c r="C83" s="7" t="s">
        <v>27</v>
      </c>
      <c r="D83" s="7"/>
      <c r="E83" s="8">
        <v>55.576506389999999</v>
      </c>
      <c r="F83" s="8">
        <v>-121.70082429999999</v>
      </c>
      <c r="G83" s="8">
        <v>87</v>
      </c>
      <c r="H83" s="7" t="s">
        <v>22</v>
      </c>
      <c r="I83" s="8">
        <v>21.599999999999998</v>
      </c>
      <c r="J83" s="8">
        <v>213.57755999999998</v>
      </c>
      <c r="K83" s="8">
        <v>98.6800376344559</v>
      </c>
      <c r="L83" s="8" t="s">
        <v>22</v>
      </c>
      <c r="M83" s="8">
        <v>0.8</v>
      </c>
      <c r="N83" s="8">
        <v>15.891168945312501</v>
      </c>
      <c r="O83" s="8">
        <f>Table1[[#This Row],[R1 Length (km)]]+Table1[[#This Row],[T1 Length (km)]]</f>
        <v>16.691168945312501</v>
      </c>
      <c r="P83" s="7">
        <v>130</v>
      </c>
      <c r="Q83" s="8">
        <f>(Table1[[#This Row],[Linear Features (km)]]*0.4)*100</f>
        <v>667.64675781250014</v>
      </c>
      <c r="R83" s="9">
        <f>1542378/10000</f>
        <v>154.23779999999999</v>
      </c>
      <c r="S83" s="10">
        <f>Table1[[#This Row],[ATG (ha)]]/Table1[[#This Row],[Linear Area (ha)]]</f>
        <v>0.2310170733178572</v>
      </c>
      <c r="T83" s="7" t="s">
        <v>136</v>
      </c>
      <c r="U83" s="11" t="s">
        <v>22</v>
      </c>
      <c r="V83" s="9" t="s">
        <v>22</v>
      </c>
      <c r="W83" s="9" t="s">
        <v>22</v>
      </c>
      <c r="X83" s="13">
        <v>56.809225168079102</v>
      </c>
      <c r="Y83" s="12">
        <f>Table1[[#This Row],[Raw Terrestrial Score]]/Table1[[#This Row],[Summed Raw Scores]]</f>
        <v>0.78744941786276124</v>
      </c>
      <c r="Z83" s="13">
        <v>15.3341073170304</v>
      </c>
      <c r="AA83" s="12">
        <f>Table1[[#This Row],[Raw Freshwater Score]]/Table1[[#This Row],[Summed Raw Scores]]</f>
        <v>0.21255058213723887</v>
      </c>
      <c r="AB83" s="12">
        <f>Table1[[#This Row],[Raw Terrestrial Score]]+Table1[[#This Row],[Raw Freshwater Score]]</f>
        <v>72.143332485109497</v>
      </c>
      <c r="AC83" s="14">
        <f>Table1[[#This Row],[Terrestrial % of Summed Score]]*Table1[[#This Row],[Scaled Summed Score]]</f>
        <v>8.8597938423785657E-3</v>
      </c>
      <c r="AD83" s="14">
        <f>Table1[[#This Row],[Freshwater % of Summed Score]]*Table1[[#This Row],[Scaled Summed Score]]</f>
        <v>2.3914607035009448E-3</v>
      </c>
      <c r="AE83" s="14">
        <f>Table1[[#This Row],[Summed Raw Scores]]/MAX(Table1[Summed Raw Scores])</f>
        <v>1.1251254545879509E-2</v>
      </c>
      <c r="AF83" s="9"/>
    </row>
    <row r="84" spans="1:32" x14ac:dyDescent="0.3">
      <c r="A84" s="7" t="s">
        <v>171</v>
      </c>
      <c r="B84" s="7" t="s">
        <v>114</v>
      </c>
      <c r="C84" s="7" t="s">
        <v>27</v>
      </c>
      <c r="D84" s="7" t="s">
        <v>250</v>
      </c>
      <c r="E84" s="8">
        <v>55.808584250000003</v>
      </c>
      <c r="F84" s="8">
        <v>-121.38396040000001</v>
      </c>
      <c r="G84" s="8">
        <v>150</v>
      </c>
      <c r="H84" s="7" t="s">
        <v>22</v>
      </c>
      <c r="I84" s="8">
        <v>36</v>
      </c>
      <c r="J84" s="8">
        <v>383.81940000000003</v>
      </c>
      <c r="K84" s="8">
        <v>84.166982229582743</v>
      </c>
      <c r="L84" s="8" t="s">
        <v>22</v>
      </c>
      <c r="M84" s="8">
        <v>0.1</v>
      </c>
      <c r="N84" s="8">
        <v>20</v>
      </c>
      <c r="O84" s="8">
        <f>Table1[[#This Row],[R1 Length (km)]]+Table1[[#This Row],[T1 Length (km)]]</f>
        <v>20.100000000000001</v>
      </c>
      <c r="P84" s="7">
        <v>130</v>
      </c>
      <c r="Q84" s="8">
        <f>(Table1[[#This Row],[Linear Features (km)]]*0.4)*100</f>
        <v>804.00000000000011</v>
      </c>
      <c r="R84" s="9">
        <f>((PI()*(45^2))*Table1[[#This Row],[Number of Turbines - WIND]])/10000</f>
        <v>19.085175370557995</v>
      </c>
      <c r="S84" s="10">
        <f>Table1[[#This Row],[ATG (ha)]]/Table1[[#This Row],[Linear Area (ha)]]</f>
        <v>2.3737780311639294E-2</v>
      </c>
      <c r="T84" s="7" t="s">
        <v>115</v>
      </c>
      <c r="U84" s="7">
        <v>30</v>
      </c>
      <c r="V84" s="9" t="s">
        <v>22</v>
      </c>
      <c r="W84" s="9" t="s">
        <v>22</v>
      </c>
      <c r="X84" s="13">
        <v>12.921137485653199</v>
      </c>
      <c r="Y84" s="12">
        <f>Table1[[#This Row],[Raw Terrestrial Score]]/Table1[[#This Row],[Summed Raw Scores]]</f>
        <v>0.41019762425806289</v>
      </c>
      <c r="Z84" s="13">
        <v>18.5786487674341</v>
      </c>
      <c r="AA84" s="12">
        <f>Table1[[#This Row],[Raw Freshwater Score]]/Table1[[#This Row],[Summed Raw Scores]]</f>
        <v>0.58980237574193706</v>
      </c>
      <c r="AB84" s="12">
        <f>Table1[[#This Row],[Raw Terrestrial Score]]+Table1[[#This Row],[Raw Freshwater Score]]</f>
        <v>31.499786253087301</v>
      </c>
      <c r="AC84" s="14">
        <f>Table1[[#This Row],[Terrestrial % of Summed Score]]*Table1[[#This Row],[Scaled Summed Score]]</f>
        <v>2.0151412731508646E-3</v>
      </c>
      <c r="AD84" s="14">
        <f>Table1[[#This Row],[Freshwater % of Summed Score]]*Table1[[#This Row],[Scaled Summed Score]]</f>
        <v>2.8974695124325792E-3</v>
      </c>
      <c r="AE84" s="14">
        <f>Table1[[#This Row],[Summed Raw Scores]]/MAX(Table1[Summed Raw Scores])</f>
        <v>4.9126107855834442E-3</v>
      </c>
      <c r="AF84" s="9"/>
    </row>
    <row r="85" spans="1:32" x14ac:dyDescent="0.3">
      <c r="A85" s="7" t="s">
        <v>172</v>
      </c>
      <c r="B85" s="7" t="s">
        <v>114</v>
      </c>
      <c r="C85" s="7" t="s">
        <v>27</v>
      </c>
      <c r="D85" s="7" t="s">
        <v>250</v>
      </c>
      <c r="E85" s="8">
        <v>55.548454599999999</v>
      </c>
      <c r="F85" s="8">
        <v>-120.7554162</v>
      </c>
      <c r="G85" s="8">
        <v>351</v>
      </c>
      <c r="H85" s="7" t="s">
        <v>22</v>
      </c>
      <c r="I85" s="8">
        <v>84</v>
      </c>
      <c r="J85" s="8">
        <v>952.91280000000006</v>
      </c>
      <c r="K85" s="8">
        <v>77.43051985602311</v>
      </c>
      <c r="L85" s="8" t="s">
        <v>22</v>
      </c>
      <c r="M85" s="8">
        <v>1.4</v>
      </c>
      <c r="N85" s="8">
        <v>54.8</v>
      </c>
      <c r="O85" s="8">
        <f>Table1[[#This Row],[R1 Length (km)]]+Table1[[#This Row],[T1 Length (km)]]</f>
        <v>56.199999999999996</v>
      </c>
      <c r="P85" s="7">
        <v>230</v>
      </c>
      <c r="Q85" s="8">
        <f>(Table1[[#This Row],[Linear Features (km)]]*0.4)*100</f>
        <v>2248</v>
      </c>
      <c r="R85" s="9">
        <v>44.53</v>
      </c>
      <c r="S85" s="10">
        <f>Table1[[#This Row],[ATG (ha)]]/Table1[[#This Row],[Linear Area (ha)]]</f>
        <v>1.9808718861209964E-2</v>
      </c>
      <c r="T85" s="7" t="s">
        <v>136</v>
      </c>
      <c r="U85" s="11" t="s">
        <v>22</v>
      </c>
      <c r="V85" s="9" t="s">
        <v>22</v>
      </c>
      <c r="W85" s="9" t="s">
        <v>22</v>
      </c>
      <c r="X85" s="13">
        <v>220.41010135412199</v>
      </c>
      <c r="Y85" s="12">
        <f>Table1[[#This Row],[Raw Terrestrial Score]]/Table1[[#This Row],[Summed Raw Scores]]</f>
        <v>0.77682361161474189</v>
      </c>
      <c r="Z85" s="13">
        <v>63.322393460199201</v>
      </c>
      <c r="AA85" s="12">
        <f>Table1[[#This Row],[Raw Freshwater Score]]/Table1[[#This Row],[Summed Raw Scores]]</f>
        <v>0.22317638838525822</v>
      </c>
      <c r="AB85" s="12">
        <f>Table1[[#This Row],[Raw Terrestrial Score]]+Table1[[#This Row],[Raw Freshwater Score]]</f>
        <v>283.73249481432117</v>
      </c>
      <c r="AC85" s="14">
        <f>Table1[[#This Row],[Terrestrial % of Summed Score]]*Table1[[#This Row],[Scaled Summed Score]]</f>
        <v>3.4374488527130098E-2</v>
      </c>
      <c r="AD85" s="14">
        <f>Table1[[#This Row],[Freshwater % of Summed Score]]*Table1[[#This Row],[Scaled Summed Score]]</f>
        <v>9.8755677445603093E-3</v>
      </c>
      <c r="AE85" s="14">
        <f>Table1[[#This Row],[Summed Raw Scores]]/MAX(Table1[Summed Raw Scores])</f>
        <v>4.4250056271690402E-2</v>
      </c>
      <c r="AF85" s="9"/>
    </row>
    <row r="86" spans="1:32" x14ac:dyDescent="0.3">
      <c r="A86" s="7" t="s">
        <v>173</v>
      </c>
      <c r="B86" s="7" t="s">
        <v>114</v>
      </c>
      <c r="C86" s="7" t="s">
        <v>27</v>
      </c>
      <c r="D86" s="7" t="s">
        <v>250</v>
      </c>
      <c r="E86" s="8">
        <v>55.960574549999997</v>
      </c>
      <c r="F86" s="8">
        <v>-120.86637829999999</v>
      </c>
      <c r="G86" s="8">
        <v>171</v>
      </c>
      <c r="H86" s="7" t="s">
        <v>22</v>
      </c>
      <c r="I86" s="8">
        <v>42</v>
      </c>
      <c r="J86" s="8">
        <v>456.5274</v>
      </c>
      <c r="K86" s="8">
        <v>91.951307550862538</v>
      </c>
      <c r="L86" s="8" t="s">
        <v>22</v>
      </c>
      <c r="M86" s="8">
        <v>4.4041630859400005</v>
      </c>
      <c r="N86" s="8">
        <v>72.494023437500005</v>
      </c>
      <c r="O86" s="8">
        <f>Table1[[#This Row],[R1 Length (km)]]+Table1[[#This Row],[T1 Length (km)]]</f>
        <v>76.898186523440003</v>
      </c>
      <c r="P86" s="7">
        <v>230</v>
      </c>
      <c r="Q86" s="8">
        <f>(Table1[[#This Row],[Linear Features (km)]]*0.4)*100</f>
        <v>3075.9274609376002</v>
      </c>
      <c r="R86" s="9">
        <v>22.27</v>
      </c>
      <c r="S86" s="10">
        <f>Table1[[#This Row],[ATG (ha)]]/Table1[[#This Row],[Linear Area (ha)]]</f>
        <v>7.2400927144139109E-3</v>
      </c>
      <c r="T86" s="7" t="s">
        <v>136</v>
      </c>
      <c r="U86" s="11" t="s">
        <v>22</v>
      </c>
      <c r="V86" s="9" t="s">
        <v>22</v>
      </c>
      <c r="W86" s="9" t="s">
        <v>22</v>
      </c>
      <c r="X86" s="13">
        <v>622.38852633349597</v>
      </c>
      <c r="Y86" s="12">
        <f>Table1[[#This Row],[Raw Terrestrial Score]]/Table1[[#This Row],[Summed Raw Scores]]</f>
        <v>0.9502047036128024</v>
      </c>
      <c r="Z86" s="13">
        <v>32.616152097471101</v>
      </c>
      <c r="AA86" s="12">
        <f>Table1[[#This Row],[Raw Freshwater Score]]/Table1[[#This Row],[Summed Raw Scores]]</f>
        <v>4.9795296387197666E-2</v>
      </c>
      <c r="AB86" s="12">
        <f>Table1[[#This Row],[Raw Terrestrial Score]]+Table1[[#This Row],[Raw Freshwater Score]]</f>
        <v>655.00467843096703</v>
      </c>
      <c r="AC86" s="14">
        <f>Table1[[#This Row],[Terrestrial % of Summed Score]]*Table1[[#This Row],[Scaled Summed Score]]</f>
        <v>9.7065820152657273E-2</v>
      </c>
      <c r="AD86" s="14">
        <f>Table1[[#This Row],[Freshwater % of Summed Score]]*Table1[[#This Row],[Scaled Summed Score]]</f>
        <v>5.0867158047004967E-3</v>
      </c>
      <c r="AE86" s="14">
        <f>Table1[[#This Row],[Summed Raw Scores]]/MAX(Table1[Summed Raw Scores])</f>
        <v>0.10215253595735777</v>
      </c>
      <c r="AF86" s="9"/>
    </row>
    <row r="87" spans="1:32" x14ac:dyDescent="0.3">
      <c r="A87" s="7" t="s">
        <v>174</v>
      </c>
      <c r="B87" s="7" t="s">
        <v>114</v>
      </c>
      <c r="C87" s="7" t="s">
        <v>27</v>
      </c>
      <c r="D87" s="7" t="s">
        <v>250</v>
      </c>
      <c r="E87" s="8">
        <v>56.54299082</v>
      </c>
      <c r="F87" s="8">
        <v>-123.0058961</v>
      </c>
      <c r="G87" s="8">
        <v>72</v>
      </c>
      <c r="H87" s="7" t="s">
        <v>22</v>
      </c>
      <c r="I87" s="8">
        <v>16.8</v>
      </c>
      <c r="J87" s="8">
        <v>283.66631999999998</v>
      </c>
      <c r="K87" s="8">
        <v>86.422963406889508</v>
      </c>
      <c r="L87" s="8" t="s">
        <v>22</v>
      </c>
      <c r="M87" s="8">
        <v>10.212486328100001</v>
      </c>
      <c r="N87" s="8">
        <v>85.097687500000006</v>
      </c>
      <c r="O87" s="8">
        <f>Table1[[#This Row],[R1 Length (km)]]+Table1[[#This Row],[T1 Length (km)]]</f>
        <v>95.310173828100005</v>
      </c>
      <c r="P87" s="7">
        <v>130</v>
      </c>
      <c r="Q87" s="8">
        <f>(Table1[[#This Row],[Linear Features (km)]]*0.4)*100</f>
        <v>3812.4069531240002</v>
      </c>
      <c r="R87" s="9">
        <v>8.91</v>
      </c>
      <c r="S87" s="10">
        <f>Table1[[#This Row],[ATG (ha)]]/Table1[[#This Row],[Linear Area (ha)]]</f>
        <v>2.3371062191298543E-3</v>
      </c>
      <c r="T87" s="7" t="s">
        <v>136</v>
      </c>
      <c r="U87" s="11" t="s">
        <v>22</v>
      </c>
      <c r="V87" s="9" t="s">
        <v>22</v>
      </c>
      <c r="W87" s="9" t="s">
        <v>22</v>
      </c>
      <c r="X87" s="13">
        <v>514.48069248721004</v>
      </c>
      <c r="Y87" s="12">
        <f>Table1[[#This Row],[Raw Terrestrial Score]]/Table1[[#This Row],[Summed Raw Scores]]</f>
        <v>0.53069003989226726</v>
      </c>
      <c r="Z87" s="13">
        <v>454.97540017217398</v>
      </c>
      <c r="AA87" s="12">
        <f>Table1[[#This Row],[Raw Freshwater Score]]/Table1[[#This Row],[Summed Raw Scores]]</f>
        <v>0.46930996010773274</v>
      </c>
      <c r="AB87" s="12">
        <f>Table1[[#This Row],[Raw Terrestrial Score]]+Table1[[#This Row],[Raw Freshwater Score]]</f>
        <v>969.45609265938401</v>
      </c>
      <c r="AC87" s="14">
        <f>Table1[[#This Row],[Terrestrial % of Summed Score]]*Table1[[#This Row],[Scaled Summed Score]]</f>
        <v>8.0236842833795174E-2</v>
      </c>
      <c r="AD87" s="14">
        <f>Table1[[#This Row],[Freshwater % of Summed Score]]*Table1[[#This Row],[Scaled Summed Score]]</f>
        <v>7.0956578565414902E-2</v>
      </c>
      <c r="AE87" s="14">
        <f>Table1[[#This Row],[Summed Raw Scores]]/MAX(Table1[Summed Raw Scores])</f>
        <v>0.15119342139921008</v>
      </c>
      <c r="AF87" s="9"/>
    </row>
    <row r="88" spans="1:32" x14ac:dyDescent="0.3">
      <c r="A88" s="7" t="s">
        <v>175</v>
      </c>
      <c r="B88" s="7" t="s">
        <v>114</v>
      </c>
      <c r="C88" s="7" t="s">
        <v>27</v>
      </c>
      <c r="D88" s="7" t="s">
        <v>250</v>
      </c>
      <c r="E88" s="8">
        <v>55.866821960000003</v>
      </c>
      <c r="F88" s="8">
        <v>-121.7623816</v>
      </c>
      <c r="G88" s="8">
        <v>129</v>
      </c>
      <c r="H88" s="7" t="s">
        <v>22</v>
      </c>
      <c r="I88" s="8">
        <v>31.2</v>
      </c>
      <c r="J88" s="8">
        <v>344.60088000000002</v>
      </c>
      <c r="K88" s="8">
        <v>84.35861942811421</v>
      </c>
      <c r="L88" s="8" t="s">
        <v>22</v>
      </c>
      <c r="M88" s="8">
        <v>3.9213208007799998</v>
      </c>
      <c r="N88" s="8">
        <v>23.785281250000001</v>
      </c>
      <c r="O88" s="8">
        <f>Table1[[#This Row],[R1 Length (km)]]+Table1[[#This Row],[T1 Length (km)]]</f>
        <v>27.706602050779999</v>
      </c>
      <c r="P88" s="7">
        <v>130</v>
      </c>
      <c r="Q88" s="8">
        <f>(Table1[[#This Row],[Linear Features (km)]]*0.4)*100</f>
        <v>1108.2640820312001</v>
      </c>
      <c r="R88" s="9">
        <v>16.54</v>
      </c>
      <c r="S88" s="10">
        <f>Table1[[#This Row],[ATG (ha)]]/Table1[[#This Row],[Linear Area (ha)]]</f>
        <v>1.4924240772727995E-2</v>
      </c>
      <c r="T88" s="7" t="s">
        <v>136</v>
      </c>
      <c r="U88" s="11" t="s">
        <v>22</v>
      </c>
      <c r="V88" s="9" t="s">
        <v>22</v>
      </c>
      <c r="W88" s="9" t="s">
        <v>22</v>
      </c>
      <c r="X88" s="13">
        <v>183.39133496955</v>
      </c>
      <c r="Y88" s="12">
        <f>Table1[[#This Row],[Raw Terrestrial Score]]/Table1[[#This Row],[Summed Raw Scores]]</f>
        <v>0.64384043153127823</v>
      </c>
      <c r="Z88" s="13">
        <v>101.44839547946999</v>
      </c>
      <c r="AA88" s="12">
        <f>Table1[[#This Row],[Raw Freshwater Score]]/Table1[[#This Row],[Summed Raw Scores]]</f>
        <v>0.35615956846872177</v>
      </c>
      <c r="AB88" s="12">
        <f>Table1[[#This Row],[Raw Terrestrial Score]]+Table1[[#This Row],[Raw Freshwater Score]]</f>
        <v>284.83973044902001</v>
      </c>
      <c r="AC88" s="14">
        <f>Table1[[#This Row],[Terrestrial % of Summed Score]]*Table1[[#This Row],[Scaled Summed Score]]</f>
        <v>2.8601154398806668E-2</v>
      </c>
      <c r="AD88" s="14">
        <f>Table1[[#This Row],[Freshwater % of Summed Score]]*Table1[[#This Row],[Scaled Summed Score]]</f>
        <v>1.5821582972288677E-2</v>
      </c>
      <c r="AE88" s="14">
        <f>Table1[[#This Row],[Summed Raw Scores]]/MAX(Table1[Summed Raw Scores])</f>
        <v>4.4422737371095346E-2</v>
      </c>
      <c r="AF88" s="9"/>
    </row>
    <row r="89" spans="1:32" x14ac:dyDescent="0.3">
      <c r="A89" s="7" t="s">
        <v>176</v>
      </c>
      <c r="B89" s="7" t="s">
        <v>114</v>
      </c>
      <c r="C89" s="7" t="s">
        <v>27</v>
      </c>
      <c r="D89" s="7" t="s">
        <v>250</v>
      </c>
      <c r="E89" s="8">
        <v>55.729118999999997</v>
      </c>
      <c r="F89" s="8">
        <v>-121.80133600000001</v>
      </c>
      <c r="G89" s="8">
        <v>186</v>
      </c>
      <c r="H89" s="7" t="s">
        <v>22</v>
      </c>
      <c r="I89" s="8">
        <v>45.6</v>
      </c>
      <c r="J89" s="8">
        <v>549.25199999999995</v>
      </c>
      <c r="K89" s="8">
        <v>76.208568497958495</v>
      </c>
      <c r="L89" s="8" t="s">
        <v>22</v>
      </c>
      <c r="M89" s="8">
        <v>8.5299999999999994</v>
      </c>
      <c r="N89" s="8">
        <v>26.352185546874999</v>
      </c>
      <c r="O89" s="8">
        <f>Table1[[#This Row],[R1 Length (km)]]+Table1[[#This Row],[T1 Length (km)]]</f>
        <v>34.882185546875</v>
      </c>
      <c r="P89" s="7">
        <v>230</v>
      </c>
      <c r="Q89" s="8">
        <f>(Table1[[#This Row],[Linear Features (km)]]*0.4)*100</f>
        <v>1395.2874218750001</v>
      </c>
      <c r="R89" s="9">
        <v>24.17</v>
      </c>
      <c r="S89" s="10">
        <f>Table1[[#This Row],[ATG (ha)]]/Table1[[#This Row],[Linear Area (ha)]]</f>
        <v>1.7322595775657559E-2</v>
      </c>
      <c r="T89" s="7" t="s">
        <v>136</v>
      </c>
      <c r="U89" s="11" t="s">
        <v>22</v>
      </c>
      <c r="V89" s="9" t="s">
        <v>22</v>
      </c>
      <c r="W89" s="9" t="s">
        <v>22</v>
      </c>
      <c r="X89" s="13">
        <v>543.53679183125496</v>
      </c>
      <c r="Y89" s="12">
        <f>Table1[[#This Row],[Raw Terrestrial Score]]/Table1[[#This Row],[Summed Raw Scores]]</f>
        <v>0.53432126959969428</v>
      </c>
      <c r="Z89" s="13">
        <v>473.710364057682</v>
      </c>
      <c r="AA89" s="12">
        <f>Table1[[#This Row],[Raw Freshwater Score]]/Table1[[#This Row],[Summed Raw Scores]]</f>
        <v>0.46567873040030566</v>
      </c>
      <c r="AB89" s="12">
        <f>Table1[[#This Row],[Raw Terrestrial Score]]+Table1[[#This Row],[Raw Freshwater Score]]</f>
        <v>1017.247155888937</v>
      </c>
      <c r="AC89" s="14">
        <f>Table1[[#This Row],[Terrestrial % of Summed Score]]*Table1[[#This Row],[Scaled Summed Score]]</f>
        <v>8.4768343647091918E-2</v>
      </c>
      <c r="AD89" s="14">
        <f>Table1[[#This Row],[Freshwater % of Summed Score]]*Table1[[#This Row],[Scaled Summed Score]]</f>
        <v>7.3878426507873324E-2</v>
      </c>
      <c r="AE89" s="14">
        <f>Table1[[#This Row],[Summed Raw Scores]]/MAX(Table1[Summed Raw Scores])</f>
        <v>0.15864677015496526</v>
      </c>
      <c r="AF89" s="9"/>
    </row>
    <row r="90" spans="1:32" x14ac:dyDescent="0.3">
      <c r="A90" s="7" t="s">
        <v>177</v>
      </c>
      <c r="B90" s="7" t="s">
        <v>114</v>
      </c>
      <c r="C90" s="7" t="s">
        <v>27</v>
      </c>
      <c r="D90" s="7" t="s">
        <v>250</v>
      </c>
      <c r="E90" s="8">
        <v>55.229832969999997</v>
      </c>
      <c r="F90" s="8">
        <v>-121.17872</v>
      </c>
      <c r="G90" s="8">
        <v>117</v>
      </c>
      <c r="H90" s="7" t="s">
        <v>22</v>
      </c>
      <c r="I90" s="8">
        <v>28.799999999999997</v>
      </c>
      <c r="J90" s="8">
        <v>417.64176000000003</v>
      </c>
      <c r="K90" s="8">
        <v>74.026330439887317</v>
      </c>
      <c r="L90" s="8" t="s">
        <v>22</v>
      </c>
      <c r="M90" s="8">
        <v>1.2</v>
      </c>
      <c r="N90" s="8">
        <v>10.5</v>
      </c>
      <c r="O90" s="8">
        <f>Table1[[#This Row],[R1 Length (km)]]+Table1[[#This Row],[T1 Length (km)]]</f>
        <v>11.7</v>
      </c>
      <c r="P90" s="7">
        <v>230</v>
      </c>
      <c r="Q90" s="8">
        <f>(Table1[[#This Row],[Linear Features (km)]]*0.4)*100</f>
        <v>468</v>
      </c>
      <c r="R90" s="9">
        <v>15.27</v>
      </c>
      <c r="S90" s="10">
        <f>Table1[[#This Row],[ATG (ha)]]/Table1[[#This Row],[Linear Area (ha)]]</f>
        <v>3.2628205128205127E-2</v>
      </c>
      <c r="T90" s="7" t="s">
        <v>136</v>
      </c>
      <c r="U90" s="11" t="s">
        <v>22</v>
      </c>
      <c r="V90" s="9" t="s">
        <v>22</v>
      </c>
      <c r="W90" s="9" t="s">
        <v>22</v>
      </c>
      <c r="X90" s="13">
        <v>379.13563200831402</v>
      </c>
      <c r="Y90" s="12">
        <f>Table1[[#This Row],[Raw Terrestrial Score]]/Table1[[#This Row],[Summed Raw Scores]]</f>
        <v>0.60131345162716343</v>
      </c>
      <c r="Z90" s="13">
        <v>251.37684194743599</v>
      </c>
      <c r="AA90" s="12">
        <f>Table1[[#This Row],[Raw Freshwater Score]]/Table1[[#This Row],[Summed Raw Scores]]</f>
        <v>0.39868654837283657</v>
      </c>
      <c r="AB90" s="12">
        <f>Table1[[#This Row],[Raw Terrestrial Score]]+Table1[[#This Row],[Raw Freshwater Score]]</f>
        <v>630.51247395575001</v>
      </c>
      <c r="AC90" s="14">
        <f>Table1[[#This Row],[Terrestrial % of Summed Score]]*Table1[[#This Row],[Scaled Summed Score]]</f>
        <v>5.9128839162217832E-2</v>
      </c>
      <c r="AD90" s="14">
        <f>Table1[[#This Row],[Freshwater % of Summed Score]]*Table1[[#This Row],[Scaled Summed Score]]</f>
        <v>3.9203967134089503E-2</v>
      </c>
      <c r="AE90" s="14">
        <f>Table1[[#This Row],[Summed Raw Scores]]/MAX(Table1[Summed Raw Scores])</f>
        <v>9.8332806296307335E-2</v>
      </c>
      <c r="AF90" s="9"/>
    </row>
    <row r="91" spans="1:32" x14ac:dyDescent="0.3">
      <c r="A91" s="7" t="s">
        <v>178</v>
      </c>
      <c r="B91" s="7" t="s">
        <v>114</v>
      </c>
      <c r="C91" s="7" t="s">
        <v>27</v>
      </c>
      <c r="D91" s="7" t="s">
        <v>250</v>
      </c>
      <c r="E91" s="17">
        <v>55.162438520000002</v>
      </c>
      <c r="F91" s="17">
        <v>-121.5944693</v>
      </c>
      <c r="G91" s="8">
        <v>45</v>
      </c>
      <c r="H91" s="7" t="s">
        <v>22</v>
      </c>
      <c r="I91" s="9">
        <v>10.799999999999999</v>
      </c>
      <c r="J91" s="9">
        <v>196.35101999999998</v>
      </c>
      <c r="K91" s="9">
        <v>62.521940881479459</v>
      </c>
      <c r="L91" s="8" t="s">
        <v>22</v>
      </c>
      <c r="M91" s="17">
        <v>3.1798994140599999</v>
      </c>
      <c r="N91" s="9">
        <v>30.518376953124999</v>
      </c>
      <c r="O91" s="9">
        <f>Table1[[#This Row],[R1 Length (km)]]+Table1[[#This Row],[T1 Length (km)]]</f>
        <v>33.698276367185002</v>
      </c>
      <c r="P91" s="20">
        <v>69</v>
      </c>
      <c r="Q91" s="17">
        <f>(Table1[[#This Row],[Linear Features (km)]]*0.4)*100</f>
        <v>1347.9310546874001</v>
      </c>
      <c r="R91" s="9">
        <v>5.73</v>
      </c>
      <c r="S91" s="10">
        <f>Table1[[#This Row],[ATG (ha)]]/Table1[[#This Row],[Linear Area (ha)]]</f>
        <v>4.2509592609162421E-3</v>
      </c>
      <c r="T91" s="20" t="s">
        <v>136</v>
      </c>
      <c r="U91" s="11" t="s">
        <v>22</v>
      </c>
      <c r="V91" s="9" t="s">
        <v>22</v>
      </c>
      <c r="W91" s="9" t="s">
        <v>22</v>
      </c>
      <c r="X91" s="13">
        <v>280.92416617274301</v>
      </c>
      <c r="Y91" s="12">
        <f>Table1[[#This Row],[Raw Terrestrial Score]]/Table1[[#This Row],[Summed Raw Scores]]</f>
        <v>0.51592304608349504</v>
      </c>
      <c r="Z91" s="13">
        <v>263.583717910573</v>
      </c>
      <c r="AA91" s="12">
        <f>Table1[[#This Row],[Raw Freshwater Score]]/Table1[[#This Row],[Summed Raw Scores]]</f>
        <v>0.48407695391650502</v>
      </c>
      <c r="AB91" s="12">
        <f>Table1[[#This Row],[Raw Terrestrial Score]]+Table1[[#This Row],[Raw Freshwater Score]]</f>
        <v>544.50788408331596</v>
      </c>
      <c r="AC91" s="14">
        <f>Table1[[#This Row],[Terrestrial % of Summed Score]]*Table1[[#This Row],[Scaled Summed Score]]</f>
        <v>4.3812077884686974E-2</v>
      </c>
      <c r="AD91" s="14">
        <f>Table1[[#This Row],[Freshwater % of Summed Score]]*Table1[[#This Row],[Scaled Summed Score]]</f>
        <v>4.1107714354244325E-2</v>
      </c>
      <c r="AE91" s="14">
        <f>Table1[[#This Row],[Summed Raw Scores]]/MAX(Table1[Summed Raw Scores])</f>
        <v>8.4919792238931299E-2</v>
      </c>
      <c r="AF91" s="9"/>
    </row>
    <row r="92" spans="1:32" x14ac:dyDescent="0.3">
      <c r="A92" s="7" t="s">
        <v>179</v>
      </c>
      <c r="B92" s="7" t="s">
        <v>114</v>
      </c>
      <c r="C92" s="7" t="s">
        <v>27</v>
      </c>
      <c r="D92" s="7" t="s">
        <v>250</v>
      </c>
      <c r="E92" s="8">
        <v>55.351133089999998</v>
      </c>
      <c r="F92" s="8">
        <v>-121.08614369999999</v>
      </c>
      <c r="G92" s="8">
        <v>63</v>
      </c>
      <c r="H92" s="7" t="s">
        <v>22</v>
      </c>
      <c r="I92" s="8">
        <v>15.6</v>
      </c>
      <c r="J92" s="8">
        <v>275.98818</v>
      </c>
      <c r="K92" s="8">
        <v>65.30162752178073</v>
      </c>
      <c r="L92" s="8" t="s">
        <v>22</v>
      </c>
      <c r="M92" s="8">
        <v>1.8</v>
      </c>
      <c r="N92" s="8">
        <v>23.4</v>
      </c>
      <c r="O92" s="8">
        <f>Table1[[#This Row],[R1 Length (km)]]+Table1[[#This Row],[T1 Length (km)]]</f>
        <v>25.2</v>
      </c>
      <c r="P92" s="7">
        <v>230</v>
      </c>
      <c r="Q92" s="8">
        <f>(Table1[[#This Row],[Linear Features (km)]]*0.4)*100</f>
        <v>1008</v>
      </c>
      <c r="R92" s="9">
        <v>8.27</v>
      </c>
      <c r="S92" s="10">
        <f>Table1[[#This Row],[ATG (ha)]]/Table1[[#This Row],[Linear Area (ha)]]</f>
        <v>8.2043650793650787E-3</v>
      </c>
      <c r="T92" s="7" t="s">
        <v>136</v>
      </c>
      <c r="U92" s="11" t="s">
        <v>22</v>
      </c>
      <c r="V92" s="9" t="s">
        <v>22</v>
      </c>
      <c r="W92" s="9" t="s">
        <v>22</v>
      </c>
      <c r="X92" s="13">
        <v>179.47854959964801</v>
      </c>
      <c r="Y92" s="12">
        <f>Table1[[#This Row],[Raw Terrestrial Score]]/Table1[[#This Row],[Summed Raw Scores]]</f>
        <v>0.62463266323096645</v>
      </c>
      <c r="Z92" s="13">
        <v>107.85600743629</v>
      </c>
      <c r="AA92" s="12">
        <f>Table1[[#This Row],[Raw Freshwater Score]]/Table1[[#This Row],[Summed Raw Scores]]</f>
        <v>0.37536733676903344</v>
      </c>
      <c r="AB92" s="12">
        <f>Table1[[#This Row],[Raw Terrestrial Score]]+Table1[[#This Row],[Raw Freshwater Score]]</f>
        <v>287.33455703593802</v>
      </c>
      <c r="AC92" s="14">
        <f>Table1[[#This Row],[Terrestrial % of Summed Score]]*Table1[[#This Row],[Scaled Summed Score]]</f>
        <v>2.7990928302178163E-2</v>
      </c>
      <c r="AD92" s="14">
        <f>Table1[[#This Row],[Freshwater % of Summed Score]]*Table1[[#This Row],[Scaled Summed Score]]</f>
        <v>1.6820894629707376E-2</v>
      </c>
      <c r="AE92" s="14">
        <f>Table1[[#This Row],[Summed Raw Scores]]/MAX(Table1[Summed Raw Scores])</f>
        <v>4.4811822931885542E-2</v>
      </c>
      <c r="AF92" s="9"/>
    </row>
    <row r="93" spans="1:32" x14ac:dyDescent="0.3">
      <c r="A93" s="7" t="s">
        <v>180</v>
      </c>
      <c r="B93" s="7" t="s">
        <v>114</v>
      </c>
      <c r="C93" s="7" t="s">
        <v>27</v>
      </c>
      <c r="D93" s="7"/>
      <c r="E93" s="8">
        <v>54.702274119999998</v>
      </c>
      <c r="F93" s="8">
        <v>-120.40647</v>
      </c>
      <c r="G93" s="8">
        <v>39</v>
      </c>
      <c r="H93" s="7" t="s">
        <v>22</v>
      </c>
      <c r="I93" s="8">
        <v>9.6</v>
      </c>
      <c r="J93" s="8">
        <v>151.23263999999998</v>
      </c>
      <c r="K93" s="8">
        <v>107.36558583383237</v>
      </c>
      <c r="L93" s="8" t="s">
        <v>22</v>
      </c>
      <c r="M93" s="8">
        <v>2.1384777831999999</v>
      </c>
      <c r="N93" s="8">
        <v>69.236664062499997</v>
      </c>
      <c r="O93" s="8">
        <f>Table1[[#This Row],[R1 Length (km)]]+Table1[[#This Row],[T1 Length (km)]]</f>
        <v>71.3751418457</v>
      </c>
      <c r="P93" s="7">
        <v>230</v>
      </c>
      <c r="Q93" s="8">
        <f>(Table1[[#This Row],[Linear Features (km)]]*0.4)*100</f>
        <v>2855.005673828</v>
      </c>
      <c r="R93" s="9">
        <f>607232.1/10000</f>
        <v>60.723209999999995</v>
      </c>
      <c r="S93" s="10">
        <f>Table1[[#This Row],[ATG (ha)]]/Table1[[#This Row],[Linear Area (ha)]]</f>
        <v>2.12690330378861E-2</v>
      </c>
      <c r="T93" s="7" t="s">
        <v>136</v>
      </c>
      <c r="U93" s="11" t="s">
        <v>22</v>
      </c>
      <c r="V93" s="9" t="s">
        <v>22</v>
      </c>
      <c r="W93" s="9" t="s">
        <v>22</v>
      </c>
      <c r="X93" s="13">
        <v>236.90945979952801</v>
      </c>
      <c r="Y93" s="12">
        <f>Table1[[#This Row],[Raw Terrestrial Score]]/Table1[[#This Row],[Summed Raw Scores]]</f>
        <v>0.67057197666707091</v>
      </c>
      <c r="Z93" s="13">
        <v>116.38514248468</v>
      </c>
      <c r="AA93" s="12">
        <f>Table1[[#This Row],[Raw Freshwater Score]]/Table1[[#This Row],[Summed Raw Scores]]</f>
        <v>0.32942802333292914</v>
      </c>
      <c r="AB93" s="12">
        <f>Table1[[#This Row],[Raw Terrestrial Score]]+Table1[[#This Row],[Raw Freshwater Score]]</f>
        <v>353.294602284208</v>
      </c>
      <c r="AC93" s="14">
        <f>Table1[[#This Row],[Terrestrial % of Summed Score]]*Table1[[#This Row],[Scaled Summed Score]]</f>
        <v>3.6947678249843366E-2</v>
      </c>
      <c r="AD93" s="14">
        <f>Table1[[#This Row],[Freshwater % of Summed Score]]*Table1[[#This Row],[Scaled Summed Score]]</f>
        <v>1.8151072571035844E-2</v>
      </c>
      <c r="AE93" s="14">
        <f>Table1[[#This Row],[Summed Raw Scores]]/MAX(Table1[Summed Raw Scores])</f>
        <v>5.5098750820879207E-2</v>
      </c>
      <c r="AF93" s="9"/>
    </row>
    <row r="94" spans="1:32" x14ac:dyDescent="0.3">
      <c r="A94" s="7" t="s">
        <v>181</v>
      </c>
      <c r="B94" s="7" t="s">
        <v>114</v>
      </c>
      <c r="C94" s="7" t="s">
        <v>27</v>
      </c>
      <c r="D94" s="7" t="s">
        <v>250</v>
      </c>
      <c r="E94" s="8">
        <v>55.077247999999997</v>
      </c>
      <c r="F94" s="8">
        <v>-121.11845</v>
      </c>
      <c r="G94" s="8">
        <v>54</v>
      </c>
      <c r="H94" s="7" t="s">
        <v>22</v>
      </c>
      <c r="I94" s="8">
        <v>13.2</v>
      </c>
      <c r="J94" s="8">
        <v>216.81</v>
      </c>
      <c r="K94" s="8">
        <v>76.420343570647532</v>
      </c>
      <c r="L94" s="8" t="s">
        <v>22</v>
      </c>
      <c r="M94" s="8">
        <v>6.8</v>
      </c>
      <c r="N94" s="8">
        <v>8.4</v>
      </c>
      <c r="O94" s="8">
        <f>Table1[[#This Row],[R1 Length (km)]]+Table1[[#This Row],[T1 Length (km)]]</f>
        <v>15.2</v>
      </c>
      <c r="P94" s="7">
        <v>69</v>
      </c>
      <c r="Q94" s="8">
        <f>(Table1[[#This Row],[Linear Features (km)]]*0.4)*100</f>
        <v>608</v>
      </c>
      <c r="R94" s="9">
        <v>7</v>
      </c>
      <c r="S94" s="10">
        <f>Table1[[#This Row],[ATG (ha)]]/Table1[[#This Row],[Linear Area (ha)]]</f>
        <v>1.1513157894736841E-2</v>
      </c>
      <c r="T94" s="7" t="s">
        <v>136</v>
      </c>
      <c r="U94" s="11" t="s">
        <v>22</v>
      </c>
      <c r="V94" s="9" t="s">
        <v>22</v>
      </c>
      <c r="W94" s="9" t="s">
        <v>22</v>
      </c>
      <c r="X94" s="13">
        <v>54.586308240890503</v>
      </c>
      <c r="Y94" s="12">
        <f>Table1[[#This Row],[Raw Terrestrial Score]]/Table1[[#This Row],[Summed Raw Scores]]</f>
        <v>0.66406862714556147</v>
      </c>
      <c r="Z94" s="13">
        <v>27.613491613417899</v>
      </c>
      <c r="AA94" s="12">
        <f>Table1[[#This Row],[Raw Freshwater Score]]/Table1[[#This Row],[Summed Raw Scores]]</f>
        <v>0.33593137285443858</v>
      </c>
      <c r="AB94" s="12">
        <f>Table1[[#This Row],[Raw Terrestrial Score]]+Table1[[#This Row],[Raw Freshwater Score]]</f>
        <v>82.199799854308395</v>
      </c>
      <c r="AC94" s="14">
        <f>Table1[[#This Row],[Terrestrial % of Summed Score]]*Table1[[#This Row],[Scaled Summed Score]]</f>
        <v>8.5131144844863369E-3</v>
      </c>
      <c r="AD94" s="14">
        <f>Table1[[#This Row],[Freshwater % of Summed Score]]*Table1[[#This Row],[Scaled Summed Score]]</f>
        <v>4.3065161026100375E-3</v>
      </c>
      <c r="AE94" s="14">
        <f>Table1[[#This Row],[Summed Raw Scores]]/MAX(Table1[Summed Raw Scores])</f>
        <v>1.2819630587096374E-2</v>
      </c>
      <c r="AF94" s="9"/>
    </row>
    <row r="95" spans="1:32" x14ac:dyDescent="0.3">
      <c r="A95" s="7" t="s">
        <v>182</v>
      </c>
      <c r="B95" s="7" t="s">
        <v>114</v>
      </c>
      <c r="C95" s="7" t="s">
        <v>27</v>
      </c>
      <c r="D95" s="7"/>
      <c r="E95" s="8">
        <v>55.66993652</v>
      </c>
      <c r="F95" s="8">
        <v>-122.2744455</v>
      </c>
      <c r="G95" s="8">
        <v>33</v>
      </c>
      <c r="H95" s="7" t="s">
        <v>22</v>
      </c>
      <c r="I95" s="8">
        <v>8.4</v>
      </c>
      <c r="J95" s="8">
        <v>126.3192</v>
      </c>
      <c r="K95" s="8">
        <v>93.660845770732664</v>
      </c>
      <c r="L95" s="8" t="s">
        <v>22</v>
      </c>
      <c r="M95" s="8">
        <v>2.6727924804700001</v>
      </c>
      <c r="N95" s="8">
        <v>20.558074218750001</v>
      </c>
      <c r="O95" s="8">
        <f>Table1[[#This Row],[R1 Length (km)]]+Table1[[#This Row],[T1 Length (km)]]</f>
        <v>23.230866699220002</v>
      </c>
      <c r="P95" s="7">
        <v>69</v>
      </c>
      <c r="Q95" s="8">
        <f>(Table1[[#This Row],[Linear Features (km)]]*0.4)*100</f>
        <v>929.23466796880007</v>
      </c>
      <c r="R95" s="9">
        <f>618138/10000</f>
        <v>61.813800000000001</v>
      </c>
      <c r="S95" s="10">
        <f>Table1[[#This Row],[ATG (ha)]]/Table1[[#This Row],[Linear Area (ha)]]</f>
        <v>6.6521194409500287E-2</v>
      </c>
      <c r="T95" s="7" t="s">
        <v>136</v>
      </c>
      <c r="U95" s="11" t="s">
        <v>22</v>
      </c>
      <c r="V95" s="9" t="s">
        <v>22</v>
      </c>
      <c r="W95" s="9" t="s">
        <v>22</v>
      </c>
      <c r="X95" s="13">
        <v>1042.6909629628101</v>
      </c>
      <c r="Y95" s="12">
        <f>Table1[[#This Row],[Raw Terrestrial Score]]/Table1[[#This Row],[Summed Raw Scores]]</f>
        <v>0.49949384921559031</v>
      </c>
      <c r="Z95" s="13">
        <v>1044.8041375279399</v>
      </c>
      <c r="AA95" s="12">
        <f>Table1[[#This Row],[Raw Freshwater Score]]/Table1[[#This Row],[Summed Raw Scores]]</f>
        <v>0.50050615078440985</v>
      </c>
      <c r="AB95" s="12">
        <f>Table1[[#This Row],[Raw Terrestrial Score]]+Table1[[#This Row],[Raw Freshwater Score]]</f>
        <v>2087.4951004907498</v>
      </c>
      <c r="AC95" s="14">
        <f>Table1[[#This Row],[Terrestrial % of Summed Score]]*Table1[[#This Row],[Scaled Summed Score]]</f>
        <v>0.16261490886083227</v>
      </c>
      <c r="AD95" s="14">
        <f>Table1[[#This Row],[Freshwater % of Summed Score]]*Table1[[#This Row],[Scaled Summed Score]]</f>
        <v>0.16294447313396951</v>
      </c>
      <c r="AE95" s="14">
        <f>Table1[[#This Row],[Summed Raw Scores]]/MAX(Table1[Summed Raw Scores])</f>
        <v>0.32555938199480172</v>
      </c>
      <c r="AF95" s="9"/>
    </row>
    <row r="96" spans="1:32" x14ac:dyDescent="0.3">
      <c r="A96" s="7" t="s">
        <v>183</v>
      </c>
      <c r="B96" s="7" t="s">
        <v>114</v>
      </c>
      <c r="C96" s="7" t="s">
        <v>27</v>
      </c>
      <c r="D96" s="7" t="s">
        <v>250</v>
      </c>
      <c r="E96" s="8">
        <v>54.960041250000003</v>
      </c>
      <c r="F96" s="8">
        <v>-120.59689109999999</v>
      </c>
      <c r="G96" s="8">
        <v>150</v>
      </c>
      <c r="H96" s="7" t="s">
        <v>22</v>
      </c>
      <c r="I96" s="8">
        <v>36</v>
      </c>
      <c r="J96" s="8">
        <v>569.35620000000006</v>
      </c>
      <c r="K96" s="8">
        <v>62.193665264181391</v>
      </c>
      <c r="L96" s="8" t="s">
        <v>22</v>
      </c>
      <c r="M96" s="8">
        <v>0.2</v>
      </c>
      <c r="N96" s="8">
        <v>43.3</v>
      </c>
      <c r="O96" s="8">
        <f>Table1[[#This Row],[R1 Length (km)]]+Table1[[#This Row],[T1 Length (km)]]</f>
        <v>43.5</v>
      </c>
      <c r="P96" s="7">
        <v>230</v>
      </c>
      <c r="Q96" s="8">
        <f>(Table1[[#This Row],[Linear Features (km)]]*0.4)*100</f>
        <v>1740.0000000000002</v>
      </c>
      <c r="R96" s="9">
        <v>19.09</v>
      </c>
      <c r="S96" s="10">
        <f>Table1[[#This Row],[ATG (ha)]]/Table1[[#This Row],[Linear Area (ha)]]</f>
        <v>1.097126436781609E-2</v>
      </c>
      <c r="T96" s="7" t="s">
        <v>136</v>
      </c>
      <c r="U96" s="11" t="s">
        <v>22</v>
      </c>
      <c r="V96" s="9" t="s">
        <v>22</v>
      </c>
      <c r="W96" s="9" t="s">
        <v>22</v>
      </c>
      <c r="X96" s="13">
        <v>311.14422169327702</v>
      </c>
      <c r="Y96" s="12">
        <f>Table1[[#This Row],[Raw Terrestrial Score]]/Table1[[#This Row],[Summed Raw Scores]]</f>
        <v>0.88072181984317222</v>
      </c>
      <c r="Z96" s="13">
        <v>42.138977022841601</v>
      </c>
      <c r="AA96" s="12">
        <f>Table1[[#This Row],[Raw Freshwater Score]]/Table1[[#This Row],[Summed Raw Scores]]</f>
        <v>0.11927818015682784</v>
      </c>
      <c r="AB96" s="12">
        <f>Table1[[#This Row],[Raw Terrestrial Score]]+Table1[[#This Row],[Raw Freshwater Score]]</f>
        <v>353.28319871611859</v>
      </c>
      <c r="AC96" s="14">
        <f>Table1[[#This Row],[Terrestrial % of Summed Score]]*Table1[[#This Row],[Scaled Summed Score]]</f>
        <v>4.8525105760441382E-2</v>
      </c>
      <c r="AD96" s="14">
        <f>Table1[[#This Row],[Freshwater % of Summed Score]]*Table1[[#This Row],[Scaled Summed Score]]</f>
        <v>6.5718665946685679E-3</v>
      </c>
      <c r="AE96" s="14">
        <f>Table1[[#This Row],[Summed Raw Scores]]/MAX(Table1[Summed Raw Scores])</f>
        <v>5.5096972355109949E-2</v>
      </c>
      <c r="AF96" s="9"/>
    </row>
    <row r="97" spans="1:32" x14ac:dyDescent="0.3">
      <c r="A97" s="7" t="s">
        <v>34</v>
      </c>
      <c r="B97" s="7" t="s">
        <v>24</v>
      </c>
      <c r="C97" s="7" t="s">
        <v>32</v>
      </c>
      <c r="D97" s="7" t="s">
        <v>250</v>
      </c>
      <c r="E97" s="17">
        <v>50.6678</v>
      </c>
      <c r="F97" s="17">
        <v>-123.47042500000001</v>
      </c>
      <c r="G97" s="8">
        <v>99</v>
      </c>
      <c r="H97" s="8">
        <v>89</v>
      </c>
      <c r="I97" s="8" t="s">
        <v>22</v>
      </c>
      <c r="J97" s="18">
        <v>656.90040010200858</v>
      </c>
      <c r="K97" s="16">
        <v>97.683961438932542</v>
      </c>
      <c r="L97" s="8" t="s">
        <v>22</v>
      </c>
      <c r="M97" s="17">
        <v>0.75</v>
      </c>
      <c r="N97" s="9">
        <v>66.571992187500001</v>
      </c>
      <c r="O97" s="9">
        <f>Table1[[#This Row],[R1 Length (km)]]+Table1[[#This Row],[T1 Length (km)]]</f>
        <v>67.321992187500001</v>
      </c>
      <c r="P97" s="11">
        <v>230</v>
      </c>
      <c r="Q97" s="9">
        <f>(Table1[[#This Row],[Linear Features (km)]]*0.4)*100</f>
        <v>2692.8796875000003</v>
      </c>
      <c r="R97" s="9">
        <v>26.5</v>
      </c>
      <c r="S97" s="10">
        <f>Table1[[#This Row],[ATG (ha)]]/Table1[[#This Row],[Linear Area (ha)]]</f>
        <v>9.8407664193129671E-3</v>
      </c>
      <c r="T97" s="11" t="s">
        <v>22</v>
      </c>
      <c r="U97" s="11" t="s">
        <v>22</v>
      </c>
      <c r="V97" s="9" t="s">
        <v>22</v>
      </c>
      <c r="W97" s="9" t="s">
        <v>22</v>
      </c>
      <c r="X97" s="13">
        <v>833.52051243185997</v>
      </c>
      <c r="Y97" s="12">
        <f>Table1[[#This Row],[Raw Terrestrial Score]]/Table1[[#This Row],[Summed Raw Scores]]</f>
        <v>0.3303788881554176</v>
      </c>
      <c r="Z97" s="13">
        <v>1689.40253838897</v>
      </c>
      <c r="AA97" s="12">
        <f>Table1[[#This Row],[Raw Freshwater Score]]/Table1[[#This Row],[Summed Raw Scores]]</f>
        <v>0.66962111184458228</v>
      </c>
      <c r="AB97" s="12">
        <f>Table1[[#This Row],[Raw Terrestrial Score]]+Table1[[#This Row],[Raw Freshwater Score]]</f>
        <v>2522.9230508208302</v>
      </c>
      <c r="AC97" s="14">
        <f>Table1[[#This Row],[Terrestrial % of Summed Score]]*Table1[[#This Row],[Scaled Summed Score]]</f>
        <v>0.12999332206504946</v>
      </c>
      <c r="AD97" s="14">
        <f>Table1[[#This Row],[Freshwater % of Summed Score]]*Table1[[#This Row],[Scaled Summed Score]]</f>
        <v>0.26347407771594888</v>
      </c>
      <c r="AE97" s="14">
        <f>Table1[[#This Row],[Summed Raw Scores]]/MAX(Table1[Summed Raw Scores])</f>
        <v>0.39346739978099837</v>
      </c>
      <c r="AF97" s="9"/>
    </row>
    <row r="98" spans="1:32" x14ac:dyDescent="0.3">
      <c r="A98" s="7" t="s">
        <v>46</v>
      </c>
      <c r="B98" s="7" t="s">
        <v>42</v>
      </c>
      <c r="C98" s="7" t="s">
        <v>21</v>
      </c>
      <c r="D98" s="7" t="s">
        <v>250</v>
      </c>
      <c r="E98" s="15">
        <v>49.311390001299998</v>
      </c>
      <c r="F98" s="15">
        <v>-125.72295</v>
      </c>
      <c r="G98" s="8">
        <v>500</v>
      </c>
      <c r="H98" s="8" t="s">
        <v>22</v>
      </c>
      <c r="I98" s="9">
        <v>408</v>
      </c>
      <c r="J98" s="7" t="s">
        <v>22</v>
      </c>
      <c r="K98" s="7" t="s">
        <v>22</v>
      </c>
      <c r="L98" s="16">
        <v>193.71809398773007</v>
      </c>
      <c r="M98" s="15">
        <v>1.9727923584</v>
      </c>
      <c r="N98" s="9">
        <v>82.961731573007143</v>
      </c>
      <c r="O98" s="9">
        <f>Table1[[#This Row],[R1 Length (km)]]+Table1[[#This Row],[T1 Length (km)]]</f>
        <v>84.934523931407142</v>
      </c>
      <c r="P98" s="11">
        <v>500</v>
      </c>
      <c r="Q98" s="9">
        <f>(Table1[[#This Row],[Linear Features (km)]]*0.4)*100</f>
        <v>3397.3809572562859</v>
      </c>
      <c r="R98" s="9">
        <v>74.47</v>
      </c>
      <c r="S98" s="10">
        <f>Table1[[#This Row],[ATG (ha)]]/Table1[[#This Row],[Linear Area (ha)]]</f>
        <v>2.1919826165194538E-2</v>
      </c>
      <c r="T98" s="11" t="s">
        <v>22</v>
      </c>
      <c r="U98" s="11" t="s">
        <v>22</v>
      </c>
      <c r="V98" s="9" t="s">
        <v>22</v>
      </c>
      <c r="W98" s="9" t="s">
        <v>22</v>
      </c>
      <c r="X98" s="13">
        <v>783.49370205309197</v>
      </c>
      <c r="Y98" s="12">
        <f>Table1[[#This Row],[Raw Terrestrial Score]]/Table1[[#This Row],[Summed Raw Scores]]</f>
        <v>0.59129890402216856</v>
      </c>
      <c r="Z98" s="13">
        <v>541.544610589743</v>
      </c>
      <c r="AA98" s="12">
        <f>Table1[[#This Row],[Raw Freshwater Score]]/Table1[[#This Row],[Summed Raw Scores]]</f>
        <v>0.40870109597783133</v>
      </c>
      <c r="AB98" s="12">
        <f>Table1[[#This Row],[Raw Terrestrial Score]]+Table1[[#This Row],[Raw Freshwater Score]]</f>
        <v>1325.0383126428351</v>
      </c>
      <c r="AC98" s="14">
        <f>Table1[[#This Row],[Terrestrial % of Summed Score]]*Table1[[#This Row],[Scaled Summed Score]]</f>
        <v>0.12219129298902719</v>
      </c>
      <c r="AD98" s="14">
        <f>Table1[[#This Row],[Freshwater % of Summed Score]]*Table1[[#This Row],[Scaled Summed Score]]</f>
        <v>8.4457649124428963E-2</v>
      </c>
      <c r="AE98" s="14">
        <f>Table1[[#This Row],[Summed Raw Scores]]/MAX(Table1[Summed Raw Scores])</f>
        <v>0.20664894211345616</v>
      </c>
      <c r="AF98" s="9"/>
    </row>
    <row r="99" spans="1:32" x14ac:dyDescent="0.3">
      <c r="A99" s="7" t="s">
        <v>52</v>
      </c>
      <c r="B99" s="7" t="s">
        <v>53</v>
      </c>
      <c r="C99" s="7" t="s">
        <v>32</v>
      </c>
      <c r="D99" s="7" t="s">
        <v>250</v>
      </c>
      <c r="E99" s="8">
        <v>50.371716999999997</v>
      </c>
      <c r="F99" s="8">
        <v>-122.7530678</v>
      </c>
      <c r="G99" s="8">
        <v>15.82</v>
      </c>
      <c r="H99" s="8" t="s">
        <v>22</v>
      </c>
      <c r="I99" s="8">
        <v>2</v>
      </c>
      <c r="J99" s="8">
        <v>37</v>
      </c>
      <c r="K99" s="8">
        <v>86.53</v>
      </c>
      <c r="L99" s="8" t="s">
        <v>22</v>
      </c>
      <c r="M99" s="8">
        <f>200.000000002/1000</f>
        <v>0.20000000000199999</v>
      </c>
      <c r="N99" s="8">
        <f>5234.07068874/1000</f>
        <v>5.2340706887400001</v>
      </c>
      <c r="O99" s="8">
        <f>Table1[[#This Row],[R1 Length (km)]]+Table1[[#This Row],[T1 Length (km)]]</f>
        <v>5.4340706887420005</v>
      </c>
      <c r="P99" s="7">
        <v>69</v>
      </c>
      <c r="Q99" s="8">
        <f>(Table1[[#This Row],[Linear Features (km)]]*0.4)*100</f>
        <v>217.36282754968005</v>
      </c>
      <c r="R99" s="9">
        <v>6.85</v>
      </c>
      <c r="S99" s="10">
        <f>Table1[[#This Row],[ATG (ha)]]/Table1[[#This Row],[Linear Area (ha)]]</f>
        <v>3.1514128138742471E-2</v>
      </c>
      <c r="T99" s="11" t="s">
        <v>22</v>
      </c>
      <c r="U99" s="11" t="s">
        <v>22</v>
      </c>
      <c r="V99" s="9" t="s">
        <v>22</v>
      </c>
      <c r="W99" s="9" t="s">
        <v>22</v>
      </c>
      <c r="X99" s="13">
        <v>115.498947143555</v>
      </c>
      <c r="Y99" s="12">
        <f>Table1[[#This Row],[Raw Terrestrial Score]]/Table1[[#This Row],[Summed Raw Scores]]</f>
        <v>0.70575384217444515</v>
      </c>
      <c r="Z99" s="13">
        <v>48.154355525970502</v>
      </c>
      <c r="AA99" s="12">
        <f>Table1[[#This Row],[Raw Freshwater Score]]/Table1[[#This Row],[Summed Raw Scores]]</f>
        <v>0.29424615782555491</v>
      </c>
      <c r="AB99" s="12">
        <f>Table1[[#This Row],[Raw Terrestrial Score]]+Table1[[#This Row],[Raw Freshwater Score]]</f>
        <v>163.65330266952549</v>
      </c>
      <c r="AC99" s="14">
        <f>Table1[[#This Row],[Terrestrial % of Summed Score]]*Table1[[#This Row],[Scaled Summed Score]]</f>
        <v>1.8012864243018449E-2</v>
      </c>
      <c r="AD99" s="14">
        <f>Table1[[#This Row],[Freshwater % of Summed Score]]*Table1[[#This Row],[Scaled Summed Score]]</f>
        <v>7.5100067165222995E-3</v>
      </c>
      <c r="AE99" s="14">
        <f>Table1[[#This Row],[Summed Raw Scores]]/MAX(Table1[Summed Raw Scores])</f>
        <v>2.5522870959540749E-2</v>
      </c>
      <c r="AF99" s="9"/>
    </row>
    <row r="100" spans="1:32" x14ac:dyDescent="0.3">
      <c r="A100" s="7" t="s">
        <v>54</v>
      </c>
      <c r="B100" s="7" t="s">
        <v>53</v>
      </c>
      <c r="C100" s="7" t="s">
        <v>32</v>
      </c>
      <c r="D100" s="7" t="s">
        <v>250</v>
      </c>
      <c r="E100" s="15">
        <v>49.712198797900001</v>
      </c>
      <c r="F100" s="15">
        <v>-122.750093851</v>
      </c>
      <c r="G100" s="8">
        <v>27.09</v>
      </c>
      <c r="H100" s="8" t="s">
        <v>22</v>
      </c>
      <c r="I100" s="8">
        <v>4</v>
      </c>
      <c r="J100" s="8">
        <v>78</v>
      </c>
      <c r="K100" s="8">
        <v>85.28</v>
      </c>
      <c r="L100" s="8" t="s">
        <v>22</v>
      </c>
      <c r="M100" s="15">
        <v>0.1</v>
      </c>
      <c r="N100" s="9">
        <v>65.222750000000005</v>
      </c>
      <c r="O100" s="9">
        <f>Table1[[#This Row],[R1 Length (km)]]+Table1[[#This Row],[T1 Length (km)]]</f>
        <v>65.322749999999999</v>
      </c>
      <c r="P100" s="11">
        <v>69</v>
      </c>
      <c r="Q100" s="9">
        <f>(Table1[[#This Row],[Linear Features (km)]]*0.4)*100</f>
        <v>2612.9100000000003</v>
      </c>
      <c r="R100" s="9">
        <v>5.01</v>
      </c>
      <c r="S100" s="10">
        <f>Table1[[#This Row],[ATG (ha)]]/Table1[[#This Row],[Linear Area (ha)]]</f>
        <v>1.9174024363640535E-3</v>
      </c>
      <c r="T100" s="11" t="s">
        <v>22</v>
      </c>
      <c r="U100" s="11" t="s">
        <v>22</v>
      </c>
      <c r="V100" s="9" t="s">
        <v>22</v>
      </c>
      <c r="W100" s="9" t="s">
        <v>22</v>
      </c>
      <c r="X100" s="13">
        <v>363.910695528612</v>
      </c>
      <c r="Y100" s="12">
        <f>Table1[[#This Row],[Raw Terrestrial Score]]/Table1[[#This Row],[Summed Raw Scores]]</f>
        <v>0.23011148267486645</v>
      </c>
      <c r="Z100" s="13">
        <v>1217.5431776046801</v>
      </c>
      <c r="AA100" s="12">
        <f>Table1[[#This Row],[Raw Freshwater Score]]/Table1[[#This Row],[Summed Raw Scores]]</f>
        <v>0.76988851732513353</v>
      </c>
      <c r="AB100" s="12">
        <f>Table1[[#This Row],[Raw Terrestrial Score]]+Table1[[#This Row],[Raw Freshwater Score]]</f>
        <v>1581.4538731332921</v>
      </c>
      <c r="AC100" s="14">
        <f>Table1[[#This Row],[Terrestrial % of Summed Score]]*Table1[[#This Row],[Scaled Summed Score]]</f>
        <v>5.6754404410214503E-2</v>
      </c>
      <c r="AD100" s="14">
        <f>Table1[[#This Row],[Freshwater % of Summed Score]]*Table1[[#This Row],[Scaled Summed Score]]</f>
        <v>0.18988432804454539</v>
      </c>
      <c r="AE100" s="14">
        <f>Table1[[#This Row],[Summed Raw Scores]]/MAX(Table1[Summed Raw Scores])</f>
        <v>0.2466387324547599</v>
      </c>
      <c r="AF100" s="9"/>
    </row>
    <row r="101" spans="1:32" x14ac:dyDescent="0.3">
      <c r="A101" s="7" t="s">
        <v>55</v>
      </c>
      <c r="B101" s="7" t="s">
        <v>53</v>
      </c>
      <c r="C101" s="7" t="s">
        <v>56</v>
      </c>
      <c r="D101" s="7" t="s">
        <v>250</v>
      </c>
      <c r="E101" s="15">
        <v>51.656905572900001</v>
      </c>
      <c r="F101" s="15">
        <v>-118.616383477</v>
      </c>
      <c r="G101" s="8">
        <v>49.27</v>
      </c>
      <c r="H101" s="8" t="s">
        <v>22</v>
      </c>
      <c r="I101" s="8">
        <v>7</v>
      </c>
      <c r="J101" s="8">
        <v>151</v>
      </c>
      <c r="K101" s="8">
        <v>84.37</v>
      </c>
      <c r="L101" s="8" t="s">
        <v>22</v>
      </c>
      <c r="M101" s="15">
        <v>0.14142135620100002</v>
      </c>
      <c r="N101" s="9">
        <v>4.7698486328124998</v>
      </c>
      <c r="O101" s="9">
        <f>Table1[[#This Row],[R1 Length (km)]]+Table1[[#This Row],[T1 Length (km)]]</f>
        <v>4.9112699890134994</v>
      </c>
      <c r="P101" s="11">
        <v>69</v>
      </c>
      <c r="Q101" s="9">
        <f>(Table1[[#This Row],[Linear Features (km)]]*0.4)*100</f>
        <v>196.45079956053999</v>
      </c>
      <c r="R101" s="9">
        <v>5.75</v>
      </c>
      <c r="S101" s="10">
        <f>Table1[[#This Row],[ATG (ha)]]/Table1[[#This Row],[Linear Area (ha)]]</f>
        <v>2.926941510476281E-2</v>
      </c>
      <c r="T101" s="11" t="s">
        <v>22</v>
      </c>
      <c r="U101" s="11" t="s">
        <v>22</v>
      </c>
      <c r="V101" s="9" t="s">
        <v>22</v>
      </c>
      <c r="W101" s="9" t="s">
        <v>22</v>
      </c>
      <c r="X101" s="13">
        <v>41.267023324966402</v>
      </c>
      <c r="Y101" s="12">
        <f>Table1[[#This Row],[Raw Terrestrial Score]]/Table1[[#This Row],[Summed Raw Scores]]</f>
        <v>0.54281012194854572</v>
      </c>
      <c r="Z101" s="13">
        <v>34.757762610912302</v>
      </c>
      <c r="AA101" s="12">
        <f>Table1[[#This Row],[Raw Freshwater Score]]/Table1[[#This Row],[Summed Raw Scores]]</f>
        <v>0.45718987805145433</v>
      </c>
      <c r="AB101" s="12">
        <f>Table1[[#This Row],[Raw Terrestrial Score]]+Table1[[#This Row],[Raw Freshwater Score]]</f>
        <v>76.024785935878697</v>
      </c>
      <c r="AC101" s="14">
        <f>Table1[[#This Row],[Terrestrial % of Summed Score]]*Table1[[#This Row],[Scaled Summed Score]]</f>
        <v>6.4358793499839709E-3</v>
      </c>
      <c r="AD101" s="14">
        <f>Table1[[#This Row],[Freshwater % of Summed Score]]*Table1[[#This Row],[Scaled Summed Score]]</f>
        <v>5.4207148617835899E-3</v>
      </c>
      <c r="AE101" s="14">
        <f>Table1[[#This Row],[Summed Raw Scores]]/MAX(Table1[Summed Raw Scores])</f>
        <v>1.185659421176756E-2</v>
      </c>
      <c r="AF101" s="9"/>
    </row>
    <row r="102" spans="1:32" x14ac:dyDescent="0.3">
      <c r="A102" s="7" t="s">
        <v>184</v>
      </c>
      <c r="B102" s="7" t="s">
        <v>114</v>
      </c>
      <c r="C102" s="7" t="s">
        <v>25</v>
      </c>
      <c r="D102" s="7" t="s">
        <v>250</v>
      </c>
      <c r="E102" s="8">
        <v>51.005977790000003</v>
      </c>
      <c r="F102" s="8">
        <v>-120.4973311</v>
      </c>
      <c r="G102" s="8">
        <v>171</v>
      </c>
      <c r="H102" s="7" t="s">
        <v>22</v>
      </c>
      <c r="I102" s="8">
        <v>58.8</v>
      </c>
      <c r="J102" s="8">
        <v>613.38396</v>
      </c>
      <c r="K102" s="8">
        <v>86.696270973203369</v>
      </c>
      <c r="L102" s="8" t="s">
        <v>22</v>
      </c>
      <c r="M102" s="8">
        <v>0.3</v>
      </c>
      <c r="N102" s="8">
        <v>43.9</v>
      </c>
      <c r="O102" s="8">
        <f>Table1[[#This Row],[R1 Length (km)]]+Table1[[#This Row],[T1 Length (km)]]</f>
        <v>44.199999999999996</v>
      </c>
      <c r="P102" s="7">
        <v>230</v>
      </c>
      <c r="Q102" s="8">
        <f>(Table1[[#This Row],[Linear Features (km)]]*0.4)*100</f>
        <v>1768</v>
      </c>
      <c r="R102" s="9">
        <f>((PI()*(45^2))*Table1[[#This Row],[Number of Turbines - WIND]])/10000</f>
        <v>31.17245310524472</v>
      </c>
      <c r="S102" s="10">
        <f>Table1[[#This Row],[ATG (ha)]]/Table1[[#This Row],[Linear Area (ha)]]</f>
        <v>1.7631478000704026E-2</v>
      </c>
      <c r="T102" s="7" t="s">
        <v>115</v>
      </c>
      <c r="U102" s="7">
        <v>49</v>
      </c>
      <c r="V102" s="9" t="s">
        <v>22</v>
      </c>
      <c r="W102" s="9" t="s">
        <v>22</v>
      </c>
      <c r="X102" s="13">
        <v>657.65762826614105</v>
      </c>
      <c r="Y102" s="12">
        <f>Table1[[#This Row],[Raw Terrestrial Score]]/Table1[[#This Row],[Summed Raw Scores]]</f>
        <v>0.41878972564353745</v>
      </c>
      <c r="Z102" s="13">
        <v>912.71907392144203</v>
      </c>
      <c r="AA102" s="12">
        <f>Table1[[#This Row],[Raw Freshwater Score]]/Table1[[#This Row],[Summed Raw Scores]]</f>
        <v>0.58121027435646255</v>
      </c>
      <c r="AB102" s="12">
        <f>Table1[[#This Row],[Raw Terrestrial Score]]+Table1[[#This Row],[Raw Freshwater Score]]</f>
        <v>1570.3767021875831</v>
      </c>
      <c r="AC102" s="14">
        <f>Table1[[#This Row],[Terrestrial % of Summed Score]]*Table1[[#This Row],[Scaled Summed Score]]</f>
        <v>0.10256628193865343</v>
      </c>
      <c r="AD102" s="14">
        <f>Table1[[#This Row],[Freshwater % of Summed Score]]*Table1[[#This Row],[Scaled Summed Score]]</f>
        <v>0.14234488865189512</v>
      </c>
      <c r="AE102" s="14">
        <f>Table1[[#This Row],[Summed Raw Scores]]/MAX(Table1[Summed Raw Scores])</f>
        <v>0.24491117059054857</v>
      </c>
      <c r="AF102" s="9"/>
    </row>
    <row r="103" spans="1:32" x14ac:dyDescent="0.3">
      <c r="A103" s="7" t="s">
        <v>185</v>
      </c>
      <c r="B103" s="7" t="s">
        <v>114</v>
      </c>
      <c r="C103" s="7" t="s">
        <v>25</v>
      </c>
      <c r="D103" s="7"/>
      <c r="E103" s="8">
        <v>50.930347140000002</v>
      </c>
      <c r="F103" s="8">
        <v>-121.1762619</v>
      </c>
      <c r="G103" s="8">
        <v>69</v>
      </c>
      <c r="H103" s="7" t="s">
        <v>22</v>
      </c>
      <c r="I103" s="8">
        <v>16.8</v>
      </c>
      <c r="J103" s="8">
        <v>169.12056000000001</v>
      </c>
      <c r="K103" s="8">
        <v>109.20568239922603</v>
      </c>
      <c r="L103" s="8" t="s">
        <v>22</v>
      </c>
      <c r="M103" s="8">
        <v>0.1</v>
      </c>
      <c r="N103" s="8">
        <v>35.428636718749999</v>
      </c>
      <c r="O103" s="8">
        <f>Table1[[#This Row],[R1 Length (km)]]+Table1[[#This Row],[T1 Length (km)]]</f>
        <v>35.528636718750001</v>
      </c>
      <c r="P103" s="7">
        <v>130</v>
      </c>
      <c r="Q103" s="8">
        <f>(Table1[[#This Row],[Linear Features (km)]]*0.4)*100</f>
        <v>1421.1454687500002</v>
      </c>
      <c r="R103" s="9">
        <f>((PI()*(45^2))*Table1[[#This Row],[Number of Turbines - WIND]])/10000</f>
        <v>8.906415172927062</v>
      </c>
      <c r="S103" s="10">
        <f>Table1[[#This Row],[ATG (ha)]]/Table1[[#This Row],[Linear Area (ha)]]</f>
        <v>6.2670679172350287E-3</v>
      </c>
      <c r="T103" s="7" t="s">
        <v>115</v>
      </c>
      <c r="U103" s="7">
        <v>14</v>
      </c>
      <c r="V103" s="9" t="s">
        <v>22</v>
      </c>
      <c r="W103" s="9" t="s">
        <v>22</v>
      </c>
      <c r="X103" s="13">
        <v>668.91403104644303</v>
      </c>
      <c r="Y103" s="12">
        <f>Table1[[#This Row],[Raw Terrestrial Score]]/Table1[[#This Row],[Summed Raw Scores]]</f>
        <v>0.45908185840780785</v>
      </c>
      <c r="Z103" s="13">
        <v>788.15515780448902</v>
      </c>
      <c r="AA103" s="12">
        <f>Table1[[#This Row],[Raw Freshwater Score]]/Table1[[#This Row],[Summed Raw Scores]]</f>
        <v>0.54091814159219209</v>
      </c>
      <c r="AB103" s="12">
        <f>Table1[[#This Row],[Raw Terrestrial Score]]+Table1[[#This Row],[Raw Freshwater Score]]</f>
        <v>1457.0691888509321</v>
      </c>
      <c r="AC103" s="14">
        <f>Table1[[#This Row],[Terrestrial % of Summed Score]]*Table1[[#This Row],[Scaled Summed Score]]</f>
        <v>0.10432179625424545</v>
      </c>
      <c r="AD103" s="14">
        <f>Table1[[#This Row],[Freshwater % of Summed Score]]*Table1[[#This Row],[Scaled Summed Score]]</f>
        <v>0.12291827943956503</v>
      </c>
      <c r="AE103" s="14">
        <f>Table1[[#This Row],[Summed Raw Scores]]/MAX(Table1[Summed Raw Scores])</f>
        <v>0.22724007569381049</v>
      </c>
      <c r="AF103" s="9"/>
    </row>
    <row r="104" spans="1:32" x14ac:dyDescent="0.3">
      <c r="A104" s="7" t="s">
        <v>186</v>
      </c>
      <c r="B104" s="7" t="s">
        <v>114</v>
      </c>
      <c r="C104" s="7" t="s">
        <v>25</v>
      </c>
      <c r="D104" s="7" t="s">
        <v>250</v>
      </c>
      <c r="E104" s="8">
        <v>51.02296982</v>
      </c>
      <c r="F104" s="8">
        <v>-121.1465226</v>
      </c>
      <c r="G104" s="8">
        <v>150</v>
      </c>
      <c r="H104" s="7" t="s">
        <v>22</v>
      </c>
      <c r="I104" s="8">
        <v>36.479999999999997</v>
      </c>
      <c r="J104" s="8">
        <v>392.26579199999998</v>
      </c>
      <c r="K104" s="8">
        <v>86.678770695404879</v>
      </c>
      <c r="L104" s="8" t="s">
        <v>22</v>
      </c>
      <c r="M104" s="8">
        <v>0.1</v>
      </c>
      <c r="N104" s="8">
        <v>43</v>
      </c>
      <c r="O104" s="8">
        <f>Table1[[#This Row],[R1 Length (km)]]+Table1[[#This Row],[T1 Length (km)]]</f>
        <v>43.1</v>
      </c>
      <c r="P104" s="7">
        <v>130</v>
      </c>
      <c r="Q104" s="8">
        <f>(Table1[[#This Row],[Linear Features (km)]]*0.4)*100</f>
        <v>1724.0000000000002</v>
      </c>
      <c r="R104" s="9">
        <f>((PI()*(45^2))*Table1[[#This Row],[Number of Turbines - WIND]])/10000</f>
        <v>19.085175370557995</v>
      </c>
      <c r="S104" s="10">
        <f>Table1[[#This Row],[ATG (ha)]]/Table1[[#This Row],[Linear Area (ha)]]</f>
        <v>1.1070287337910668E-2</v>
      </c>
      <c r="T104" s="7" t="s">
        <v>115</v>
      </c>
      <c r="U104" s="7">
        <v>30</v>
      </c>
      <c r="V104" s="9" t="s">
        <v>22</v>
      </c>
      <c r="W104" s="9" t="s">
        <v>22</v>
      </c>
      <c r="X104" s="13">
        <v>602.685322701931</v>
      </c>
      <c r="Y104" s="12">
        <f>Table1[[#This Row],[Raw Terrestrial Score]]/Table1[[#This Row],[Summed Raw Scores]]</f>
        <v>0.57278979260050145</v>
      </c>
      <c r="Z104" s="13">
        <v>449.50752446055401</v>
      </c>
      <c r="AA104" s="12">
        <f>Table1[[#This Row],[Raw Freshwater Score]]/Table1[[#This Row],[Summed Raw Scores]]</f>
        <v>0.42721020739949844</v>
      </c>
      <c r="AB104" s="12">
        <f>Table1[[#This Row],[Raw Terrestrial Score]]+Table1[[#This Row],[Raw Freshwater Score]]</f>
        <v>1052.1928471624851</v>
      </c>
      <c r="AC104" s="14">
        <f>Table1[[#This Row],[Terrestrial % of Summed Score]]*Table1[[#This Row],[Scaled Summed Score]]</f>
        <v>9.3992968486513465E-2</v>
      </c>
      <c r="AD104" s="14">
        <f>Table1[[#This Row],[Freshwater % of Summed Score]]*Table1[[#This Row],[Scaled Summed Score]]</f>
        <v>7.0103825312446369E-2</v>
      </c>
      <c r="AE104" s="14">
        <f>Table1[[#This Row],[Summed Raw Scores]]/MAX(Table1[Summed Raw Scores])</f>
        <v>0.16409679379895986</v>
      </c>
      <c r="AF104" s="9"/>
    </row>
    <row r="105" spans="1:32" x14ac:dyDescent="0.3">
      <c r="A105" s="7" t="s">
        <v>187</v>
      </c>
      <c r="B105" s="7" t="s">
        <v>114</v>
      </c>
      <c r="C105" s="7" t="s">
        <v>25</v>
      </c>
      <c r="D105" s="7" t="s">
        <v>250</v>
      </c>
      <c r="E105" s="8">
        <v>50.631984799999998</v>
      </c>
      <c r="F105" s="8">
        <v>-121.1327119</v>
      </c>
      <c r="G105" s="8">
        <v>96</v>
      </c>
      <c r="H105" s="7" t="s">
        <v>22</v>
      </c>
      <c r="I105" s="8">
        <v>24</v>
      </c>
      <c r="J105" s="8">
        <v>279.7944</v>
      </c>
      <c r="K105" s="8">
        <v>84.949897322398115</v>
      </c>
      <c r="L105" s="8" t="s">
        <v>22</v>
      </c>
      <c r="M105" s="8">
        <v>2.2000000000000002</v>
      </c>
      <c r="N105" s="8">
        <v>28.8</v>
      </c>
      <c r="O105" s="8">
        <f>Table1[[#This Row],[R1 Length (km)]]+Table1[[#This Row],[T1 Length (km)]]</f>
        <v>31</v>
      </c>
      <c r="P105" s="7">
        <v>130</v>
      </c>
      <c r="Q105" s="8">
        <f>(Table1[[#This Row],[Linear Features (km)]]*0.4)*100</f>
        <v>1240</v>
      </c>
      <c r="R105" s="9">
        <f>((PI()*(45^2))*Table1[[#This Row],[Number of Turbines - WIND]])/10000</f>
        <v>12.723450247038663</v>
      </c>
      <c r="S105" s="10">
        <f>Table1[[#This Row],[ATG (ha)]]/Table1[[#This Row],[Linear Area (ha)]]</f>
        <v>1.0260846973418277E-2</v>
      </c>
      <c r="T105" s="7" t="s">
        <v>188</v>
      </c>
      <c r="U105" s="7">
        <v>20</v>
      </c>
      <c r="V105" s="9" t="s">
        <v>22</v>
      </c>
      <c r="W105" s="9" t="s">
        <v>22</v>
      </c>
      <c r="X105" s="13">
        <v>343.95881008822499</v>
      </c>
      <c r="Y105" s="12">
        <f>Table1[[#This Row],[Raw Terrestrial Score]]/Table1[[#This Row],[Summed Raw Scores]]</f>
        <v>0.55712478973985335</v>
      </c>
      <c r="Z105" s="13">
        <v>273.42317761480803</v>
      </c>
      <c r="AA105" s="12">
        <f>Table1[[#This Row],[Raw Freshwater Score]]/Table1[[#This Row],[Summed Raw Scores]]</f>
        <v>0.44287521026014665</v>
      </c>
      <c r="AB105" s="12">
        <f>Table1[[#This Row],[Raw Terrestrial Score]]+Table1[[#This Row],[Raw Freshwater Score]]</f>
        <v>617.38198770303302</v>
      </c>
      <c r="AC105" s="14">
        <f>Table1[[#This Row],[Terrestrial % of Summed Score]]*Table1[[#This Row],[Scaled Summed Score]]</f>
        <v>5.3642769086099766E-2</v>
      </c>
      <c r="AD105" s="14">
        <f>Table1[[#This Row],[Freshwater % of Summed Score]]*Table1[[#This Row],[Scaled Summed Score]]</f>
        <v>4.2642246540557212E-2</v>
      </c>
      <c r="AE105" s="14">
        <f>Table1[[#This Row],[Summed Raw Scores]]/MAX(Table1[Summed Raw Scores])</f>
        <v>9.6285015626656978E-2</v>
      </c>
      <c r="AF105" s="9"/>
    </row>
    <row r="106" spans="1:32" x14ac:dyDescent="0.3">
      <c r="A106" s="7" t="s">
        <v>189</v>
      </c>
      <c r="B106" s="7" t="s">
        <v>114</v>
      </c>
      <c r="C106" s="7" t="s">
        <v>25</v>
      </c>
      <c r="D106" s="7" t="s">
        <v>250</v>
      </c>
      <c r="E106" s="8">
        <v>50.597885300000002</v>
      </c>
      <c r="F106" s="8">
        <v>-120.67581060000001</v>
      </c>
      <c r="G106" s="8">
        <v>144</v>
      </c>
      <c r="H106" s="7" t="s">
        <v>22</v>
      </c>
      <c r="I106" s="8">
        <v>34.799999999999997</v>
      </c>
      <c r="J106" s="8">
        <v>388.55417999999997</v>
      </c>
      <c r="K106" s="8">
        <v>81.42411060961723</v>
      </c>
      <c r="L106" s="8" t="s">
        <v>22</v>
      </c>
      <c r="M106" s="8">
        <v>0.3</v>
      </c>
      <c r="N106" s="8">
        <v>21</v>
      </c>
      <c r="O106" s="8">
        <f>Table1[[#This Row],[R1 Length (km)]]+Table1[[#This Row],[T1 Length (km)]]</f>
        <v>21.3</v>
      </c>
      <c r="P106" s="7">
        <v>130</v>
      </c>
      <c r="Q106" s="8">
        <f>(Table1[[#This Row],[Linear Features (km)]]*0.4)*100</f>
        <v>852.00000000000011</v>
      </c>
      <c r="R106" s="9">
        <f>((PI()*(45^2))*Table1[[#This Row],[Number of Turbines - WIND]])/10000</f>
        <v>18.449002858206061</v>
      </c>
      <c r="S106" s="10">
        <f>Table1[[#This Row],[ATG (ha)]]/Table1[[#This Row],[Linear Area (ha)]]</f>
        <v>2.1653759223246548E-2</v>
      </c>
      <c r="T106" s="7" t="s">
        <v>188</v>
      </c>
      <c r="U106" s="7">
        <v>29</v>
      </c>
      <c r="V106" s="9" t="s">
        <v>22</v>
      </c>
      <c r="W106" s="9" t="s">
        <v>22</v>
      </c>
      <c r="X106" s="13">
        <v>142.30765485856699</v>
      </c>
      <c r="Y106" s="12">
        <f>Table1[[#This Row],[Raw Terrestrial Score]]/Table1[[#This Row],[Summed Raw Scores]]</f>
        <v>0.53134064615684673</v>
      </c>
      <c r="Z106" s="13">
        <v>125.519878923893</v>
      </c>
      <c r="AA106" s="12">
        <f>Table1[[#This Row],[Raw Freshwater Score]]/Table1[[#This Row],[Summed Raw Scores]]</f>
        <v>0.46865935384315321</v>
      </c>
      <c r="AB106" s="12">
        <f>Table1[[#This Row],[Raw Terrestrial Score]]+Table1[[#This Row],[Raw Freshwater Score]]</f>
        <v>267.82753378246002</v>
      </c>
      <c r="AC106" s="14">
        <f>Table1[[#This Row],[Terrestrial % of Summed Score]]*Table1[[#This Row],[Scaled Summed Score]]</f>
        <v>2.2193868698418971E-2</v>
      </c>
      <c r="AD106" s="14">
        <f>Table1[[#This Row],[Freshwater % of Summed Score]]*Table1[[#This Row],[Scaled Summed Score]]</f>
        <v>1.9575698261959117E-2</v>
      </c>
      <c r="AE106" s="14">
        <f>Table1[[#This Row],[Summed Raw Scores]]/MAX(Table1[Summed Raw Scores])</f>
        <v>4.1769566960378091E-2</v>
      </c>
      <c r="AF106" s="9"/>
    </row>
    <row r="107" spans="1:32" x14ac:dyDescent="0.3">
      <c r="A107" s="7" t="s">
        <v>190</v>
      </c>
      <c r="B107" s="7" t="s">
        <v>114</v>
      </c>
      <c r="C107" s="7" t="s">
        <v>25</v>
      </c>
      <c r="D107" s="7" t="s">
        <v>250</v>
      </c>
      <c r="E107" s="8">
        <v>50.438525319999997</v>
      </c>
      <c r="F107" s="8">
        <v>-121.0431569</v>
      </c>
      <c r="G107" s="8">
        <v>129</v>
      </c>
      <c r="H107" s="7" t="s">
        <v>22</v>
      </c>
      <c r="I107" s="8">
        <v>31.2</v>
      </c>
      <c r="J107" s="8">
        <v>320.00280000000004</v>
      </c>
      <c r="K107" s="8">
        <v>89.222821877244428</v>
      </c>
      <c r="L107" s="8" t="s">
        <v>22</v>
      </c>
      <c r="M107" s="8">
        <v>1.6899497070299998</v>
      </c>
      <c r="N107" s="8">
        <v>17.96984765625</v>
      </c>
      <c r="O107" s="8">
        <f>Table1[[#This Row],[R1 Length (km)]]+Table1[[#This Row],[T1 Length (km)]]</f>
        <v>19.659797363279999</v>
      </c>
      <c r="P107" s="7">
        <v>130</v>
      </c>
      <c r="Q107" s="8">
        <f>(Table1[[#This Row],[Linear Features (km)]]*0.4)*100</f>
        <v>786.39189453120002</v>
      </c>
      <c r="R107" s="9">
        <f>((PI()*(45^2))*Table1[[#This Row],[Number of Turbines - WIND]])/10000</f>
        <v>16.54048532115026</v>
      </c>
      <c r="S107" s="10">
        <f>Table1[[#This Row],[ATG (ha)]]/Table1[[#This Row],[Linear Area (ha)]]</f>
        <v>2.1033387343101638E-2</v>
      </c>
      <c r="T107" s="7" t="s">
        <v>115</v>
      </c>
      <c r="U107" s="7">
        <v>26</v>
      </c>
      <c r="V107" s="9" t="s">
        <v>22</v>
      </c>
      <c r="W107" s="9" t="s">
        <v>22</v>
      </c>
      <c r="X107" s="13">
        <v>203.79002542328101</v>
      </c>
      <c r="Y107" s="12">
        <f>Table1[[#This Row],[Raw Terrestrial Score]]/Table1[[#This Row],[Summed Raw Scores]]</f>
        <v>0.46813113274391904</v>
      </c>
      <c r="Z107" s="13">
        <v>231.53676907718199</v>
      </c>
      <c r="AA107" s="12">
        <f>Table1[[#This Row],[Raw Freshwater Score]]/Table1[[#This Row],[Summed Raw Scores]]</f>
        <v>0.53186886725608096</v>
      </c>
      <c r="AB107" s="12">
        <f>Table1[[#This Row],[Raw Terrestrial Score]]+Table1[[#This Row],[Raw Freshwater Score]]</f>
        <v>435.326794500463</v>
      </c>
      <c r="AC107" s="14">
        <f>Table1[[#This Row],[Terrestrial % of Summed Score]]*Table1[[#This Row],[Scaled Summed Score]]</f>
        <v>3.1782472072825967E-2</v>
      </c>
      <c r="AD107" s="14">
        <f>Table1[[#This Row],[Freshwater % of Summed Score]]*Table1[[#This Row],[Scaled Summed Score]]</f>
        <v>3.6109769758079731E-2</v>
      </c>
      <c r="AE107" s="14">
        <f>Table1[[#This Row],[Summed Raw Scores]]/MAX(Table1[Summed Raw Scores])</f>
        <v>6.7892241830905697E-2</v>
      </c>
      <c r="AF107" s="9"/>
    </row>
    <row r="108" spans="1:32" x14ac:dyDescent="0.3">
      <c r="A108" s="7" t="s">
        <v>191</v>
      </c>
      <c r="B108" s="7" t="s">
        <v>114</v>
      </c>
      <c r="C108" s="7" t="s">
        <v>25</v>
      </c>
      <c r="D108" s="7"/>
      <c r="E108" s="8">
        <v>50.360553060000001</v>
      </c>
      <c r="F108" s="8">
        <v>-120.57558160000001</v>
      </c>
      <c r="G108" s="8">
        <v>117</v>
      </c>
      <c r="H108" s="7" t="s">
        <v>22</v>
      </c>
      <c r="I108" s="8">
        <v>28.799999999999997</v>
      </c>
      <c r="J108" s="8">
        <v>291.07727999999997</v>
      </c>
      <c r="K108" s="8">
        <v>92.450222284973009</v>
      </c>
      <c r="L108" s="8" t="s">
        <v>22</v>
      </c>
      <c r="M108" s="8">
        <v>2.3071069335900001</v>
      </c>
      <c r="N108" s="8">
        <v>18.539697265625001</v>
      </c>
      <c r="O108" s="8">
        <f>Table1[[#This Row],[R1 Length (km)]]+Table1[[#This Row],[T1 Length (km)]]</f>
        <v>20.846804199215001</v>
      </c>
      <c r="P108" s="7">
        <v>130</v>
      </c>
      <c r="Q108" s="8">
        <f>(Table1[[#This Row],[Linear Features (km)]]*0.4)*100</f>
        <v>833.87216796860014</v>
      </c>
      <c r="R108" s="9">
        <f>((PI()*(45^2))*Table1[[#This Row],[Number of Turbines - WIND]])/10000</f>
        <v>15.268140296446392</v>
      </c>
      <c r="S108" s="10">
        <f>Table1[[#This Row],[ATG (ha)]]/Table1[[#This Row],[Linear Area (ha)]]</f>
        <v>1.8309929126956209E-2</v>
      </c>
      <c r="T108" s="7" t="s">
        <v>115</v>
      </c>
      <c r="U108" s="7">
        <v>24</v>
      </c>
      <c r="V108" s="9" t="s">
        <v>22</v>
      </c>
      <c r="W108" s="9" t="s">
        <v>22</v>
      </c>
      <c r="X108" s="13">
        <v>235.90833312273</v>
      </c>
      <c r="Y108" s="12">
        <f>Table1[[#This Row],[Raw Terrestrial Score]]/Table1[[#This Row],[Summed Raw Scores]]</f>
        <v>0.60764956681378191</v>
      </c>
      <c r="Z108" s="13">
        <v>152.32255850732301</v>
      </c>
      <c r="AA108" s="12">
        <f>Table1[[#This Row],[Raw Freshwater Score]]/Table1[[#This Row],[Summed Raw Scores]]</f>
        <v>0.39235043318621815</v>
      </c>
      <c r="AB108" s="12">
        <f>Table1[[#This Row],[Raw Terrestrial Score]]+Table1[[#This Row],[Raw Freshwater Score]]</f>
        <v>388.23089163005301</v>
      </c>
      <c r="AC108" s="14">
        <f>Table1[[#This Row],[Terrestrial % of Summed Score]]*Table1[[#This Row],[Scaled Summed Score]]</f>
        <v>3.6791545580540222E-2</v>
      </c>
      <c r="AD108" s="14">
        <f>Table1[[#This Row],[Freshwater % of Summed Score]]*Table1[[#This Row],[Scaled Summed Score]]</f>
        <v>2.3755762588306424E-2</v>
      </c>
      <c r="AE108" s="14">
        <f>Table1[[#This Row],[Summed Raw Scores]]/MAX(Table1[Summed Raw Scores])</f>
        <v>6.0547308168846639E-2</v>
      </c>
      <c r="AF108" s="9"/>
    </row>
    <row r="109" spans="1:32" x14ac:dyDescent="0.3">
      <c r="A109" s="7" t="s">
        <v>192</v>
      </c>
      <c r="B109" s="7" t="s">
        <v>114</v>
      </c>
      <c r="C109" s="7" t="s">
        <v>25</v>
      </c>
      <c r="D109" s="7"/>
      <c r="E109" s="8">
        <v>50.337349539999998</v>
      </c>
      <c r="F109" s="8">
        <v>-120.2431879</v>
      </c>
      <c r="G109" s="8">
        <v>96</v>
      </c>
      <c r="H109" s="7" t="s">
        <v>22</v>
      </c>
      <c r="I109" s="8">
        <v>22.8</v>
      </c>
      <c r="J109" s="8">
        <v>233.51532</v>
      </c>
      <c r="K109" s="8">
        <v>95.607254920173048</v>
      </c>
      <c r="L109" s="8" t="s">
        <v>22</v>
      </c>
      <c r="M109" s="8">
        <v>0.66568542480500004</v>
      </c>
      <c r="N109" s="8">
        <v>22.027921875000001</v>
      </c>
      <c r="O109" s="8">
        <f>Table1[[#This Row],[R1 Length (km)]]+Table1[[#This Row],[T1 Length (km)]]</f>
        <v>22.693607299805002</v>
      </c>
      <c r="P109" s="7">
        <v>130</v>
      </c>
      <c r="Q109" s="8">
        <f>(Table1[[#This Row],[Linear Features (km)]]*0.4)*100</f>
        <v>907.74429199220015</v>
      </c>
      <c r="R109" s="9">
        <f>((PI()*(45^2))*Table1[[#This Row],[Number of Turbines - WIND]])/10000</f>
        <v>12.087277734686728</v>
      </c>
      <c r="S109" s="10">
        <f>Table1[[#This Row],[ATG (ha)]]/Table1[[#This Row],[Linear Area (ha)]]</f>
        <v>1.3315729816553436E-2</v>
      </c>
      <c r="T109" s="7" t="s">
        <v>115</v>
      </c>
      <c r="U109" s="7">
        <v>19</v>
      </c>
      <c r="V109" s="9" t="s">
        <v>22</v>
      </c>
      <c r="W109" s="9" t="s">
        <v>22</v>
      </c>
      <c r="X109" s="13">
        <v>347.15417450666399</v>
      </c>
      <c r="Y109" s="12">
        <f>Table1[[#This Row],[Raw Terrestrial Score]]/Table1[[#This Row],[Summed Raw Scores]]</f>
        <v>0.64627995057659826</v>
      </c>
      <c r="Z109" s="13">
        <v>190.00340588390799</v>
      </c>
      <c r="AA109" s="12">
        <f>Table1[[#This Row],[Raw Freshwater Score]]/Table1[[#This Row],[Summed Raw Scores]]</f>
        <v>0.35372004942340168</v>
      </c>
      <c r="AB109" s="12">
        <f>Table1[[#This Row],[Raw Terrestrial Score]]+Table1[[#This Row],[Raw Freshwater Score]]</f>
        <v>537.15758039057198</v>
      </c>
      <c r="AC109" s="14">
        <f>Table1[[#This Row],[Terrestrial % of Summed Score]]*Table1[[#This Row],[Scaled Summed Score]]</f>
        <v>5.4141108394810282E-2</v>
      </c>
      <c r="AD109" s="14">
        <f>Table1[[#This Row],[Freshwater % of Summed Score]]*Table1[[#This Row],[Scaled Summed Score]]</f>
        <v>2.9632352852914712E-2</v>
      </c>
      <c r="AE109" s="14">
        <f>Table1[[#This Row],[Summed Raw Scores]]/MAX(Table1[Summed Raw Scores])</f>
        <v>8.3773461247725001E-2</v>
      </c>
      <c r="AF109" s="9"/>
    </row>
    <row r="110" spans="1:32" x14ac:dyDescent="0.3">
      <c r="A110" s="7" t="s">
        <v>193</v>
      </c>
      <c r="B110" s="7" t="s">
        <v>114</v>
      </c>
      <c r="C110" s="7" t="s">
        <v>25</v>
      </c>
      <c r="D110" s="7" t="s">
        <v>250</v>
      </c>
      <c r="E110" s="8">
        <v>50.469392810000002</v>
      </c>
      <c r="F110" s="8">
        <v>-119.96195470000001</v>
      </c>
      <c r="G110" s="8">
        <v>117</v>
      </c>
      <c r="H110" s="7" t="s">
        <v>22</v>
      </c>
      <c r="I110" s="8">
        <v>27.599999999999998</v>
      </c>
      <c r="J110" s="8">
        <v>332.44200000000001</v>
      </c>
      <c r="K110" s="8">
        <v>80.465695323400553</v>
      </c>
      <c r="L110" s="8" t="s">
        <v>22</v>
      </c>
      <c r="M110" s="8">
        <v>0.3</v>
      </c>
      <c r="N110" s="8">
        <v>35</v>
      </c>
      <c r="O110" s="8">
        <f>Table1[[#This Row],[R1 Length (km)]]+Table1[[#This Row],[T1 Length (km)]]</f>
        <v>35.299999999999997</v>
      </c>
      <c r="P110" s="7">
        <v>130</v>
      </c>
      <c r="Q110" s="8">
        <f>(Table1[[#This Row],[Linear Features (km)]]*0.4)*100</f>
        <v>1412</v>
      </c>
      <c r="R110" s="9">
        <f>((PI()*(45^2))*Table1[[#This Row],[Number of Turbines - WIND]])/10000</f>
        <v>14.631967784094462</v>
      </c>
      <c r="S110" s="10">
        <f>Table1[[#This Row],[ATG (ha)]]/Table1[[#This Row],[Linear Area (ha)]]</f>
        <v>1.0362583416497494E-2</v>
      </c>
      <c r="T110" s="7" t="s">
        <v>115</v>
      </c>
      <c r="U110" s="7">
        <v>23</v>
      </c>
      <c r="V110" s="9" t="s">
        <v>22</v>
      </c>
      <c r="W110" s="9" t="s">
        <v>22</v>
      </c>
      <c r="X110" s="13">
        <v>508.861299294047</v>
      </c>
      <c r="Y110" s="12">
        <f>Table1[[#This Row],[Raw Terrestrial Score]]/Table1[[#This Row],[Summed Raw Scores]]</f>
        <v>0.5997821388262492</v>
      </c>
      <c r="Z110" s="13">
        <v>339.54892560839698</v>
      </c>
      <c r="AA110" s="12">
        <f>Table1[[#This Row],[Raw Freshwater Score]]/Table1[[#This Row],[Summed Raw Scores]]</f>
        <v>0.40021786117375074</v>
      </c>
      <c r="AB110" s="12">
        <f>Table1[[#This Row],[Raw Terrestrial Score]]+Table1[[#This Row],[Raw Freshwater Score]]</f>
        <v>848.41022490244404</v>
      </c>
      <c r="AC110" s="14">
        <f>Table1[[#This Row],[Terrestrial % of Summed Score]]*Table1[[#This Row],[Scaled Summed Score]]</f>
        <v>7.9360459375591191E-2</v>
      </c>
      <c r="AD110" s="14">
        <f>Table1[[#This Row],[Freshwater % of Summed Score]]*Table1[[#This Row],[Scaled Summed Score]]</f>
        <v>5.2955016925347979E-2</v>
      </c>
      <c r="AE110" s="14">
        <f>Table1[[#This Row],[Summed Raw Scores]]/MAX(Table1[Summed Raw Scores])</f>
        <v>0.13231547630093918</v>
      </c>
      <c r="AF110" s="9"/>
    </row>
    <row r="111" spans="1:32" x14ac:dyDescent="0.3">
      <c r="A111" s="7" t="s">
        <v>194</v>
      </c>
      <c r="B111" s="7" t="s">
        <v>114</v>
      </c>
      <c r="C111" s="7" t="s">
        <v>87</v>
      </c>
      <c r="D111" s="7" t="s">
        <v>250</v>
      </c>
      <c r="E111" s="8">
        <v>50.614013720000003</v>
      </c>
      <c r="F111" s="8">
        <v>-119.4703877</v>
      </c>
      <c r="G111" s="8">
        <v>138</v>
      </c>
      <c r="H111" s="7" t="s">
        <v>22</v>
      </c>
      <c r="I111" s="8">
        <v>33.6</v>
      </c>
      <c r="J111" s="8">
        <v>366.44832000000002</v>
      </c>
      <c r="K111" s="8">
        <v>83.191183022405298</v>
      </c>
      <c r="L111" s="8" t="s">
        <v>22</v>
      </c>
      <c r="M111" s="8">
        <v>0.2</v>
      </c>
      <c r="N111" s="8">
        <v>18.899999999999999</v>
      </c>
      <c r="O111" s="8">
        <f>Table1[[#This Row],[R1 Length (km)]]+Table1[[#This Row],[T1 Length (km)]]</f>
        <v>19.099999999999998</v>
      </c>
      <c r="P111" s="7">
        <v>130</v>
      </c>
      <c r="Q111" s="8">
        <f>(Table1[[#This Row],[Linear Features (km)]]*0.4)*100</f>
        <v>764</v>
      </c>
      <c r="R111" s="9">
        <f>((PI()*(45^2))*Table1[[#This Row],[Number of Turbines - WIND]])/10000</f>
        <v>17.812830345854124</v>
      </c>
      <c r="S111" s="10">
        <f>Table1[[#This Row],[ATG (ha)]]/Table1[[#This Row],[Linear Area (ha)]]</f>
        <v>2.3315222965777649E-2</v>
      </c>
      <c r="T111" s="7" t="s">
        <v>115</v>
      </c>
      <c r="U111" s="7">
        <v>28</v>
      </c>
      <c r="V111" s="9" t="s">
        <v>22</v>
      </c>
      <c r="W111" s="9" t="s">
        <v>22</v>
      </c>
      <c r="X111" s="13">
        <v>80.271711772307796</v>
      </c>
      <c r="Y111" s="12">
        <f>Table1[[#This Row],[Raw Terrestrial Score]]/Table1[[#This Row],[Summed Raw Scores]]</f>
        <v>0.24149153163126477</v>
      </c>
      <c r="Z111" s="13">
        <v>252.12798452377299</v>
      </c>
      <c r="AA111" s="12">
        <f>Table1[[#This Row],[Raw Freshwater Score]]/Table1[[#This Row],[Summed Raw Scores]]</f>
        <v>0.75850846836873531</v>
      </c>
      <c r="AB111" s="12">
        <f>Table1[[#This Row],[Raw Terrestrial Score]]+Table1[[#This Row],[Raw Freshwater Score]]</f>
        <v>332.39969629608078</v>
      </c>
      <c r="AC111" s="14">
        <f>Table1[[#This Row],[Terrestrial % of Summed Score]]*Table1[[#This Row],[Scaled Summed Score]]</f>
        <v>1.2518931838505257E-2</v>
      </c>
      <c r="AD111" s="14">
        <f>Table1[[#This Row],[Freshwater % of Summed Score]]*Table1[[#This Row],[Scaled Summed Score]]</f>
        <v>3.9321113043981587E-2</v>
      </c>
      <c r="AE111" s="14">
        <f>Table1[[#This Row],[Summed Raw Scores]]/MAX(Table1[Summed Raw Scores])</f>
        <v>5.1840044882486842E-2</v>
      </c>
      <c r="AF111" s="9"/>
    </row>
    <row r="112" spans="1:32" x14ac:dyDescent="0.3">
      <c r="A112" s="7" t="s">
        <v>195</v>
      </c>
      <c r="B112" s="7" t="s">
        <v>114</v>
      </c>
      <c r="C112" s="7" t="s">
        <v>87</v>
      </c>
      <c r="D112" s="7" t="s">
        <v>250</v>
      </c>
      <c r="E112" s="8">
        <v>50.342679080000003</v>
      </c>
      <c r="F112" s="8">
        <v>-119.65686049999999</v>
      </c>
      <c r="G112" s="8">
        <v>186</v>
      </c>
      <c r="H112" s="7" t="s">
        <v>22</v>
      </c>
      <c r="I112" s="8">
        <v>44.4</v>
      </c>
      <c r="J112" s="8">
        <v>583.90218000000004</v>
      </c>
      <c r="K112" s="8">
        <v>73.214955174331507</v>
      </c>
      <c r="L112" s="8" t="s">
        <v>22</v>
      </c>
      <c r="M112" s="8">
        <v>0.1</v>
      </c>
      <c r="N112" s="8">
        <v>51.7</v>
      </c>
      <c r="O112" s="8">
        <f>Table1[[#This Row],[R1 Length (km)]]+Table1[[#This Row],[T1 Length (km)]]</f>
        <v>51.800000000000004</v>
      </c>
      <c r="P112" s="7">
        <v>230</v>
      </c>
      <c r="Q112" s="8">
        <f>(Table1[[#This Row],[Linear Features (km)]]*0.4)*100</f>
        <v>2072.0000000000005</v>
      </c>
      <c r="R112" s="9">
        <f>((PI()*(45^2))*Table1[[#This Row],[Number of Turbines - WIND]])/10000</f>
        <v>23.538382957021522</v>
      </c>
      <c r="S112" s="10">
        <f>Table1[[#This Row],[ATG (ha)]]/Table1[[#This Row],[Linear Area (ha)]]</f>
        <v>1.1360223434855944E-2</v>
      </c>
      <c r="T112" s="7" t="s">
        <v>115</v>
      </c>
      <c r="U112" s="7">
        <v>37</v>
      </c>
      <c r="V112" s="9" t="s">
        <v>22</v>
      </c>
      <c r="W112" s="9" t="s">
        <v>22</v>
      </c>
      <c r="X112" s="13">
        <v>435.98377745225997</v>
      </c>
      <c r="Y112" s="12">
        <f>Table1[[#This Row],[Raw Terrestrial Score]]/Table1[[#This Row],[Summed Raw Scores]]</f>
        <v>0.85902917360174369</v>
      </c>
      <c r="Z112" s="13">
        <v>71.547038555145306</v>
      </c>
      <c r="AA112" s="12">
        <f>Table1[[#This Row],[Raw Freshwater Score]]/Table1[[#This Row],[Summed Raw Scores]]</f>
        <v>0.14097082639825634</v>
      </c>
      <c r="AB112" s="12">
        <f>Table1[[#This Row],[Raw Terrestrial Score]]+Table1[[#This Row],[Raw Freshwater Score]]</f>
        <v>507.53081600740529</v>
      </c>
      <c r="AC112" s="14">
        <f>Table1[[#This Row],[Terrestrial % of Summed Score]]*Table1[[#This Row],[Scaled Summed Score]]</f>
        <v>6.7994702892355791E-2</v>
      </c>
      <c r="AD112" s="14">
        <f>Table1[[#This Row],[Freshwater % of Summed Score]]*Table1[[#This Row],[Scaled Summed Score]]</f>
        <v>1.1158258359550375E-2</v>
      </c>
      <c r="AE112" s="14">
        <f>Table1[[#This Row],[Summed Raw Scores]]/MAX(Table1[Summed Raw Scores])</f>
        <v>7.915296125190617E-2</v>
      </c>
      <c r="AF112" s="9"/>
    </row>
    <row r="113" spans="1:32" x14ac:dyDescent="0.3">
      <c r="A113" s="7" t="s">
        <v>196</v>
      </c>
      <c r="B113" s="7" t="s">
        <v>114</v>
      </c>
      <c r="C113" s="7" t="s">
        <v>87</v>
      </c>
      <c r="D113" s="7" t="s">
        <v>250</v>
      </c>
      <c r="E113" s="8">
        <v>50.018305660000003</v>
      </c>
      <c r="F113" s="8">
        <v>-118.79677030000001</v>
      </c>
      <c r="G113" s="8">
        <v>162</v>
      </c>
      <c r="H113" s="7" t="s">
        <v>22</v>
      </c>
      <c r="I113" s="8">
        <v>56.4</v>
      </c>
      <c r="J113" s="8">
        <v>618.81515999999988</v>
      </c>
      <c r="K113" s="8">
        <v>85.512634441569176</v>
      </c>
      <c r="L113" s="8" t="s">
        <v>22</v>
      </c>
      <c r="M113" s="8">
        <v>1</v>
      </c>
      <c r="N113" s="8">
        <v>66.8</v>
      </c>
      <c r="O113" s="8">
        <f>Table1[[#This Row],[R1 Length (km)]]+Table1[[#This Row],[T1 Length (km)]]</f>
        <v>67.8</v>
      </c>
      <c r="P113" s="7">
        <v>230</v>
      </c>
      <c r="Q113" s="8">
        <f>(Table1[[#This Row],[Linear Features (km)]]*0.4)*100</f>
        <v>2712</v>
      </c>
      <c r="R113" s="9">
        <f>((PI()*(45^2))*Table1[[#This Row],[Number of Turbines - WIND]])/10000</f>
        <v>29.900108080540853</v>
      </c>
      <c r="S113" s="10">
        <f>Table1[[#This Row],[ATG (ha)]]/Table1[[#This Row],[Linear Area (ha)]]</f>
        <v>1.1025113599019488E-2</v>
      </c>
      <c r="T113" s="7" t="s">
        <v>115</v>
      </c>
      <c r="U113" s="7">
        <v>47</v>
      </c>
      <c r="V113" s="9" t="s">
        <v>22</v>
      </c>
      <c r="W113" s="9" t="s">
        <v>22</v>
      </c>
      <c r="X113" s="13">
        <v>998.46665954589798</v>
      </c>
      <c r="Y113" s="12">
        <f>Table1[[#This Row],[Raw Terrestrial Score]]/Table1[[#This Row],[Summed Raw Scores]]</f>
        <v>0.49597500544226991</v>
      </c>
      <c r="Z113" s="13">
        <v>1014.67240712047</v>
      </c>
      <c r="AA113" s="12">
        <f>Table1[[#This Row],[Raw Freshwater Score]]/Table1[[#This Row],[Summed Raw Scores]]</f>
        <v>0.50402499455773009</v>
      </c>
      <c r="AB113" s="12">
        <f>Table1[[#This Row],[Raw Terrestrial Score]]+Table1[[#This Row],[Raw Freshwater Score]]</f>
        <v>2013.1390666663679</v>
      </c>
      <c r="AC113" s="14">
        <f>Table1[[#This Row],[Terrestrial % of Summed Score]]*Table1[[#This Row],[Scaled Summed Score]]</f>
        <v>0.1557178211090211</v>
      </c>
      <c r="AD113" s="14">
        <f>Table1[[#This Row],[Freshwater % of Summed Score]]*Table1[[#This Row],[Scaled Summed Score]]</f>
        <v>0.15824522017400627</v>
      </c>
      <c r="AE113" s="14">
        <f>Table1[[#This Row],[Summed Raw Scores]]/MAX(Table1[Summed Raw Scores])</f>
        <v>0.31396304128302738</v>
      </c>
      <c r="AF113" s="9"/>
    </row>
    <row r="114" spans="1:32" x14ac:dyDescent="0.3">
      <c r="A114" s="7" t="s">
        <v>197</v>
      </c>
      <c r="B114" s="7" t="s">
        <v>114</v>
      </c>
      <c r="C114" s="7" t="s">
        <v>87</v>
      </c>
      <c r="D114" s="7" t="s">
        <v>250</v>
      </c>
      <c r="E114" s="8">
        <v>50.190878660000003</v>
      </c>
      <c r="F114" s="8">
        <v>-119.67523540000001</v>
      </c>
      <c r="G114" s="8">
        <v>81</v>
      </c>
      <c r="H114" s="7" t="s">
        <v>22</v>
      </c>
      <c r="I114" s="8">
        <v>20.399999999999999</v>
      </c>
      <c r="J114" s="8">
        <v>258.37619999999998</v>
      </c>
      <c r="K114" s="8">
        <v>85.143636170844871</v>
      </c>
      <c r="L114" s="8" t="s">
        <v>22</v>
      </c>
      <c r="M114" s="8">
        <v>0.1</v>
      </c>
      <c r="N114" s="8">
        <v>36.799999999999997</v>
      </c>
      <c r="O114" s="8">
        <f>Table1[[#This Row],[R1 Length (km)]]+Table1[[#This Row],[T1 Length (km)]]</f>
        <v>36.9</v>
      </c>
      <c r="P114" s="7">
        <v>130</v>
      </c>
      <c r="Q114" s="8">
        <f>(Table1[[#This Row],[Linear Features (km)]]*0.4)*100</f>
        <v>1476</v>
      </c>
      <c r="R114" s="9">
        <f>((PI()*(45^2))*Table1[[#This Row],[Number of Turbines - WIND]])/10000</f>
        <v>10.814932709982862</v>
      </c>
      <c r="S114" s="10">
        <f>Table1[[#This Row],[ATG (ha)]]/Table1[[#This Row],[Linear Area (ha)]]</f>
        <v>7.3271901829152185E-3</v>
      </c>
      <c r="T114" s="7" t="s">
        <v>115</v>
      </c>
      <c r="U114" s="7">
        <v>17</v>
      </c>
      <c r="V114" s="9" t="s">
        <v>22</v>
      </c>
      <c r="W114" s="9" t="s">
        <v>22</v>
      </c>
      <c r="X114" s="13">
        <v>543.63701210450404</v>
      </c>
      <c r="Y114" s="12">
        <f>Table1[[#This Row],[Raw Terrestrial Score]]/Table1[[#This Row],[Summed Raw Scores]]</f>
        <v>0.82312511174722358</v>
      </c>
      <c r="Z114" s="13">
        <v>116.81788636231801</v>
      </c>
      <c r="AA114" s="12">
        <f>Table1[[#This Row],[Raw Freshwater Score]]/Table1[[#This Row],[Summed Raw Scores]]</f>
        <v>0.17687488825277653</v>
      </c>
      <c r="AB114" s="12">
        <f>Table1[[#This Row],[Raw Terrestrial Score]]+Table1[[#This Row],[Raw Freshwater Score]]</f>
        <v>660.45489846682199</v>
      </c>
      <c r="AC114" s="14">
        <f>Table1[[#This Row],[Terrestrial % of Summed Score]]*Table1[[#This Row],[Scaled Summed Score]]</f>
        <v>8.4783973695859299E-2</v>
      </c>
      <c r="AD114" s="14">
        <f>Table1[[#This Row],[Freshwater % of Summed Score]]*Table1[[#This Row],[Scaled Summed Score]]</f>
        <v>1.8218561989014715E-2</v>
      </c>
      <c r="AE114" s="14">
        <f>Table1[[#This Row],[Summed Raw Scores]]/MAX(Table1[Summed Raw Scores])</f>
        <v>0.103002535684874</v>
      </c>
      <c r="AF114" s="9"/>
    </row>
    <row r="115" spans="1:32" x14ac:dyDescent="0.3">
      <c r="A115" s="7" t="s">
        <v>198</v>
      </c>
      <c r="B115" s="7" t="s">
        <v>114</v>
      </c>
      <c r="C115" s="7" t="s">
        <v>25</v>
      </c>
      <c r="D115" s="7" t="s">
        <v>250</v>
      </c>
      <c r="E115" s="8">
        <v>50.09076254</v>
      </c>
      <c r="F115" s="8">
        <v>-119.7530118</v>
      </c>
      <c r="G115" s="8">
        <v>303</v>
      </c>
      <c r="H115" s="7" t="s">
        <v>22</v>
      </c>
      <c r="I115" s="8">
        <v>73.2</v>
      </c>
      <c r="J115" s="8">
        <v>902.53403999999989</v>
      </c>
      <c r="K115" s="8">
        <v>75.242059453167954</v>
      </c>
      <c r="L115" s="8" t="s">
        <v>22</v>
      </c>
      <c r="M115" s="8">
        <v>0</v>
      </c>
      <c r="N115" s="8">
        <v>79.900000000000006</v>
      </c>
      <c r="O115" s="8">
        <f>Table1[[#This Row],[R1 Length (km)]]+Table1[[#This Row],[T1 Length (km)]]</f>
        <v>79.900000000000006</v>
      </c>
      <c r="P115" s="7">
        <v>230</v>
      </c>
      <c r="Q115" s="8">
        <f>(Table1[[#This Row],[Linear Features (km)]]*0.4)*100</f>
        <v>3196.0000000000005</v>
      </c>
      <c r="R115" s="9">
        <f>((PI()*(45^2))*Table1[[#This Row],[Number of Turbines - WIND]])/10000</f>
        <v>38.806523253467915</v>
      </c>
      <c r="S115" s="10">
        <f>Table1[[#This Row],[ATG (ha)]]/Table1[[#This Row],[Linear Area (ha)]]</f>
        <v>1.2142216287067556E-2</v>
      </c>
      <c r="T115" s="7" t="s">
        <v>115</v>
      </c>
      <c r="U115" s="7">
        <v>61</v>
      </c>
      <c r="V115" s="9" t="s">
        <v>22</v>
      </c>
      <c r="W115" s="9" t="s">
        <v>22</v>
      </c>
      <c r="X115" s="13">
        <v>824.10145965218499</v>
      </c>
      <c r="Y115" s="12">
        <f>Table1[[#This Row],[Raw Terrestrial Score]]/Table1[[#This Row],[Summed Raw Scores]]</f>
        <v>0.57596274313250306</v>
      </c>
      <c r="Z115" s="13">
        <v>606.72278979513806</v>
      </c>
      <c r="AA115" s="12">
        <f>Table1[[#This Row],[Raw Freshwater Score]]/Table1[[#This Row],[Summed Raw Scores]]</f>
        <v>0.42403725686749699</v>
      </c>
      <c r="AB115" s="12">
        <f>Table1[[#This Row],[Raw Terrestrial Score]]+Table1[[#This Row],[Raw Freshwater Score]]</f>
        <v>1430.8242494473229</v>
      </c>
      <c r="AC115" s="14">
        <f>Table1[[#This Row],[Terrestrial % of Summed Score]]*Table1[[#This Row],[Scaled Summed Score]]</f>
        <v>0.12852435526306435</v>
      </c>
      <c r="AD115" s="14">
        <f>Table1[[#This Row],[Freshwater % of Summed Score]]*Table1[[#This Row],[Scaled Summed Score]]</f>
        <v>9.462263956520478E-2</v>
      </c>
      <c r="AE115" s="14">
        <f>Table1[[#This Row],[Summed Raw Scores]]/MAX(Table1[Summed Raw Scores])</f>
        <v>0.22314699482826914</v>
      </c>
      <c r="AF115" s="9"/>
    </row>
    <row r="116" spans="1:32" x14ac:dyDescent="0.3">
      <c r="A116" s="7" t="s">
        <v>199</v>
      </c>
      <c r="B116" s="7" t="s">
        <v>114</v>
      </c>
      <c r="C116" s="7" t="s">
        <v>25</v>
      </c>
      <c r="D116" s="7" t="s">
        <v>250</v>
      </c>
      <c r="E116" s="8">
        <v>51.20302839</v>
      </c>
      <c r="F116" s="8">
        <v>-122.80802730000001</v>
      </c>
      <c r="G116" s="8">
        <v>117</v>
      </c>
      <c r="H116" s="7" t="s">
        <v>22</v>
      </c>
      <c r="I116" s="8">
        <v>27.599999999999998</v>
      </c>
      <c r="J116" s="8">
        <v>349.46706</v>
      </c>
      <c r="K116" s="8">
        <v>91.343677990623945</v>
      </c>
      <c r="L116" s="8" t="s">
        <v>22</v>
      </c>
      <c r="M116" s="8">
        <v>2.7</v>
      </c>
      <c r="N116" s="8">
        <v>69.8</v>
      </c>
      <c r="O116" s="8">
        <f>Table1[[#This Row],[R1 Length (km)]]+Table1[[#This Row],[T1 Length (km)]]</f>
        <v>72.5</v>
      </c>
      <c r="P116" s="7">
        <v>230</v>
      </c>
      <c r="Q116" s="8">
        <f>(Table1[[#This Row],[Linear Features (km)]]*0.4)*100</f>
        <v>2900</v>
      </c>
      <c r="R116" s="9">
        <v>14.63</v>
      </c>
      <c r="S116" s="10">
        <f>Table1[[#This Row],[ATG (ha)]]/Table1[[#This Row],[Linear Area (ha)]]</f>
        <v>5.0448275862068973E-3</v>
      </c>
      <c r="T116" s="7" t="s">
        <v>136</v>
      </c>
      <c r="U116" s="11" t="s">
        <v>22</v>
      </c>
      <c r="V116" s="9" t="s">
        <v>22</v>
      </c>
      <c r="W116" s="9" t="s">
        <v>22</v>
      </c>
      <c r="X116" s="13">
        <v>784.87793678045296</v>
      </c>
      <c r="Y116" s="12">
        <f>Table1[[#This Row],[Raw Terrestrial Score]]/Table1[[#This Row],[Summed Raw Scores]]</f>
        <v>0.51196589733018916</v>
      </c>
      <c r="Z116" s="13">
        <v>748.18889613449596</v>
      </c>
      <c r="AA116" s="12">
        <f>Table1[[#This Row],[Raw Freshwater Score]]/Table1[[#This Row],[Summed Raw Scores]]</f>
        <v>0.48803410266981084</v>
      </c>
      <c r="AB116" s="12">
        <f>Table1[[#This Row],[Raw Terrestrial Score]]+Table1[[#This Row],[Raw Freshwater Score]]</f>
        <v>1533.0668329149489</v>
      </c>
      <c r="AC116" s="14">
        <f>Table1[[#This Row],[Terrestrial % of Summed Score]]*Table1[[#This Row],[Scaled Summed Score]]</f>
        <v>0.12240717402379918</v>
      </c>
      <c r="AD116" s="14">
        <f>Table1[[#This Row],[Freshwater % of Summed Score]]*Table1[[#This Row],[Scaled Summed Score]]</f>
        <v>0.11668526291805721</v>
      </c>
      <c r="AE116" s="14">
        <f>Table1[[#This Row],[Summed Raw Scores]]/MAX(Table1[Summed Raw Scores])</f>
        <v>0.23909243694185639</v>
      </c>
      <c r="AF116" s="9"/>
    </row>
    <row r="117" spans="1:32" x14ac:dyDescent="0.3">
      <c r="A117" s="7" t="s">
        <v>200</v>
      </c>
      <c r="B117" s="7" t="s">
        <v>114</v>
      </c>
      <c r="C117" s="7" t="s">
        <v>25</v>
      </c>
      <c r="D117" s="7" t="s">
        <v>250</v>
      </c>
      <c r="E117" s="8">
        <v>51.175719659999999</v>
      </c>
      <c r="F117" s="8">
        <v>-122.474124</v>
      </c>
      <c r="G117" s="8">
        <v>54</v>
      </c>
      <c r="H117" s="7" t="s">
        <v>22</v>
      </c>
      <c r="I117" s="8">
        <v>13.2</v>
      </c>
      <c r="J117" s="8">
        <v>160.05395999999999</v>
      </c>
      <c r="K117" s="8">
        <v>89.798275246286522</v>
      </c>
      <c r="L117" s="8" t="s">
        <v>22</v>
      </c>
      <c r="M117" s="8">
        <v>2.6</v>
      </c>
      <c r="N117" s="8">
        <v>38.5</v>
      </c>
      <c r="O117" s="8">
        <f>Table1[[#This Row],[R1 Length (km)]]+Table1[[#This Row],[T1 Length (km)]]</f>
        <v>41.1</v>
      </c>
      <c r="P117" s="7">
        <v>69</v>
      </c>
      <c r="Q117" s="8">
        <f>(Table1[[#This Row],[Linear Features (km)]]*0.4)*100</f>
        <v>1644.0000000000002</v>
      </c>
      <c r="R117" s="9">
        <v>7</v>
      </c>
      <c r="S117" s="10">
        <f>Table1[[#This Row],[ATG (ha)]]/Table1[[#This Row],[Linear Area (ha)]]</f>
        <v>4.2579075425790746E-3</v>
      </c>
      <c r="T117" s="7" t="s">
        <v>136</v>
      </c>
      <c r="U117" s="11" t="s">
        <v>22</v>
      </c>
      <c r="V117" s="9" t="s">
        <v>22</v>
      </c>
      <c r="W117" s="9" t="s">
        <v>22</v>
      </c>
      <c r="X117" s="13">
        <v>240.34546804428101</v>
      </c>
      <c r="Y117" s="12">
        <f>Table1[[#This Row],[Raw Terrestrial Score]]/Table1[[#This Row],[Summed Raw Scores]]</f>
        <v>0.44514102196366695</v>
      </c>
      <c r="Z117" s="13">
        <v>299.58560140430899</v>
      </c>
      <c r="AA117" s="12">
        <f>Table1[[#This Row],[Raw Freshwater Score]]/Table1[[#This Row],[Summed Raw Scores]]</f>
        <v>0.55485897803633299</v>
      </c>
      <c r="AB117" s="12">
        <f>Table1[[#This Row],[Raw Terrestrial Score]]+Table1[[#This Row],[Raw Freshwater Score]]</f>
        <v>539.93106944859005</v>
      </c>
      <c r="AC117" s="14">
        <f>Table1[[#This Row],[Terrestrial % of Summed Score]]*Table1[[#This Row],[Scaled Summed Score]]</f>
        <v>3.748354763723874E-2</v>
      </c>
      <c r="AD117" s="14">
        <f>Table1[[#This Row],[Freshwater % of Summed Score]]*Table1[[#This Row],[Scaled Summed Score]]</f>
        <v>4.6722458522081713E-2</v>
      </c>
      <c r="AE117" s="14">
        <f>Table1[[#This Row],[Summed Raw Scores]]/MAX(Table1[Summed Raw Scores])</f>
        <v>8.420600615932046E-2</v>
      </c>
      <c r="AF117" s="9"/>
    </row>
    <row r="118" spans="1:32" x14ac:dyDescent="0.3">
      <c r="A118" s="7" t="s">
        <v>201</v>
      </c>
      <c r="B118" s="7" t="s">
        <v>114</v>
      </c>
      <c r="C118" s="7" t="s">
        <v>25</v>
      </c>
      <c r="D118" s="7" t="s">
        <v>250</v>
      </c>
      <c r="E118" s="8">
        <v>51.025660500000001</v>
      </c>
      <c r="F118" s="8">
        <v>-122.15500520000001</v>
      </c>
      <c r="G118" s="8">
        <v>39</v>
      </c>
      <c r="H118" s="7" t="s">
        <v>22</v>
      </c>
      <c r="I118" s="8">
        <v>9.6</v>
      </c>
      <c r="J118" s="8">
        <v>124.21679999999999</v>
      </c>
      <c r="K118" s="8">
        <v>88.564118456528348</v>
      </c>
      <c r="L118" s="8" t="s">
        <v>22</v>
      </c>
      <c r="M118" s="8">
        <v>1.1000000000000001</v>
      </c>
      <c r="N118" s="8">
        <v>30</v>
      </c>
      <c r="O118" s="8">
        <f>Table1[[#This Row],[R1 Length (km)]]+Table1[[#This Row],[T1 Length (km)]]</f>
        <v>31.1</v>
      </c>
      <c r="P118" s="7">
        <v>69</v>
      </c>
      <c r="Q118" s="8">
        <f>(Table1[[#This Row],[Linear Features (km)]]*0.4)*100</f>
        <v>1244.0000000000002</v>
      </c>
      <c r="R118" s="9">
        <v>5.09</v>
      </c>
      <c r="S118" s="10">
        <f>Table1[[#This Row],[ATG (ha)]]/Table1[[#This Row],[Linear Area (ha)]]</f>
        <v>4.0916398713826355E-3</v>
      </c>
      <c r="T118" s="7" t="s">
        <v>136</v>
      </c>
      <c r="U118" s="11" t="s">
        <v>22</v>
      </c>
      <c r="V118" s="9" t="s">
        <v>22</v>
      </c>
      <c r="W118" s="9" t="s">
        <v>22</v>
      </c>
      <c r="X118" s="13">
        <v>334.53487586975098</v>
      </c>
      <c r="Y118" s="12">
        <f>Table1[[#This Row],[Raw Terrestrial Score]]/Table1[[#This Row],[Summed Raw Scores]]</f>
        <v>0.53355556999720477</v>
      </c>
      <c r="Z118" s="13">
        <v>292.45675289630901</v>
      </c>
      <c r="AA118" s="12">
        <f>Table1[[#This Row],[Raw Freshwater Score]]/Table1[[#This Row],[Summed Raw Scores]]</f>
        <v>0.46644443000279517</v>
      </c>
      <c r="AB118" s="12">
        <f>Table1[[#This Row],[Raw Terrestrial Score]]+Table1[[#This Row],[Raw Freshwater Score]]</f>
        <v>626.99162876605999</v>
      </c>
      <c r="AC118" s="14">
        <f>Table1[[#This Row],[Terrestrial % of Summed Score]]*Table1[[#This Row],[Scaled Summed Score]]</f>
        <v>5.2173040989777618E-2</v>
      </c>
      <c r="AD118" s="14">
        <f>Table1[[#This Row],[Freshwater % of Summed Score]]*Table1[[#This Row],[Scaled Summed Score]]</f>
        <v>4.5610665007427026E-2</v>
      </c>
      <c r="AE118" s="14">
        <f>Table1[[#This Row],[Summed Raw Scores]]/MAX(Table1[Summed Raw Scores])</f>
        <v>9.7783705997204651E-2</v>
      </c>
      <c r="AF118" s="9"/>
    </row>
    <row r="119" spans="1:32" x14ac:dyDescent="0.3">
      <c r="A119" s="7" t="s">
        <v>202</v>
      </c>
      <c r="B119" s="7" t="s">
        <v>114</v>
      </c>
      <c r="C119" s="7" t="s">
        <v>25</v>
      </c>
      <c r="D119" s="7" t="s">
        <v>250</v>
      </c>
      <c r="E119" s="8">
        <v>50.762156240000003</v>
      </c>
      <c r="F119" s="8">
        <v>-121.717804</v>
      </c>
      <c r="G119" s="8">
        <v>48</v>
      </c>
      <c r="H119" s="7" t="s">
        <v>22</v>
      </c>
      <c r="I119" s="8">
        <v>12</v>
      </c>
      <c r="J119" s="8">
        <v>141.036</v>
      </c>
      <c r="K119" s="8">
        <v>88.914457851157948</v>
      </c>
      <c r="L119" s="8" t="s">
        <v>22</v>
      </c>
      <c r="M119" s="8">
        <v>0.74142138671900004</v>
      </c>
      <c r="N119" s="8">
        <v>15.603658203125001</v>
      </c>
      <c r="O119" s="8">
        <f>Table1[[#This Row],[R1 Length (km)]]+Table1[[#This Row],[T1 Length (km)]]</f>
        <v>16.345079589844001</v>
      </c>
      <c r="P119" s="7">
        <v>69</v>
      </c>
      <c r="Q119" s="8">
        <f>(Table1[[#This Row],[Linear Features (km)]]*0.4)*100</f>
        <v>653.80318359376008</v>
      </c>
      <c r="R119" s="9">
        <f>((PI()*(45^2))*Table1[[#This Row],[Number of Turbines - WIND]])/10000</f>
        <v>6.3617251235193315</v>
      </c>
      <c r="S119" s="10">
        <f>Table1[[#This Row],[ATG (ha)]]/Table1[[#This Row],[Linear Area (ha)]]</f>
        <v>9.7303367177731317E-3</v>
      </c>
      <c r="T119" s="7" t="s">
        <v>115</v>
      </c>
      <c r="U119" s="7">
        <v>10</v>
      </c>
      <c r="V119" s="9" t="s">
        <v>22</v>
      </c>
      <c r="W119" s="9" t="s">
        <v>22</v>
      </c>
      <c r="X119" s="13">
        <v>50.275341447442798</v>
      </c>
      <c r="Y119" s="12">
        <f>Table1[[#This Row],[Raw Terrestrial Score]]/Table1[[#This Row],[Summed Raw Scores]]</f>
        <v>0.40989894174947583</v>
      </c>
      <c r="Z119" s="13">
        <v>72.377674520015702</v>
      </c>
      <c r="AA119" s="12">
        <f>Table1[[#This Row],[Raw Freshwater Score]]/Table1[[#This Row],[Summed Raw Scores]]</f>
        <v>0.59010105825052417</v>
      </c>
      <c r="AB119" s="12">
        <f>Table1[[#This Row],[Raw Terrestrial Score]]+Table1[[#This Row],[Raw Freshwater Score]]</f>
        <v>122.6530159674585</v>
      </c>
      <c r="AC119" s="14">
        <f>Table1[[#This Row],[Terrestrial % of Summed Score]]*Table1[[#This Row],[Scaled Summed Score]]</f>
        <v>7.8407892250186607E-3</v>
      </c>
      <c r="AD119" s="14">
        <f>Table1[[#This Row],[Freshwater % of Summed Score]]*Table1[[#This Row],[Scaled Summed Score]]</f>
        <v>1.1287801816357669E-2</v>
      </c>
      <c r="AE119" s="14">
        <f>Table1[[#This Row],[Summed Raw Scores]]/MAX(Table1[Summed Raw Scores])</f>
        <v>1.912859104137633E-2</v>
      </c>
      <c r="AF119" s="9"/>
    </row>
    <row r="120" spans="1:32" x14ac:dyDescent="0.3">
      <c r="A120" s="7" t="s">
        <v>203</v>
      </c>
      <c r="B120" s="7" t="s">
        <v>114</v>
      </c>
      <c r="C120" s="7" t="s">
        <v>25</v>
      </c>
      <c r="D120" s="7" t="s">
        <v>250</v>
      </c>
      <c r="E120" s="8">
        <v>50.152938370000001</v>
      </c>
      <c r="F120" s="8">
        <v>-121.27388120000001</v>
      </c>
      <c r="G120" s="8">
        <v>192</v>
      </c>
      <c r="H120" s="7" t="s">
        <v>22</v>
      </c>
      <c r="I120" s="8">
        <v>46.8</v>
      </c>
      <c r="J120" s="8">
        <v>671.15178000000003</v>
      </c>
      <c r="K120" s="8">
        <v>77.926025114283874</v>
      </c>
      <c r="L120" s="8" t="s">
        <v>22</v>
      </c>
      <c r="M120" s="8">
        <v>2.7</v>
      </c>
      <c r="N120" s="8">
        <v>80.900000000000006</v>
      </c>
      <c r="O120" s="8">
        <f>Table1[[#This Row],[R1 Length (km)]]+Table1[[#This Row],[T1 Length (km)]]</f>
        <v>83.600000000000009</v>
      </c>
      <c r="P120" s="7">
        <v>230</v>
      </c>
      <c r="Q120" s="8">
        <f>(Table1[[#This Row],[Linear Features (km)]]*0.4)*100</f>
        <v>3344.0000000000005</v>
      </c>
      <c r="R120" s="9">
        <v>24.81</v>
      </c>
      <c r="S120" s="10">
        <f>Table1[[#This Row],[ATG (ha)]]/Table1[[#This Row],[Linear Area (ha)]]</f>
        <v>7.4192583732057404E-3</v>
      </c>
      <c r="T120" s="7" t="s">
        <v>136</v>
      </c>
      <c r="U120" s="11" t="s">
        <v>22</v>
      </c>
      <c r="V120" s="9" t="s">
        <v>22</v>
      </c>
      <c r="W120" s="9" t="s">
        <v>22</v>
      </c>
      <c r="X120" s="13">
        <v>297.60600563883798</v>
      </c>
      <c r="Y120" s="12">
        <f>Table1[[#This Row],[Raw Terrestrial Score]]/Table1[[#This Row],[Summed Raw Scores]]</f>
        <v>0.28972400138758297</v>
      </c>
      <c r="Z120" s="13">
        <v>729.59921109676395</v>
      </c>
      <c r="AA120" s="12">
        <f>Table1[[#This Row],[Raw Freshwater Score]]/Table1[[#This Row],[Summed Raw Scores]]</f>
        <v>0.71027599861241708</v>
      </c>
      <c r="AB120" s="12">
        <f>Table1[[#This Row],[Raw Terrestrial Score]]+Table1[[#This Row],[Raw Freshwater Score]]</f>
        <v>1027.2052167356019</v>
      </c>
      <c r="AC120" s="14">
        <f>Table1[[#This Row],[Terrestrial % of Summed Score]]*Table1[[#This Row],[Scaled Summed Score]]</f>
        <v>4.641372679195465E-2</v>
      </c>
      <c r="AD120" s="14">
        <f>Table1[[#This Row],[Freshwater % of Summed Score]]*Table1[[#This Row],[Scaled Summed Score]]</f>
        <v>0.11378607222250096</v>
      </c>
      <c r="AE120" s="14">
        <f>Table1[[#This Row],[Summed Raw Scores]]/MAX(Table1[Summed Raw Scores])</f>
        <v>0.16019979901445561</v>
      </c>
      <c r="AF120" s="9"/>
    </row>
    <row r="121" spans="1:32" x14ac:dyDescent="0.3">
      <c r="A121" s="7" t="s">
        <v>204</v>
      </c>
      <c r="B121" s="7" t="s">
        <v>114</v>
      </c>
      <c r="C121" s="7" t="s">
        <v>32</v>
      </c>
      <c r="D121" s="7"/>
      <c r="E121" s="8">
        <v>49.827369490000002</v>
      </c>
      <c r="F121" s="8">
        <v>-121.24361380000001</v>
      </c>
      <c r="G121" s="8">
        <v>87</v>
      </c>
      <c r="H121" s="7" t="s">
        <v>22</v>
      </c>
      <c r="I121" s="8">
        <v>21.599999999999998</v>
      </c>
      <c r="J121" s="8">
        <v>271.44612000000001</v>
      </c>
      <c r="K121" s="8">
        <v>100.79640958290931</v>
      </c>
      <c r="L121" s="8" t="s">
        <v>22</v>
      </c>
      <c r="M121" s="8">
        <v>1.02426416016</v>
      </c>
      <c r="N121" s="8">
        <v>76.394023437499996</v>
      </c>
      <c r="O121" s="8">
        <f>Table1[[#This Row],[R1 Length (km)]]+Table1[[#This Row],[T1 Length (km)]]</f>
        <v>77.418287597659997</v>
      </c>
      <c r="P121" s="7">
        <v>130</v>
      </c>
      <c r="Q121" s="8">
        <f>(Table1[[#This Row],[Linear Features (km)]]*0.4)*100</f>
        <v>3096.7315039064001</v>
      </c>
      <c r="R121" s="9">
        <f>1273528/10000</f>
        <v>127.3528</v>
      </c>
      <c r="S121" s="10">
        <f>Table1[[#This Row],[ATG (ha)]]/Table1[[#This Row],[Linear Area (ha)]]</f>
        <v>4.1124908581628615E-2</v>
      </c>
      <c r="T121" s="7" t="s">
        <v>136</v>
      </c>
      <c r="U121" s="11" t="s">
        <v>22</v>
      </c>
      <c r="V121" s="9" t="s">
        <v>22</v>
      </c>
      <c r="W121" s="9" t="s">
        <v>22</v>
      </c>
      <c r="X121" s="13">
        <v>517.04563375935004</v>
      </c>
      <c r="Y121" s="12">
        <f>Table1[[#This Row],[Raw Terrestrial Score]]/Table1[[#This Row],[Summed Raw Scores]]</f>
        <v>0.41622555517978876</v>
      </c>
      <c r="Z121" s="13">
        <v>725.178990185261</v>
      </c>
      <c r="AA121" s="12">
        <f>Table1[[#This Row],[Raw Freshwater Score]]/Table1[[#This Row],[Summed Raw Scores]]</f>
        <v>0.58377444482021124</v>
      </c>
      <c r="AB121" s="12">
        <f>Table1[[#This Row],[Raw Terrestrial Score]]+Table1[[#This Row],[Raw Freshwater Score]]</f>
        <v>1242.224623944611</v>
      </c>
      <c r="AC121" s="14">
        <f>Table1[[#This Row],[Terrestrial % of Summed Score]]*Table1[[#This Row],[Scaled Summed Score]]</f>
        <v>8.0636863267478848E-2</v>
      </c>
      <c r="AD121" s="14">
        <f>Table1[[#This Row],[Freshwater % of Summed Score]]*Table1[[#This Row],[Scaled Summed Score]]</f>
        <v>0.113096708023327</v>
      </c>
      <c r="AE121" s="14">
        <f>Table1[[#This Row],[Summed Raw Scores]]/MAX(Table1[Summed Raw Scores])</f>
        <v>0.19373357129080584</v>
      </c>
      <c r="AF121" s="9"/>
    </row>
    <row r="122" spans="1:32" x14ac:dyDescent="0.3">
      <c r="A122" s="7" t="s">
        <v>205</v>
      </c>
      <c r="B122" s="7" t="s">
        <v>114</v>
      </c>
      <c r="C122" s="7" t="s">
        <v>25</v>
      </c>
      <c r="D122" s="7" t="s">
        <v>250</v>
      </c>
      <c r="E122" s="8">
        <v>49.717218209999999</v>
      </c>
      <c r="F122" s="8">
        <v>-120.94528649999999</v>
      </c>
      <c r="G122" s="8">
        <v>87</v>
      </c>
      <c r="H122" s="7" t="s">
        <v>22</v>
      </c>
      <c r="I122" s="8">
        <v>21.599999999999998</v>
      </c>
      <c r="J122" s="8">
        <v>282.40487999999999</v>
      </c>
      <c r="K122" s="8">
        <v>95.046143232935094</v>
      </c>
      <c r="L122" s="8" t="s">
        <v>22</v>
      </c>
      <c r="M122" s="8">
        <v>0.88284277343799999</v>
      </c>
      <c r="N122" s="8">
        <v>69.087421875000004</v>
      </c>
      <c r="O122" s="8">
        <f>Table1[[#This Row],[R1 Length (km)]]+Table1[[#This Row],[T1 Length (km)]]</f>
        <v>69.970264648438004</v>
      </c>
      <c r="P122" s="7">
        <v>130</v>
      </c>
      <c r="Q122" s="8">
        <f>(Table1[[#This Row],[Linear Features (km)]]*0.4)*100</f>
        <v>2798.8105859375205</v>
      </c>
      <c r="R122" s="9">
        <v>11.45</v>
      </c>
      <c r="S122" s="10">
        <f>Table1[[#This Row],[ATG (ha)]]/Table1[[#This Row],[Linear Area (ha)]]</f>
        <v>4.0910235431900728E-3</v>
      </c>
      <c r="T122" s="7" t="s">
        <v>136</v>
      </c>
      <c r="U122" s="11" t="s">
        <v>22</v>
      </c>
      <c r="V122" s="9" t="s">
        <v>22</v>
      </c>
      <c r="W122" s="9" t="s">
        <v>22</v>
      </c>
      <c r="X122" s="13">
        <v>392.59668981283897</v>
      </c>
      <c r="Y122" s="12">
        <f>Table1[[#This Row],[Raw Terrestrial Score]]/Table1[[#This Row],[Summed Raw Scores]]</f>
        <v>0.32858030828100432</v>
      </c>
      <c r="Z122" s="13">
        <v>802.23051047418301</v>
      </c>
      <c r="AA122" s="12">
        <f>Table1[[#This Row],[Raw Freshwater Score]]/Table1[[#This Row],[Summed Raw Scores]]</f>
        <v>0.67141969171899574</v>
      </c>
      <c r="AB122" s="12">
        <f>Table1[[#This Row],[Raw Terrestrial Score]]+Table1[[#This Row],[Raw Freshwater Score]]</f>
        <v>1194.8272002870219</v>
      </c>
      <c r="AC122" s="14">
        <f>Table1[[#This Row],[Terrestrial % of Summed Score]]*Table1[[#This Row],[Scaled Summed Score]]</f>
        <v>6.1228184764900766E-2</v>
      </c>
      <c r="AD122" s="14">
        <f>Table1[[#This Row],[Freshwater % of Summed Score]]*Table1[[#This Row],[Scaled Summed Score]]</f>
        <v>0.12511342859964078</v>
      </c>
      <c r="AE122" s="14">
        <f>Table1[[#This Row],[Summed Raw Scores]]/MAX(Table1[Summed Raw Scores])</f>
        <v>0.18634161336454153</v>
      </c>
      <c r="AF122" s="9"/>
    </row>
    <row r="123" spans="1:32" x14ac:dyDescent="0.3">
      <c r="A123" s="7" t="s">
        <v>206</v>
      </c>
      <c r="B123" s="7" t="s">
        <v>114</v>
      </c>
      <c r="C123" s="7" t="s">
        <v>25</v>
      </c>
      <c r="D123" s="7" t="s">
        <v>250</v>
      </c>
      <c r="E123" s="8">
        <v>49.421347300000001</v>
      </c>
      <c r="F123" s="8">
        <v>-120.8643541</v>
      </c>
      <c r="G123" s="8">
        <v>117</v>
      </c>
      <c r="H123" s="7" t="s">
        <v>22</v>
      </c>
      <c r="I123" s="8">
        <v>27.599999999999998</v>
      </c>
      <c r="J123" s="8">
        <v>333.34866000000005</v>
      </c>
      <c r="K123" s="8">
        <v>90.442200022550978</v>
      </c>
      <c r="L123" s="8" t="s">
        <v>22</v>
      </c>
      <c r="M123" s="8">
        <v>1.3899495849600001</v>
      </c>
      <c r="N123" s="8">
        <v>98.132296874999994</v>
      </c>
      <c r="O123" s="8">
        <f>Table1[[#This Row],[R1 Length (km)]]+Table1[[#This Row],[T1 Length (km)]]</f>
        <v>99.522246459960002</v>
      </c>
      <c r="P123" s="7">
        <v>130</v>
      </c>
      <c r="Q123" s="8">
        <f>(Table1[[#This Row],[Linear Features (km)]]*0.4)*100</f>
        <v>3980.8898583984005</v>
      </c>
      <c r="R123" s="9">
        <v>14.63</v>
      </c>
      <c r="S123" s="10">
        <f>Table1[[#This Row],[ATG (ha)]]/Table1[[#This Row],[Linear Area (ha)]]</f>
        <v>3.67505771834792E-3</v>
      </c>
      <c r="T123" s="7" t="s">
        <v>136</v>
      </c>
      <c r="U123" s="11" t="s">
        <v>22</v>
      </c>
      <c r="V123" s="9" t="s">
        <v>22</v>
      </c>
      <c r="W123" s="9" t="s">
        <v>22</v>
      </c>
      <c r="X123" s="13">
        <v>426.97199804708401</v>
      </c>
      <c r="Y123" s="12">
        <f>Table1[[#This Row],[Raw Terrestrial Score]]/Table1[[#This Row],[Summed Raw Scores]]</f>
        <v>0.4453901770772945</v>
      </c>
      <c r="Z123" s="13">
        <v>531.67509392276395</v>
      </c>
      <c r="AA123" s="12">
        <f>Table1[[#This Row],[Raw Freshwater Score]]/Table1[[#This Row],[Summed Raw Scores]]</f>
        <v>0.55460982292270555</v>
      </c>
      <c r="AB123" s="12">
        <f>Table1[[#This Row],[Raw Terrestrial Score]]+Table1[[#This Row],[Raw Freshwater Score]]</f>
        <v>958.64709196984791</v>
      </c>
      <c r="AC123" s="14">
        <f>Table1[[#This Row],[Terrestrial % of Summed Score]]*Table1[[#This Row],[Scaled Summed Score]]</f>
        <v>6.6589253206206664E-2</v>
      </c>
      <c r="AD123" s="14">
        <f>Table1[[#This Row],[Freshwater % of Summed Score]]*Table1[[#This Row],[Scaled Summed Score]]</f>
        <v>8.2918429345693323E-2</v>
      </c>
      <c r="AE123" s="14">
        <f>Table1[[#This Row],[Summed Raw Scores]]/MAX(Table1[Summed Raw Scores])</f>
        <v>0.14950768255189997</v>
      </c>
      <c r="AF123" s="9"/>
    </row>
    <row r="124" spans="1:32" x14ac:dyDescent="0.3">
      <c r="A124" s="7" t="s">
        <v>207</v>
      </c>
      <c r="B124" s="7" t="s">
        <v>114</v>
      </c>
      <c r="C124" s="7" t="s">
        <v>25</v>
      </c>
      <c r="D124" s="7" t="s">
        <v>250</v>
      </c>
      <c r="E124" s="8">
        <v>49.315802069999997</v>
      </c>
      <c r="F124" s="8">
        <v>-120.7780903</v>
      </c>
      <c r="G124" s="8">
        <v>150</v>
      </c>
      <c r="H124" s="7" t="s">
        <v>22</v>
      </c>
      <c r="I124" s="8">
        <v>36</v>
      </c>
      <c r="J124" s="8">
        <v>428.36399999999998</v>
      </c>
      <c r="K124" s="8">
        <v>86.437385455994203</v>
      </c>
      <c r="L124" s="8" t="s">
        <v>22</v>
      </c>
      <c r="M124" s="8">
        <v>0.9</v>
      </c>
      <c r="N124" s="8">
        <v>106.2</v>
      </c>
      <c r="O124" s="8">
        <f>Table1[[#This Row],[R1 Length (km)]]+Table1[[#This Row],[T1 Length (km)]]</f>
        <v>107.10000000000001</v>
      </c>
      <c r="P124" s="7">
        <v>130</v>
      </c>
      <c r="Q124" s="8">
        <f>(Table1[[#This Row],[Linear Features (km)]]*0.4)*100</f>
        <v>4284</v>
      </c>
      <c r="R124" s="9">
        <f>((PI()*(45^2))*Table1[[#This Row],[Number of Turbines - WIND]])/10000</f>
        <v>19.085175370557995</v>
      </c>
      <c r="S124" s="10">
        <f>Table1[[#This Row],[ATG (ha)]]/Table1[[#This Row],[Linear Area (ha)]]</f>
        <v>4.454989582296451E-3</v>
      </c>
      <c r="T124" s="7" t="s">
        <v>115</v>
      </c>
      <c r="U124" s="7">
        <v>30</v>
      </c>
      <c r="V124" s="9" t="s">
        <v>22</v>
      </c>
      <c r="W124" s="9" t="s">
        <v>22</v>
      </c>
      <c r="X124" s="13">
        <v>428.53627190366399</v>
      </c>
      <c r="Y124" s="12">
        <f>Table1[[#This Row],[Raw Terrestrial Score]]/Table1[[#This Row],[Summed Raw Scores]]</f>
        <v>0.46658668577108847</v>
      </c>
      <c r="Z124" s="13">
        <v>489.91315019130701</v>
      </c>
      <c r="AA124" s="12">
        <f>Table1[[#This Row],[Raw Freshwater Score]]/Table1[[#This Row],[Summed Raw Scores]]</f>
        <v>0.53341331422891158</v>
      </c>
      <c r="AB124" s="12">
        <f>Table1[[#This Row],[Raw Terrestrial Score]]+Table1[[#This Row],[Raw Freshwater Score]]</f>
        <v>918.44942209497094</v>
      </c>
      <c r="AC124" s="14">
        <f>Table1[[#This Row],[Terrestrial % of Summed Score]]*Table1[[#This Row],[Scaled Summed Score]]</f>
        <v>6.6833212595571984E-2</v>
      </c>
      <c r="AD124" s="14">
        <f>Table1[[#This Row],[Freshwater % of Summed Score]]*Table1[[#This Row],[Scaled Summed Score]]</f>
        <v>7.6405363715542365E-2</v>
      </c>
      <c r="AE124" s="14">
        <f>Table1[[#This Row],[Summed Raw Scores]]/MAX(Table1[Summed Raw Scores])</f>
        <v>0.14323857631111434</v>
      </c>
      <c r="AF124" s="9"/>
    </row>
    <row r="125" spans="1:32" x14ac:dyDescent="0.3">
      <c r="A125" s="7" t="s">
        <v>208</v>
      </c>
      <c r="B125" s="7" t="s">
        <v>114</v>
      </c>
      <c r="C125" s="7" t="s">
        <v>25</v>
      </c>
      <c r="D125" s="7"/>
      <c r="E125" s="8">
        <v>49.23297204</v>
      </c>
      <c r="F125" s="8">
        <v>-120.2964695</v>
      </c>
      <c r="G125" s="8">
        <v>144</v>
      </c>
      <c r="H125" s="7" t="s">
        <v>22</v>
      </c>
      <c r="I125" s="8">
        <v>34.799999999999997</v>
      </c>
      <c r="J125" s="8">
        <v>372.04158000000001</v>
      </c>
      <c r="K125" s="8">
        <v>100.9320839148305</v>
      </c>
      <c r="L125" s="8" t="s">
        <v>22</v>
      </c>
      <c r="M125" s="8">
        <v>9.308326171880001</v>
      </c>
      <c r="N125" s="8">
        <v>90.772703125000007</v>
      </c>
      <c r="O125" s="8">
        <f>Table1[[#This Row],[R1 Length (km)]]+Table1[[#This Row],[T1 Length (km)]]</f>
        <v>100.08102929688</v>
      </c>
      <c r="P125" s="7">
        <v>130</v>
      </c>
      <c r="Q125" s="8">
        <f>(Table1[[#This Row],[Linear Features (km)]]*0.4)*100</f>
        <v>4003.2411718752001</v>
      </c>
      <c r="R125" s="9">
        <f>((PI()*(45^2))*Table1[[#This Row],[Number of Turbines - WIND]])/10000</f>
        <v>18.449002858206061</v>
      </c>
      <c r="S125" s="10">
        <f>Table1[[#This Row],[ATG (ha)]]/Table1[[#This Row],[Linear Area (ha)]]</f>
        <v>4.6085164660624655E-3</v>
      </c>
      <c r="T125" s="7" t="s">
        <v>115</v>
      </c>
      <c r="U125" s="7">
        <v>29</v>
      </c>
      <c r="V125" s="9" t="s">
        <v>22</v>
      </c>
      <c r="W125" s="9" t="s">
        <v>22</v>
      </c>
      <c r="X125" s="13">
        <v>1073.72884792835</v>
      </c>
      <c r="Y125" s="12">
        <f>Table1[[#This Row],[Raw Terrestrial Score]]/Table1[[#This Row],[Summed Raw Scores]]</f>
        <v>0.87902954581132198</v>
      </c>
      <c r="Z125" s="13">
        <v>147.764619549271</v>
      </c>
      <c r="AA125" s="12">
        <f>Table1[[#This Row],[Raw Freshwater Score]]/Table1[[#This Row],[Summed Raw Scores]]</f>
        <v>0.12097045418867802</v>
      </c>
      <c r="AB125" s="12">
        <f>Table1[[#This Row],[Raw Terrestrial Score]]+Table1[[#This Row],[Raw Freshwater Score]]</f>
        <v>1221.4934674776209</v>
      </c>
      <c r="AC125" s="14">
        <f>Table1[[#This Row],[Terrestrial % of Summed Score]]*Table1[[#This Row],[Scaled Summed Score]]</f>
        <v>0.16745548292753612</v>
      </c>
      <c r="AD125" s="14">
        <f>Table1[[#This Row],[Freshwater % of Summed Score]]*Table1[[#This Row],[Scaled Summed Score]]</f>
        <v>2.3044920301776219E-2</v>
      </c>
      <c r="AE125" s="14">
        <f>Table1[[#This Row],[Summed Raw Scores]]/MAX(Table1[Summed Raw Scores])</f>
        <v>0.19050040322931233</v>
      </c>
      <c r="AF125" s="9"/>
    </row>
    <row r="126" spans="1:32" x14ac:dyDescent="0.3">
      <c r="A126" s="7" t="s">
        <v>209</v>
      </c>
      <c r="B126" s="7" t="s">
        <v>114</v>
      </c>
      <c r="C126" s="7" t="s">
        <v>40</v>
      </c>
      <c r="D126" s="7"/>
      <c r="E126" s="8">
        <v>49.587992069999999</v>
      </c>
      <c r="F126" s="8">
        <v>-119.3495849</v>
      </c>
      <c r="G126" s="8">
        <v>48</v>
      </c>
      <c r="H126" s="7" t="s">
        <v>22</v>
      </c>
      <c r="I126" s="8">
        <v>12</v>
      </c>
      <c r="J126" s="8">
        <v>120.1434</v>
      </c>
      <c r="K126" s="8">
        <v>114.20171138822596</v>
      </c>
      <c r="L126" s="8" t="s">
        <v>22</v>
      </c>
      <c r="M126" s="8">
        <v>0.52426403808599997</v>
      </c>
      <c r="N126" s="8">
        <v>57.958789062500003</v>
      </c>
      <c r="O126" s="8">
        <f>Table1[[#This Row],[R1 Length (km)]]+Table1[[#This Row],[T1 Length (km)]]</f>
        <v>58.483053100586005</v>
      </c>
      <c r="P126" s="7">
        <v>69</v>
      </c>
      <c r="Q126" s="8">
        <f>(Table1[[#This Row],[Linear Features (km)]]*0.4)*100</f>
        <v>2339.3221240234402</v>
      </c>
      <c r="R126" s="9">
        <f>((PI()*(45^2))*Table1[[#This Row],[Number of Turbines - WIND]])/10000</f>
        <v>6.3617251235193315</v>
      </c>
      <c r="S126" s="10">
        <f>Table1[[#This Row],[ATG (ha)]]/Table1[[#This Row],[Linear Area (ha)]]</f>
        <v>2.7194737561741567E-3</v>
      </c>
      <c r="T126" s="7" t="s">
        <v>115</v>
      </c>
      <c r="U126" s="7">
        <v>10</v>
      </c>
      <c r="V126" s="9" t="s">
        <v>22</v>
      </c>
      <c r="W126" s="9" t="s">
        <v>22</v>
      </c>
      <c r="X126" s="13">
        <v>898.47527235746395</v>
      </c>
      <c r="Y126" s="12">
        <f>Table1[[#This Row],[Raw Terrestrial Score]]/Table1[[#This Row],[Summed Raw Scores]]</f>
        <v>0.71933812356498905</v>
      </c>
      <c r="Z126" s="13">
        <v>350.55525017995399</v>
      </c>
      <c r="AA126" s="12">
        <f>Table1[[#This Row],[Raw Freshwater Score]]/Table1[[#This Row],[Summed Raw Scores]]</f>
        <v>0.280661876435011</v>
      </c>
      <c r="AB126" s="12">
        <f>Table1[[#This Row],[Raw Terrestrial Score]]+Table1[[#This Row],[Raw Freshwater Score]]</f>
        <v>1249.0305225374179</v>
      </c>
      <c r="AC126" s="14">
        <f>Table1[[#This Row],[Terrestrial % of Summed Score]]*Table1[[#This Row],[Scaled Summed Score]]</f>
        <v>0.1401234687149884</v>
      </c>
      <c r="AD126" s="14">
        <f>Table1[[#This Row],[Freshwater % of Summed Score]]*Table1[[#This Row],[Scaled Summed Score]]</f>
        <v>5.4671529804687403E-2</v>
      </c>
      <c r="AE126" s="14">
        <f>Table1[[#This Row],[Summed Raw Scores]]/MAX(Table1[Summed Raw Scores])</f>
        <v>0.1947949985196758</v>
      </c>
      <c r="AF126" s="9"/>
    </row>
    <row r="127" spans="1:32" x14ac:dyDescent="0.3">
      <c r="A127" s="7" t="s">
        <v>210</v>
      </c>
      <c r="B127" s="7" t="s">
        <v>114</v>
      </c>
      <c r="C127" s="7" t="s">
        <v>95</v>
      </c>
      <c r="D127" s="7" t="s">
        <v>250</v>
      </c>
      <c r="E127" s="8">
        <v>49.338748189999997</v>
      </c>
      <c r="F127" s="8">
        <v>-115.9994731</v>
      </c>
      <c r="G127" s="8">
        <v>33</v>
      </c>
      <c r="H127" s="7" t="s">
        <v>22</v>
      </c>
      <c r="I127" s="8">
        <v>8.4</v>
      </c>
      <c r="J127" s="8">
        <v>97.314840000000018</v>
      </c>
      <c r="K127" s="8">
        <v>97.013018779307032</v>
      </c>
      <c r="L127" s="8" t="s">
        <v>22</v>
      </c>
      <c r="M127" s="8">
        <v>1.2656854248</v>
      </c>
      <c r="N127" s="8">
        <v>15.8698486328125</v>
      </c>
      <c r="O127" s="8">
        <f>Table1[[#This Row],[R1 Length (km)]]+Table1[[#This Row],[T1 Length (km)]]</f>
        <v>17.135534057612499</v>
      </c>
      <c r="P127" s="7">
        <v>69</v>
      </c>
      <c r="Q127" s="8">
        <f>(Table1[[#This Row],[Linear Features (km)]]*0.4)*100</f>
        <v>685.42136230450001</v>
      </c>
      <c r="R127" s="9">
        <v>4.45</v>
      </c>
      <c r="S127" s="10">
        <f>Table1[[#This Row],[ATG (ha)]]/Table1[[#This Row],[Linear Area (ha)]]</f>
        <v>6.4923567381068546E-3</v>
      </c>
      <c r="T127" s="7" t="s">
        <v>136</v>
      </c>
      <c r="U127" s="11" t="s">
        <v>22</v>
      </c>
      <c r="V127" s="9" t="s">
        <v>22</v>
      </c>
      <c r="W127" s="9" t="s">
        <v>22</v>
      </c>
      <c r="X127" s="13">
        <v>155.61683080345401</v>
      </c>
      <c r="Y127" s="12">
        <f>Table1[[#This Row],[Raw Terrestrial Score]]/Table1[[#This Row],[Summed Raw Scores]]</f>
        <v>0.71394925136143039</v>
      </c>
      <c r="Z127" s="13">
        <v>62.349404901266098</v>
      </c>
      <c r="AA127" s="12">
        <f>Table1[[#This Row],[Raw Freshwater Score]]/Table1[[#This Row],[Summed Raw Scores]]</f>
        <v>0.28605074863856955</v>
      </c>
      <c r="AB127" s="12">
        <f>Table1[[#This Row],[Raw Terrestrial Score]]+Table1[[#This Row],[Raw Freshwater Score]]</f>
        <v>217.96623570472011</v>
      </c>
      <c r="AC127" s="14">
        <f>Table1[[#This Row],[Terrestrial % of Summed Score]]*Table1[[#This Row],[Scaled Summed Score]]</f>
        <v>2.4269527268567886E-2</v>
      </c>
      <c r="AD127" s="14">
        <f>Table1[[#This Row],[Freshwater % of Summed Score]]*Table1[[#This Row],[Scaled Summed Score]]</f>
        <v>9.7238234104731012E-3</v>
      </c>
      <c r="AE127" s="14">
        <f>Table1[[#This Row],[Summed Raw Scores]]/MAX(Table1[Summed Raw Scores])</f>
        <v>3.3993350679040989E-2</v>
      </c>
      <c r="AF127" s="9"/>
    </row>
    <row r="128" spans="1:32" x14ac:dyDescent="0.3">
      <c r="A128" s="7" t="s">
        <v>211</v>
      </c>
      <c r="B128" s="7" t="s">
        <v>114</v>
      </c>
      <c r="C128" s="7" t="s">
        <v>95</v>
      </c>
      <c r="D128" s="7"/>
      <c r="E128" s="8">
        <v>49.342589940000003</v>
      </c>
      <c r="F128" s="8">
        <v>-115.73614329999999</v>
      </c>
      <c r="G128" s="8">
        <v>102</v>
      </c>
      <c r="H128" s="7" t="s">
        <v>22</v>
      </c>
      <c r="I128" s="8">
        <v>25.2</v>
      </c>
      <c r="J128" s="8">
        <v>263.98259999999999</v>
      </c>
      <c r="K128" s="8">
        <v>96.934119051467661</v>
      </c>
      <c r="L128" s="8" t="s">
        <v>22</v>
      </c>
      <c r="M128" s="8">
        <v>0.76568542480500001</v>
      </c>
      <c r="N128" s="8">
        <v>22.679394531250001</v>
      </c>
      <c r="O128" s="8">
        <f>Table1[[#This Row],[R1 Length (km)]]+Table1[[#This Row],[T1 Length (km)]]</f>
        <v>23.445079956055</v>
      </c>
      <c r="P128" s="7">
        <v>230</v>
      </c>
      <c r="Q128" s="8">
        <f>(Table1[[#This Row],[Linear Features (km)]]*0.4)*100</f>
        <v>937.80319824219998</v>
      </c>
      <c r="R128" s="9">
        <f>((PI()*(45^2))*Table1[[#This Row],[Number of Turbines - WIND]])/10000</f>
        <v>13.359622759390593</v>
      </c>
      <c r="S128" s="10">
        <f>Table1[[#This Row],[ATG (ha)]]/Table1[[#This Row],[Linear Area (ha)]]</f>
        <v>1.4245657067955846E-2</v>
      </c>
      <c r="T128" s="7" t="s">
        <v>188</v>
      </c>
      <c r="U128" s="7">
        <v>21</v>
      </c>
      <c r="V128" s="9" t="s">
        <v>22</v>
      </c>
      <c r="W128" s="9" t="s">
        <v>22</v>
      </c>
      <c r="X128" s="13">
        <v>526.24719649553299</v>
      </c>
      <c r="Y128" s="12">
        <f>Table1[[#This Row],[Raw Terrestrial Score]]/Table1[[#This Row],[Summed Raw Scores]]</f>
        <v>0.90352608552478231</v>
      </c>
      <c r="Z128" s="13">
        <v>56.189995884895303</v>
      </c>
      <c r="AA128" s="12">
        <f>Table1[[#This Row],[Raw Freshwater Score]]/Table1[[#This Row],[Summed Raw Scores]]</f>
        <v>9.6473914475217609E-2</v>
      </c>
      <c r="AB128" s="12">
        <f>Table1[[#This Row],[Raw Terrestrial Score]]+Table1[[#This Row],[Raw Freshwater Score]]</f>
        <v>582.43719238042831</v>
      </c>
      <c r="AC128" s="14">
        <f>Table1[[#This Row],[Terrestrial % of Summed Score]]*Table1[[#This Row],[Scaled Summed Score]]</f>
        <v>8.2071910984272939E-2</v>
      </c>
      <c r="AD128" s="14">
        <f>Table1[[#This Row],[Freshwater % of Summed Score]]*Table1[[#This Row],[Scaled Summed Score]]</f>
        <v>8.7632207281714922E-3</v>
      </c>
      <c r="AE128" s="14">
        <f>Table1[[#This Row],[Summed Raw Scores]]/MAX(Table1[Summed Raw Scores])</f>
        <v>9.0835131712444436E-2</v>
      </c>
      <c r="AF128" s="9"/>
    </row>
    <row r="129" spans="1:32" x14ac:dyDescent="0.3">
      <c r="A129" s="7" t="s">
        <v>107</v>
      </c>
      <c r="B129" s="7" t="s">
        <v>97</v>
      </c>
      <c r="C129" s="7" t="s">
        <v>32</v>
      </c>
      <c r="D129" s="7" t="s">
        <v>250</v>
      </c>
      <c r="E129" s="15">
        <v>49.29</v>
      </c>
      <c r="F129" s="15">
        <v>-121.4</v>
      </c>
      <c r="G129" s="8">
        <v>51.1</v>
      </c>
      <c r="H129" s="8">
        <v>40</v>
      </c>
      <c r="I129" s="8">
        <v>19</v>
      </c>
      <c r="J129" s="16">
        <v>251.3</v>
      </c>
      <c r="K129" s="16">
        <v>80.156438495857245</v>
      </c>
      <c r="L129" s="8" t="s">
        <v>22</v>
      </c>
      <c r="M129" s="15">
        <v>0</v>
      </c>
      <c r="N129" s="9">
        <v>13.058073580375128</v>
      </c>
      <c r="O129" s="9">
        <f>Table1[[#This Row],[R1 Length (km)]]+Table1[[#This Row],[T1 Length (km)]]</f>
        <v>13.058073580375128</v>
      </c>
      <c r="P129" s="11">
        <v>230</v>
      </c>
      <c r="Q129" s="9">
        <f>(Table1[[#This Row],[Linear Features (km)]]*0.4)*100</f>
        <v>522.32294321500513</v>
      </c>
      <c r="R129" s="9">
        <v>13.06</v>
      </c>
      <c r="S129" s="10">
        <f>Table1[[#This Row],[ATG (ha)]]/Table1[[#This Row],[Linear Area (ha)]]</f>
        <v>2.5003688177304667E-2</v>
      </c>
      <c r="T129" s="11" t="s">
        <v>22</v>
      </c>
      <c r="U129" s="11" t="s">
        <v>22</v>
      </c>
      <c r="V129" s="9" t="s">
        <v>22</v>
      </c>
      <c r="W129" s="9" t="s">
        <v>22</v>
      </c>
      <c r="X129" s="13">
        <v>217.77831435203601</v>
      </c>
      <c r="Y129" s="12">
        <f>Table1[[#This Row],[Raw Terrestrial Score]]/Table1[[#This Row],[Summed Raw Scores]]</f>
        <v>0.43931935078743256</v>
      </c>
      <c r="Z129" s="13">
        <v>277.93924045562699</v>
      </c>
      <c r="AA129" s="12">
        <f>Table1[[#This Row],[Raw Freshwater Score]]/Table1[[#This Row],[Summed Raw Scores]]</f>
        <v>0.56068064921256755</v>
      </c>
      <c r="AB129" s="12">
        <f>Table1[[#This Row],[Raw Terrestrial Score]]+Table1[[#This Row],[Raw Freshwater Score]]</f>
        <v>495.71755480766296</v>
      </c>
      <c r="AC129" s="14">
        <f>Table1[[#This Row],[Terrestrial % of Summed Score]]*Table1[[#This Row],[Scaled Summed Score]]</f>
        <v>3.3964043036867807E-2</v>
      </c>
      <c r="AD129" s="14">
        <f>Table1[[#This Row],[Freshwater % of Summed Score]]*Table1[[#This Row],[Scaled Summed Score]]</f>
        <v>4.3346557955305481E-2</v>
      </c>
      <c r="AE129" s="14">
        <f>Table1[[#This Row],[Summed Raw Scores]]/MAX(Table1[Summed Raw Scores])</f>
        <v>7.7310600992173281E-2</v>
      </c>
      <c r="AF129" s="9"/>
    </row>
    <row r="130" spans="1:32" x14ac:dyDescent="0.3">
      <c r="A130" s="7" t="s">
        <v>108</v>
      </c>
      <c r="B130" s="7" t="s">
        <v>97</v>
      </c>
      <c r="C130" s="7" t="s">
        <v>32</v>
      </c>
      <c r="D130" s="7" t="s">
        <v>250</v>
      </c>
      <c r="E130" s="17">
        <v>49.58</v>
      </c>
      <c r="F130" s="17">
        <v>-121.35</v>
      </c>
      <c r="G130" s="8">
        <v>41.5</v>
      </c>
      <c r="H130" s="8">
        <v>40</v>
      </c>
      <c r="I130" s="8">
        <v>4</v>
      </c>
      <c r="J130" s="16">
        <v>61.7</v>
      </c>
      <c r="K130" s="16">
        <v>145.349752283105</v>
      </c>
      <c r="L130" s="8" t="s">
        <v>22</v>
      </c>
      <c r="M130" s="17">
        <v>0.72426406871269999</v>
      </c>
      <c r="N130" s="9">
        <v>14.961017305525326</v>
      </c>
      <c r="O130" s="9">
        <f>Table1[[#This Row],[R1 Length (km)]]+Table1[[#This Row],[T1 Length (km)]]</f>
        <v>15.685281374238025</v>
      </c>
      <c r="P130" s="11">
        <v>69</v>
      </c>
      <c r="Q130" s="9">
        <f>(Table1[[#This Row],[Linear Features (km)]]*0.4)*100</f>
        <v>627.41125496952111</v>
      </c>
      <c r="R130" s="9">
        <v>14.96</v>
      </c>
      <c r="S130" s="10">
        <f>Table1[[#This Row],[ATG (ha)]]/Table1[[#This Row],[Linear Area (ha)]]</f>
        <v>2.3844009621291764E-2</v>
      </c>
      <c r="T130" s="11" t="s">
        <v>22</v>
      </c>
      <c r="U130" s="11" t="s">
        <v>22</v>
      </c>
      <c r="V130" s="9" t="s">
        <v>22</v>
      </c>
      <c r="W130" s="9" t="s">
        <v>22</v>
      </c>
      <c r="X130" s="13">
        <v>264.04709166288399</v>
      </c>
      <c r="Y130" s="12">
        <f>Table1[[#This Row],[Raw Terrestrial Score]]/Table1[[#This Row],[Summed Raw Scores]]</f>
        <v>0.51579517711302514</v>
      </c>
      <c r="Z130" s="13">
        <v>247.87528252601601</v>
      </c>
      <c r="AA130" s="12">
        <f>Table1[[#This Row],[Raw Freshwater Score]]/Table1[[#This Row],[Summed Raw Scores]]</f>
        <v>0.48420482288697492</v>
      </c>
      <c r="AB130" s="12">
        <f>Table1[[#This Row],[Raw Terrestrial Score]]+Table1[[#This Row],[Raw Freshwater Score]]</f>
        <v>511.92237418889999</v>
      </c>
      <c r="AC130" s="14">
        <f>Table1[[#This Row],[Terrestrial % of Summed Score]]*Table1[[#This Row],[Scaled Summed Score]]</f>
        <v>4.117998071424657E-2</v>
      </c>
      <c r="AD130" s="14">
        <f>Table1[[#This Row],[Freshwater % of Summed Score]]*Table1[[#This Row],[Scaled Summed Score]]</f>
        <v>3.8657874584704564E-2</v>
      </c>
      <c r="AE130" s="14">
        <f>Table1[[#This Row],[Summed Raw Scores]]/MAX(Table1[Summed Raw Scores])</f>
        <v>7.9837855298951127E-2</v>
      </c>
      <c r="AF130" s="9"/>
    </row>
    <row r="131" spans="1:32" x14ac:dyDescent="0.3">
      <c r="A131" s="7" t="s">
        <v>47</v>
      </c>
      <c r="B131" s="7" t="s">
        <v>42</v>
      </c>
      <c r="C131" s="7" t="s">
        <v>30</v>
      </c>
      <c r="D131" s="7"/>
      <c r="E131" s="8">
        <v>53.696828625899997</v>
      </c>
      <c r="F131" s="8">
        <v>-128.672318542</v>
      </c>
      <c r="G131" s="8">
        <v>1000</v>
      </c>
      <c r="H131" s="8" t="s">
        <v>22</v>
      </c>
      <c r="I131" s="8">
        <v>1000</v>
      </c>
      <c r="J131" s="7" t="s">
        <v>22</v>
      </c>
      <c r="K131" s="7" t="s">
        <v>22</v>
      </c>
      <c r="L131" s="8">
        <v>121.05029810000001</v>
      </c>
      <c r="M131" s="8">
        <v>3.0213203435615053</v>
      </c>
      <c r="N131" s="8">
        <v>86.858073580375986</v>
      </c>
      <c r="O131" s="8">
        <f>Table1[[#This Row],[R1 Length (km)]]+Table1[[#This Row],[T1 Length (km)]]</f>
        <v>89.879393923937485</v>
      </c>
      <c r="P131" s="7">
        <v>500</v>
      </c>
      <c r="Q131" s="8">
        <f>(Table1[[#This Row],[Linear Features (km)]]*0.4)*100</f>
        <v>3595.1757569574993</v>
      </c>
      <c r="R131" s="9">
        <v>109.5</v>
      </c>
      <c r="S131" s="10">
        <f>Table1[[#This Row],[ATG (ha)]]/Table1[[#This Row],[Linear Area (ha)]]</f>
        <v>3.0457481748449179E-2</v>
      </c>
      <c r="T131" s="11" t="s">
        <v>22</v>
      </c>
      <c r="U131" s="11" t="s">
        <v>22</v>
      </c>
      <c r="V131" s="9" t="s">
        <v>22</v>
      </c>
      <c r="W131" s="9" t="s">
        <v>22</v>
      </c>
      <c r="X131" s="13">
        <v>868.50048660067796</v>
      </c>
      <c r="Y131" s="12">
        <f>Table1[[#This Row],[Raw Terrestrial Score]]/Table1[[#This Row],[Summed Raw Scores]]</f>
        <v>0.54858856704905612</v>
      </c>
      <c r="Z131" s="13">
        <v>714.654064491187</v>
      </c>
      <c r="AA131" s="12">
        <f>Table1[[#This Row],[Raw Freshwater Score]]/Table1[[#This Row],[Summed Raw Scores]]</f>
        <v>0.45141143295094383</v>
      </c>
      <c r="AB131" s="12">
        <f>Table1[[#This Row],[Raw Terrestrial Score]]+Table1[[#This Row],[Raw Freshwater Score]]</f>
        <v>1583.154551091865</v>
      </c>
      <c r="AC131" s="14">
        <f>Table1[[#This Row],[Terrestrial % of Summed Score]]*Table1[[#This Row],[Scaled Summed Score]]</f>
        <v>0.1354486923650407</v>
      </c>
      <c r="AD131" s="14">
        <f>Table1[[#This Row],[Freshwater % of Summed Score]]*Table1[[#This Row],[Scaled Summed Score]]</f>
        <v>0.11145527264764711</v>
      </c>
      <c r="AE131" s="14">
        <f>Table1[[#This Row],[Summed Raw Scores]]/MAX(Table1[Summed Raw Scores])</f>
        <v>0.24690396501268783</v>
      </c>
      <c r="AF131" s="9"/>
    </row>
    <row r="132" spans="1:32" x14ac:dyDescent="0.3">
      <c r="A132" s="7" t="s">
        <v>35</v>
      </c>
      <c r="B132" s="7" t="s">
        <v>24</v>
      </c>
      <c r="C132" s="7" t="s">
        <v>32</v>
      </c>
      <c r="D132" s="7" t="s">
        <v>250</v>
      </c>
      <c r="E132" s="8">
        <v>49.736758000000002</v>
      </c>
      <c r="F132" s="8">
        <v>-122.303431</v>
      </c>
      <c r="G132" s="8">
        <v>10</v>
      </c>
      <c r="H132" s="8">
        <v>8</v>
      </c>
      <c r="I132" s="8" t="s">
        <v>22</v>
      </c>
      <c r="J132" s="8">
        <v>57</v>
      </c>
      <c r="K132" s="8">
        <v>157.06</v>
      </c>
      <c r="L132" s="8" t="s">
        <v>22</v>
      </c>
      <c r="M132" s="8">
        <f>300.000000003725/1000</f>
        <v>0.30000000000372501</v>
      </c>
      <c r="N132" s="8">
        <v>8.4426400000000008</v>
      </c>
      <c r="O132" s="8">
        <f>Table1[[#This Row],[R1 Length (km)]]+Table1[[#This Row],[T1 Length (km)]]</f>
        <v>8.7426400000037265</v>
      </c>
      <c r="P132" s="7">
        <v>69</v>
      </c>
      <c r="Q132" s="8">
        <f>(Table1[[#This Row],[Linear Features (km)]]*0.4)*100</f>
        <v>349.7056000001491</v>
      </c>
      <c r="R132" s="9">
        <v>2.2999999999999998</v>
      </c>
      <c r="S132" s="10">
        <f>Table1[[#This Row],[ATG (ha)]]/Table1[[#This Row],[Linear Area (ha)]]</f>
        <v>6.5769607349696977E-3</v>
      </c>
      <c r="T132" s="11" t="s">
        <v>22</v>
      </c>
      <c r="U132" s="11" t="s">
        <v>22</v>
      </c>
      <c r="V132" s="9" t="s">
        <v>22</v>
      </c>
      <c r="W132" s="9" t="s">
        <v>22</v>
      </c>
      <c r="X132" s="13">
        <v>75.764945209026294</v>
      </c>
      <c r="Y132" s="12">
        <f>Table1[[#This Row],[Raw Terrestrial Score]]/Table1[[#This Row],[Summed Raw Scores]]</f>
        <v>0.40855103968577433</v>
      </c>
      <c r="Z132" s="13">
        <v>109.68298625945999</v>
      </c>
      <c r="AA132" s="12">
        <f>Table1[[#This Row],[Raw Freshwater Score]]/Table1[[#This Row],[Summed Raw Scores]]</f>
        <v>0.59144896031422578</v>
      </c>
      <c r="AB132" s="12">
        <f>Table1[[#This Row],[Raw Terrestrial Score]]+Table1[[#This Row],[Raw Freshwater Score]]</f>
        <v>185.44793146848627</v>
      </c>
      <c r="AC132" s="14">
        <f>Table1[[#This Row],[Terrestrial % of Summed Score]]*Table1[[#This Row],[Scaled Summed Score]]</f>
        <v>1.1816070242905903E-2</v>
      </c>
      <c r="AD132" s="14">
        <f>Table1[[#This Row],[Freshwater % of Summed Score]]*Table1[[#This Row],[Scaled Summed Score]]</f>
        <v>1.7105824686045705E-2</v>
      </c>
      <c r="AE132" s="14">
        <f>Table1[[#This Row],[Summed Raw Scores]]/MAX(Table1[Summed Raw Scores])</f>
        <v>2.8921894928951607E-2</v>
      </c>
      <c r="AF132" s="9"/>
    </row>
    <row r="133" spans="1:32" x14ac:dyDescent="0.3">
      <c r="A133" s="7" t="s">
        <v>410</v>
      </c>
      <c r="B133" s="7" t="s">
        <v>58</v>
      </c>
      <c r="C133" s="7" t="s">
        <v>27</v>
      </c>
      <c r="D133" s="7"/>
      <c r="E133" s="15">
        <v>56.129713809999998</v>
      </c>
      <c r="F133" s="15">
        <v>-122.39928519999999</v>
      </c>
      <c r="G133" s="15">
        <v>27.714461539999999</v>
      </c>
      <c r="H133" s="7" t="s">
        <v>22</v>
      </c>
      <c r="I133" s="7" t="s">
        <v>22</v>
      </c>
      <c r="J133" s="15">
        <v>44.190235790000003</v>
      </c>
      <c r="K133" s="15">
        <v>209.41604330000001</v>
      </c>
      <c r="L133" s="8" t="s">
        <v>22</v>
      </c>
      <c r="M133" s="15">
        <v>0.3</v>
      </c>
      <c r="N133" s="15">
        <v>25.4</v>
      </c>
      <c r="O133" s="8">
        <f>Table1[[#This Row],[R1 Length (km)]]+Table1[[#This Row],[T1 Length (km)]]</f>
        <v>25.7</v>
      </c>
      <c r="P133" s="5">
        <v>130</v>
      </c>
      <c r="Q133" s="8">
        <f>(Table1[[#This Row],[Linear Features (km)]]*0.4)*100</f>
        <v>1028</v>
      </c>
      <c r="R133" s="15">
        <v>112.59</v>
      </c>
      <c r="S133" s="10">
        <f>Table1[[#This Row],[ATG (ha)]]/Table1[[#This Row],[Linear Area (ha)]]</f>
        <v>0.10952334630350195</v>
      </c>
      <c r="T133" s="11" t="s">
        <v>22</v>
      </c>
      <c r="U133" s="11" t="s">
        <v>22</v>
      </c>
      <c r="V133" s="15">
        <v>112.59</v>
      </c>
      <c r="W133" s="15">
        <v>45.036000000000001</v>
      </c>
      <c r="X133" s="13">
        <v>266.69270769134198</v>
      </c>
      <c r="Y133" s="12">
        <f>Table1[[#This Row],[Raw Terrestrial Score]]/Table1[[#This Row],[Summed Raw Scores]]</f>
        <v>0.72157312442949562</v>
      </c>
      <c r="Z133" s="13">
        <v>102.906295739114</v>
      </c>
      <c r="AA133" s="12">
        <f>Table1[[#This Row],[Raw Freshwater Score]]/Table1[[#This Row],[Summed Raw Scores]]</f>
        <v>0.27842687557050438</v>
      </c>
      <c r="AB133" s="12">
        <f>Table1[[#This Row],[Raw Terrestrial Score]]+Table1[[#This Row],[Raw Freshwater Score]]</f>
        <v>369.59900343045598</v>
      </c>
      <c r="AC133" s="14">
        <f>Table1[[#This Row],[Terrestrial % of Summed Score]]*Table1[[#This Row],[Scaled Summed Score]]</f>
        <v>4.1592582937369317E-2</v>
      </c>
      <c r="AD133" s="14">
        <f>Table1[[#This Row],[Freshwater % of Summed Score]]*Table1[[#This Row],[Scaled Summed Score]]</f>
        <v>1.6048952659253778E-2</v>
      </c>
      <c r="AE133" s="14">
        <f>Table1[[#This Row],[Summed Raw Scores]]/MAX(Table1[Summed Raw Scores])</f>
        <v>5.7641535596623092E-2</v>
      </c>
      <c r="AF133" s="9"/>
    </row>
    <row r="134" spans="1:32" x14ac:dyDescent="0.3">
      <c r="A134" s="7" t="s">
        <v>300</v>
      </c>
      <c r="B134" s="7" t="s">
        <v>58</v>
      </c>
      <c r="C134" s="7" t="s">
        <v>27</v>
      </c>
      <c r="D134" s="7"/>
      <c r="E134" s="15">
        <v>56.170958650000003</v>
      </c>
      <c r="F134" s="15">
        <v>-122.1240687</v>
      </c>
      <c r="G134" s="15">
        <v>91.118769229999998</v>
      </c>
      <c r="H134" s="7" t="s">
        <v>22</v>
      </c>
      <c r="I134" s="7" t="s">
        <v>22</v>
      </c>
      <c r="J134" s="15">
        <v>145.15054069999999</v>
      </c>
      <c r="K134" s="15">
        <v>128.11420029999999</v>
      </c>
      <c r="L134" s="8" t="s">
        <v>22</v>
      </c>
      <c r="M134" s="15">
        <v>2.1</v>
      </c>
      <c r="N134" s="15">
        <v>18.5</v>
      </c>
      <c r="O134" s="8">
        <f>Table1[[#This Row],[R1 Length (km)]]+Table1[[#This Row],[T1 Length (km)]]</f>
        <v>20.6</v>
      </c>
      <c r="P134" s="5">
        <v>130</v>
      </c>
      <c r="Q134" s="8">
        <f>(Table1[[#This Row],[Linear Features (km)]]*0.4)*100</f>
        <v>824</v>
      </c>
      <c r="R134" s="15">
        <v>370.17</v>
      </c>
      <c r="S134" s="10">
        <f>Table1[[#This Row],[ATG (ha)]]/Table1[[#This Row],[Linear Area (ha)]]</f>
        <v>0.44923543689320389</v>
      </c>
      <c r="T134" s="11" t="s">
        <v>22</v>
      </c>
      <c r="U134" s="11" t="s">
        <v>22</v>
      </c>
      <c r="V134" s="15">
        <v>370.17</v>
      </c>
      <c r="W134" s="15">
        <v>148.06800000000001</v>
      </c>
      <c r="X134" s="13">
        <v>198.924020886421</v>
      </c>
      <c r="Y134" s="12">
        <f>Table1[[#This Row],[Raw Terrestrial Score]]/Table1[[#This Row],[Summed Raw Scores]]</f>
        <v>0.89510789329755025</v>
      </c>
      <c r="Z134" s="13">
        <v>23.310664312914</v>
      </c>
      <c r="AA134" s="12">
        <f>Table1[[#This Row],[Raw Freshwater Score]]/Table1[[#This Row],[Summed Raw Scores]]</f>
        <v>0.10489210670244986</v>
      </c>
      <c r="AB134" s="12">
        <f>Table1[[#This Row],[Raw Terrestrial Score]]+Table1[[#This Row],[Raw Freshwater Score]]</f>
        <v>222.23468519933499</v>
      </c>
      <c r="AC134" s="14">
        <f>Table1[[#This Row],[Terrestrial % of Summed Score]]*Table1[[#This Row],[Scaled Summed Score]]</f>
        <v>3.1023584816309003E-2</v>
      </c>
      <c r="AD134" s="14">
        <f>Table1[[#This Row],[Freshwater % of Summed Score]]*Table1[[#This Row],[Scaled Summed Score]]</f>
        <v>3.6354602536870437E-3</v>
      </c>
      <c r="AE134" s="14">
        <f>Table1[[#This Row],[Summed Raw Scores]]/MAX(Table1[Summed Raw Scores])</f>
        <v>3.4659045069996043E-2</v>
      </c>
      <c r="AF134" s="9"/>
    </row>
    <row r="135" spans="1:32" x14ac:dyDescent="0.3">
      <c r="A135" s="7" t="s">
        <v>275</v>
      </c>
      <c r="B135" s="7" t="s">
        <v>58</v>
      </c>
      <c r="C135" s="7" t="s">
        <v>27</v>
      </c>
      <c r="D135" s="7"/>
      <c r="E135" s="15">
        <v>56.122585809999997</v>
      </c>
      <c r="F135" s="15">
        <v>-122.0981316</v>
      </c>
      <c r="G135" s="15">
        <v>238.6633846</v>
      </c>
      <c r="H135" s="7" t="s">
        <v>22</v>
      </c>
      <c r="I135" s="7" t="s">
        <v>22</v>
      </c>
      <c r="J135" s="15">
        <v>378.2866459</v>
      </c>
      <c r="K135" s="15">
        <v>123.32111380000001</v>
      </c>
      <c r="L135" s="8" t="s">
        <v>22</v>
      </c>
      <c r="M135" s="15">
        <v>1.7</v>
      </c>
      <c r="N135" s="15">
        <v>35.700000000000003</v>
      </c>
      <c r="O135" s="8">
        <f>Table1[[#This Row],[R1 Length (km)]]+Table1[[#This Row],[T1 Length (km)]]</f>
        <v>37.400000000000006</v>
      </c>
      <c r="P135" s="5">
        <v>230</v>
      </c>
      <c r="Q135" s="8">
        <f>(Table1[[#This Row],[Linear Features (km)]]*0.4)*100</f>
        <v>1496.0000000000002</v>
      </c>
      <c r="R135" s="15">
        <v>969.57</v>
      </c>
      <c r="S135" s="10">
        <f>Table1[[#This Row],[ATG (ha)]]/Table1[[#This Row],[Linear Area (ha)]]</f>
        <v>0.64810828877005344</v>
      </c>
      <c r="T135" s="11" t="s">
        <v>22</v>
      </c>
      <c r="U135" s="11" t="s">
        <v>22</v>
      </c>
      <c r="V135" s="15">
        <v>969.57</v>
      </c>
      <c r="W135" s="15">
        <v>387.82799999999997</v>
      </c>
      <c r="X135" s="13">
        <v>417.365446683019</v>
      </c>
      <c r="Y135" s="12">
        <f>Table1[[#This Row],[Raw Terrestrial Score]]/Table1[[#This Row],[Summed Raw Scores]]</f>
        <v>0.57577710698553641</v>
      </c>
      <c r="Z135" s="13">
        <v>307.50784476846502</v>
      </c>
      <c r="AA135" s="12">
        <f>Table1[[#This Row],[Raw Freshwater Score]]/Table1[[#This Row],[Summed Raw Scores]]</f>
        <v>0.42422289301446364</v>
      </c>
      <c r="AB135" s="12">
        <f>Table1[[#This Row],[Raw Terrestrial Score]]+Table1[[#This Row],[Raw Freshwater Score]]</f>
        <v>724.87329145148396</v>
      </c>
      <c r="AC135" s="14">
        <f>Table1[[#This Row],[Terrestrial % of Summed Score]]*Table1[[#This Row],[Scaled Summed Score]]</f>
        <v>6.5091044695704731E-2</v>
      </c>
      <c r="AD135" s="14">
        <f>Table1[[#This Row],[Freshwater % of Summed Score]]*Table1[[#This Row],[Scaled Summed Score]]</f>
        <v>4.7957987483582369E-2</v>
      </c>
      <c r="AE135" s="14">
        <f>Table1[[#This Row],[Summed Raw Scores]]/MAX(Table1[Summed Raw Scores])</f>
        <v>0.11304903217928709</v>
      </c>
      <c r="AF135" s="9"/>
    </row>
    <row r="136" spans="1:32" x14ac:dyDescent="0.3">
      <c r="A136" s="7" t="s">
        <v>305</v>
      </c>
      <c r="B136" s="7" t="s">
        <v>58</v>
      </c>
      <c r="C136" s="7" t="s">
        <v>27</v>
      </c>
      <c r="D136" s="7"/>
      <c r="E136" s="15">
        <v>56.025869370000002</v>
      </c>
      <c r="F136" s="15">
        <v>-122.0464077</v>
      </c>
      <c r="G136" s="15">
        <v>64.8</v>
      </c>
      <c r="H136" s="7" t="s">
        <v>22</v>
      </c>
      <c r="I136" s="7" t="s">
        <v>22</v>
      </c>
      <c r="J136" s="15">
        <v>101.8299691</v>
      </c>
      <c r="K136" s="15">
        <v>129.12719440000001</v>
      </c>
      <c r="L136" s="8" t="s">
        <v>22</v>
      </c>
      <c r="M136" s="15">
        <v>0.3</v>
      </c>
      <c r="N136" s="15">
        <v>3.2</v>
      </c>
      <c r="O136" s="8">
        <f>Table1[[#This Row],[R1 Length (km)]]+Table1[[#This Row],[T1 Length (km)]]</f>
        <v>3.5</v>
      </c>
      <c r="P136" s="5">
        <v>130</v>
      </c>
      <c r="Q136" s="8">
        <f>(Table1[[#This Row],[Linear Features (km)]]*0.4)*100</f>
        <v>140</v>
      </c>
      <c r="R136" s="15">
        <v>263.25</v>
      </c>
      <c r="S136" s="10">
        <f>Table1[[#This Row],[ATG (ha)]]/Table1[[#This Row],[Linear Area (ha)]]</f>
        <v>1.8803571428571428</v>
      </c>
      <c r="T136" s="11" t="s">
        <v>22</v>
      </c>
      <c r="U136" s="11" t="s">
        <v>22</v>
      </c>
      <c r="V136" s="15">
        <v>263.25</v>
      </c>
      <c r="W136" s="15">
        <v>105.3</v>
      </c>
      <c r="X136" s="13">
        <v>9.40914032608271</v>
      </c>
      <c r="Y136" s="12">
        <f>Table1[[#This Row],[Raw Terrestrial Score]]/Table1[[#This Row],[Summed Raw Scores]]</f>
        <v>0.64538314282930564</v>
      </c>
      <c r="Z136" s="13">
        <v>5.1700138254091099</v>
      </c>
      <c r="AA136" s="12">
        <f>Table1[[#This Row],[Raw Freshwater Score]]/Table1[[#This Row],[Summed Raw Scores]]</f>
        <v>0.3546168571706943</v>
      </c>
      <c r="AB136" s="12">
        <f>Table1[[#This Row],[Raw Terrestrial Score]]+Table1[[#This Row],[Raw Freshwater Score]]</f>
        <v>14.579154151491821</v>
      </c>
      <c r="AC136" s="14">
        <f>Table1[[#This Row],[Terrestrial % of Summed Score]]*Table1[[#This Row],[Scaled Summed Score]]</f>
        <v>1.4674208858941598E-3</v>
      </c>
      <c r="AD136" s="14">
        <f>Table1[[#This Row],[Freshwater % of Summed Score]]*Table1[[#This Row],[Scaled Summed Score]]</f>
        <v>8.0629961982142098E-4</v>
      </c>
      <c r="AE136" s="14">
        <f>Table1[[#This Row],[Summed Raw Scores]]/MAX(Table1[Summed Raw Scores])</f>
        <v>2.2737205057155809E-3</v>
      </c>
      <c r="AF136" s="9"/>
    </row>
    <row r="137" spans="1:32" x14ac:dyDescent="0.3">
      <c r="A137" s="7" t="s">
        <v>387</v>
      </c>
      <c r="B137" s="7" t="s">
        <v>58</v>
      </c>
      <c r="C137" s="7" t="s">
        <v>27</v>
      </c>
      <c r="D137" s="7"/>
      <c r="E137" s="15">
        <v>55.983206240000001</v>
      </c>
      <c r="F137" s="15">
        <v>-121.62885989999999</v>
      </c>
      <c r="G137" s="15">
        <v>44.462769229999999</v>
      </c>
      <c r="H137" s="7" t="s">
        <v>22</v>
      </c>
      <c r="I137" s="7" t="s">
        <v>22</v>
      </c>
      <c r="J137" s="15">
        <v>71.254965519999999</v>
      </c>
      <c r="K137" s="15">
        <v>156.75472210000001</v>
      </c>
      <c r="L137" s="8" t="s">
        <v>22</v>
      </c>
      <c r="M137" s="15">
        <v>0</v>
      </c>
      <c r="N137" s="15">
        <v>29.7</v>
      </c>
      <c r="O137" s="8">
        <f>Table1[[#This Row],[R1 Length (km)]]+Table1[[#This Row],[T1 Length (km)]]</f>
        <v>29.7</v>
      </c>
      <c r="P137" s="5">
        <v>130</v>
      </c>
      <c r="Q137" s="8">
        <f>(Table1[[#This Row],[Linear Features (km)]]*0.4)*100</f>
        <v>1188</v>
      </c>
      <c r="R137" s="15">
        <v>180.63</v>
      </c>
      <c r="S137" s="10">
        <f>Table1[[#This Row],[ATG (ha)]]/Table1[[#This Row],[Linear Area (ha)]]</f>
        <v>0.15204545454545454</v>
      </c>
      <c r="T137" s="11" t="s">
        <v>22</v>
      </c>
      <c r="U137" s="11" t="s">
        <v>22</v>
      </c>
      <c r="V137" s="15">
        <v>180.63</v>
      </c>
      <c r="W137" s="15">
        <v>72.251999999999995</v>
      </c>
      <c r="X137" s="13">
        <v>67.6942333243787</v>
      </c>
      <c r="Y137" s="12">
        <f>Table1[[#This Row],[Raw Terrestrial Score]]/Table1[[#This Row],[Summed Raw Scores]]</f>
        <v>0.80099404503985938</v>
      </c>
      <c r="Z137" s="13">
        <v>16.818546444177599</v>
      </c>
      <c r="AA137" s="12">
        <f>Table1[[#This Row],[Raw Freshwater Score]]/Table1[[#This Row],[Summed Raw Scores]]</f>
        <v>0.19900595496014062</v>
      </c>
      <c r="AB137" s="12">
        <f>Table1[[#This Row],[Raw Terrestrial Score]]+Table1[[#This Row],[Raw Freshwater Score]]</f>
        <v>84.5127797685563</v>
      </c>
      <c r="AC137" s="14">
        <f>Table1[[#This Row],[Terrestrial % of Summed Score]]*Table1[[#This Row],[Scaled Summed Score]]</f>
        <v>1.0557386582855025E-2</v>
      </c>
      <c r="AD137" s="14">
        <f>Table1[[#This Row],[Freshwater % of Summed Score]]*Table1[[#This Row],[Scaled Summed Score]]</f>
        <v>2.6229693114633457E-3</v>
      </c>
      <c r="AE137" s="14">
        <f>Table1[[#This Row],[Summed Raw Scores]]/MAX(Table1[Summed Raw Scores])</f>
        <v>1.3180355894318371E-2</v>
      </c>
      <c r="AF137" s="9"/>
    </row>
    <row r="138" spans="1:32" x14ac:dyDescent="0.3">
      <c r="A138" s="7" t="s">
        <v>414</v>
      </c>
      <c r="B138" s="7" t="s">
        <v>58</v>
      </c>
      <c r="C138" s="7" t="s">
        <v>59</v>
      </c>
      <c r="D138" s="7"/>
      <c r="E138" s="15">
        <v>55.533124950000001</v>
      </c>
      <c r="F138" s="15">
        <v>-123.55083380000001</v>
      </c>
      <c r="G138" s="15">
        <v>19.938461539999999</v>
      </c>
      <c r="H138" s="7" t="s">
        <v>22</v>
      </c>
      <c r="I138" s="7" t="s">
        <v>22</v>
      </c>
      <c r="J138" s="15">
        <v>31.812067460000002</v>
      </c>
      <c r="K138" s="15">
        <v>268.02239420000001</v>
      </c>
      <c r="L138" s="8" t="s">
        <v>22</v>
      </c>
      <c r="M138" s="15">
        <v>0.8</v>
      </c>
      <c r="N138" s="15">
        <v>40.700000000000003</v>
      </c>
      <c r="O138" s="8">
        <f>Table1[[#This Row],[R1 Length (km)]]+Table1[[#This Row],[T1 Length (km)]]</f>
        <v>41.5</v>
      </c>
      <c r="P138" s="5">
        <v>130</v>
      </c>
      <c r="Q138" s="8">
        <f>(Table1[[#This Row],[Linear Features (km)]]*0.4)*100</f>
        <v>1660.0000000000002</v>
      </c>
      <c r="R138" s="15">
        <v>81</v>
      </c>
      <c r="S138" s="10">
        <f>Table1[[#This Row],[ATG (ha)]]/Table1[[#This Row],[Linear Area (ha)]]</f>
        <v>4.879518072289156E-2</v>
      </c>
      <c r="T138" s="11" t="s">
        <v>22</v>
      </c>
      <c r="U138" s="11" t="s">
        <v>22</v>
      </c>
      <c r="V138" s="15">
        <v>81</v>
      </c>
      <c r="W138" s="15">
        <v>32.4</v>
      </c>
      <c r="X138" s="13">
        <v>335.052806794643</v>
      </c>
      <c r="Y138" s="12">
        <f>Table1[[#This Row],[Raw Terrestrial Score]]/Table1[[#This Row],[Summed Raw Scores]]</f>
        <v>0.57917251928452973</v>
      </c>
      <c r="Z138" s="13">
        <v>243.44979068450601</v>
      </c>
      <c r="AA138" s="12">
        <f>Table1[[#This Row],[Raw Freshwater Score]]/Table1[[#This Row],[Summed Raw Scores]]</f>
        <v>0.42082748071547021</v>
      </c>
      <c r="AB138" s="12">
        <f>Table1[[#This Row],[Raw Terrestrial Score]]+Table1[[#This Row],[Raw Freshwater Score]]</f>
        <v>578.50259747914902</v>
      </c>
      <c r="AC138" s="14">
        <f>Table1[[#This Row],[Terrestrial % of Summed Score]]*Table1[[#This Row],[Scaled Summed Score]]</f>
        <v>5.2253815920355516E-2</v>
      </c>
      <c r="AD138" s="14">
        <f>Table1[[#This Row],[Freshwater % of Summed Score]]*Table1[[#This Row],[Scaled Summed Score]]</f>
        <v>3.7967688347330247E-2</v>
      </c>
      <c r="AE138" s="14">
        <f>Table1[[#This Row],[Summed Raw Scores]]/MAX(Table1[Summed Raw Scores])</f>
        <v>9.022150426768577E-2</v>
      </c>
      <c r="AF138" s="9"/>
    </row>
    <row r="139" spans="1:32" x14ac:dyDescent="0.3">
      <c r="A139" s="7" t="s">
        <v>365</v>
      </c>
      <c r="B139" s="7" t="s">
        <v>58</v>
      </c>
      <c r="C139" s="7" t="s">
        <v>27</v>
      </c>
      <c r="D139" s="7"/>
      <c r="E139" s="15">
        <v>55.770677980000002</v>
      </c>
      <c r="F139" s="15">
        <v>-122.00910759999999</v>
      </c>
      <c r="G139" s="15">
        <v>51.241846150000001</v>
      </c>
      <c r="H139" s="7" t="s">
        <v>22</v>
      </c>
      <c r="I139" s="7" t="s">
        <v>22</v>
      </c>
      <c r="J139" s="15">
        <v>81.389026430000001</v>
      </c>
      <c r="K139" s="15">
        <v>146.09743760000001</v>
      </c>
      <c r="L139" s="8" t="s">
        <v>22</v>
      </c>
      <c r="M139" s="15">
        <v>0.3</v>
      </c>
      <c r="N139" s="15">
        <v>11.5</v>
      </c>
      <c r="O139" s="8">
        <f>Table1[[#This Row],[R1 Length (km)]]+Table1[[#This Row],[T1 Length (km)]]</f>
        <v>11.8</v>
      </c>
      <c r="P139" s="5">
        <v>69</v>
      </c>
      <c r="Q139" s="8">
        <f>(Table1[[#This Row],[Linear Features (km)]]*0.4)*100</f>
        <v>472.00000000000006</v>
      </c>
      <c r="R139" s="15">
        <v>208.17</v>
      </c>
      <c r="S139" s="10">
        <f>Table1[[#This Row],[ATG (ha)]]/Table1[[#This Row],[Linear Area (ha)]]</f>
        <v>0.44103813559322025</v>
      </c>
      <c r="T139" s="11" t="s">
        <v>22</v>
      </c>
      <c r="U139" s="11" t="s">
        <v>22</v>
      </c>
      <c r="V139" s="15">
        <v>208.17</v>
      </c>
      <c r="W139" s="15">
        <v>83.268000000000001</v>
      </c>
      <c r="X139" s="13">
        <v>687.15405893325806</v>
      </c>
      <c r="Y139" s="12">
        <f>Table1[[#This Row],[Raw Terrestrial Score]]/Table1[[#This Row],[Summed Raw Scores]]</f>
        <v>0.50399421028555302</v>
      </c>
      <c r="Z139" s="13">
        <v>676.26251393556595</v>
      </c>
      <c r="AA139" s="12">
        <f>Table1[[#This Row],[Raw Freshwater Score]]/Table1[[#This Row],[Summed Raw Scores]]</f>
        <v>0.49600578971444703</v>
      </c>
      <c r="AB139" s="12">
        <f>Table1[[#This Row],[Raw Terrestrial Score]]+Table1[[#This Row],[Raw Freshwater Score]]</f>
        <v>1363.416572868824</v>
      </c>
      <c r="AC139" s="14">
        <f>Table1[[#This Row],[Terrestrial % of Summed Score]]*Table1[[#This Row],[Scaled Summed Score]]</f>
        <v>0.10716645548482445</v>
      </c>
      <c r="AD139" s="14">
        <f>Table1[[#This Row],[Freshwater % of Summed Score]]*Table1[[#This Row],[Scaled Summed Score]]</f>
        <v>0.10546784327846113</v>
      </c>
      <c r="AE139" s="14">
        <f>Table1[[#This Row],[Summed Raw Scores]]/MAX(Table1[Summed Raw Scores])</f>
        <v>0.21263429876328557</v>
      </c>
      <c r="AF139" s="9"/>
    </row>
    <row r="140" spans="1:32" x14ac:dyDescent="0.3">
      <c r="A140" s="7" t="s">
        <v>405</v>
      </c>
      <c r="B140" s="7" t="s">
        <v>58</v>
      </c>
      <c r="C140" s="7" t="s">
        <v>27</v>
      </c>
      <c r="D140" s="7"/>
      <c r="E140" s="15">
        <v>55.784245439999999</v>
      </c>
      <c r="F140" s="15">
        <v>-121.9179681</v>
      </c>
      <c r="G140" s="15">
        <v>26.71753846</v>
      </c>
      <c r="H140" s="7" t="s">
        <v>22</v>
      </c>
      <c r="I140" s="7" t="s">
        <v>22</v>
      </c>
      <c r="J140" s="15">
        <v>42.146791669999999</v>
      </c>
      <c r="K140" s="15">
        <v>184.88125360000001</v>
      </c>
      <c r="L140" s="8" t="s">
        <v>22</v>
      </c>
      <c r="M140" s="15">
        <v>0.6</v>
      </c>
      <c r="N140" s="15">
        <v>22</v>
      </c>
      <c r="O140" s="8">
        <f>Table1[[#This Row],[R1 Length (km)]]+Table1[[#This Row],[T1 Length (km)]]</f>
        <v>22.6</v>
      </c>
      <c r="P140" s="5">
        <v>130</v>
      </c>
      <c r="Q140" s="8">
        <f>(Table1[[#This Row],[Linear Features (km)]]*0.4)*100</f>
        <v>904.00000000000011</v>
      </c>
      <c r="R140" s="15">
        <v>108.54</v>
      </c>
      <c r="S140" s="10">
        <f>Table1[[#This Row],[ATG (ha)]]/Table1[[#This Row],[Linear Area (ha)]]</f>
        <v>0.12006637168141591</v>
      </c>
      <c r="T140" s="11" t="s">
        <v>22</v>
      </c>
      <c r="U140" s="11" t="s">
        <v>22</v>
      </c>
      <c r="V140" s="15">
        <v>108.54</v>
      </c>
      <c r="W140" s="15">
        <v>43.415999999999997</v>
      </c>
      <c r="X140" s="13">
        <v>330.00760503858299</v>
      </c>
      <c r="Y140" s="12">
        <f>Table1[[#This Row],[Raw Terrestrial Score]]/Table1[[#This Row],[Summed Raw Scores]]</f>
        <v>0.59655542384918703</v>
      </c>
      <c r="Z140" s="13">
        <v>223.18090326339001</v>
      </c>
      <c r="AA140" s="12">
        <f>Table1[[#This Row],[Raw Freshwater Score]]/Table1[[#This Row],[Summed Raw Scores]]</f>
        <v>0.40344457615081303</v>
      </c>
      <c r="AB140" s="12">
        <f>Table1[[#This Row],[Raw Terrestrial Score]]+Table1[[#This Row],[Raw Freshwater Score]]</f>
        <v>553.188508301973</v>
      </c>
      <c r="AC140" s="14">
        <f>Table1[[#This Row],[Terrestrial % of Summed Score]]*Table1[[#This Row],[Scaled Summed Score]]</f>
        <v>5.1466981610969194E-2</v>
      </c>
      <c r="AD140" s="14">
        <f>Table1[[#This Row],[Freshwater % of Summed Score]]*Table1[[#This Row],[Scaled Summed Score]]</f>
        <v>3.4806614359185584E-2</v>
      </c>
      <c r="AE140" s="14">
        <f>Table1[[#This Row],[Summed Raw Scores]]/MAX(Table1[Summed Raw Scores])</f>
        <v>8.6273595970154771E-2</v>
      </c>
      <c r="AF140" s="9"/>
    </row>
    <row r="141" spans="1:32" x14ac:dyDescent="0.3">
      <c r="A141" s="7" t="s">
        <v>347</v>
      </c>
      <c r="B141" s="7" t="s">
        <v>58</v>
      </c>
      <c r="C141" s="7" t="s">
        <v>27</v>
      </c>
      <c r="D141" s="7"/>
      <c r="E141" s="15">
        <v>55.75465122</v>
      </c>
      <c r="F141" s="15">
        <v>-121.4113148</v>
      </c>
      <c r="G141" s="15">
        <v>15.15323077</v>
      </c>
      <c r="H141" s="7" t="s">
        <v>22</v>
      </c>
      <c r="I141" s="7" t="s">
        <v>22</v>
      </c>
      <c r="J141" s="15">
        <v>24.337930050000001</v>
      </c>
      <c r="K141" s="15">
        <v>140.58458060000001</v>
      </c>
      <c r="L141" s="8" t="s">
        <v>22</v>
      </c>
      <c r="M141" s="15">
        <v>0.3</v>
      </c>
      <c r="N141" s="15">
        <v>15.9</v>
      </c>
      <c r="O141" s="8">
        <f>Table1[[#This Row],[R1 Length (km)]]+Table1[[#This Row],[T1 Length (km)]]</f>
        <v>16.2</v>
      </c>
      <c r="P141" s="5">
        <v>25</v>
      </c>
      <c r="Q141" s="8">
        <f>(Table1[[#This Row],[Linear Features (km)]]*0.4)*100</f>
        <v>648</v>
      </c>
      <c r="R141" s="15">
        <v>61.56</v>
      </c>
      <c r="S141" s="10">
        <f>Table1[[#This Row],[ATG (ha)]]/Table1[[#This Row],[Linear Area (ha)]]</f>
        <v>9.5000000000000001E-2</v>
      </c>
      <c r="T141" s="11" t="s">
        <v>22</v>
      </c>
      <c r="U141" s="11" t="s">
        <v>22</v>
      </c>
      <c r="V141" s="15">
        <v>61.56</v>
      </c>
      <c r="W141" s="15">
        <v>24.623999999999999</v>
      </c>
      <c r="X141" s="13">
        <v>156.65152884926599</v>
      </c>
      <c r="Y141" s="12">
        <f>Table1[[#This Row],[Raw Terrestrial Score]]/Table1[[#This Row],[Summed Raw Scores]]</f>
        <v>0.87505124478354446</v>
      </c>
      <c r="Z141" s="13">
        <v>22.368305455427599</v>
      </c>
      <c r="AA141" s="12">
        <f>Table1[[#This Row],[Raw Freshwater Score]]/Table1[[#This Row],[Summed Raw Scores]]</f>
        <v>0.1249487552164556</v>
      </c>
      <c r="AB141" s="12">
        <f>Table1[[#This Row],[Raw Terrestrial Score]]+Table1[[#This Row],[Raw Freshwater Score]]</f>
        <v>179.01983430469357</v>
      </c>
      <c r="AC141" s="14">
        <f>Table1[[#This Row],[Terrestrial % of Summed Score]]*Table1[[#This Row],[Scaled Summed Score]]</f>
        <v>2.4430895626398566E-2</v>
      </c>
      <c r="AD141" s="14">
        <f>Table1[[#This Row],[Freshwater % of Summed Score]]*Table1[[#This Row],[Scaled Summed Score]]</f>
        <v>3.4884928346073647E-3</v>
      </c>
      <c r="AE141" s="14">
        <f>Table1[[#This Row],[Summed Raw Scores]]/MAX(Table1[Summed Raw Scores])</f>
        <v>2.7919388461005928E-2</v>
      </c>
      <c r="AF141" s="9"/>
    </row>
    <row r="142" spans="1:32" x14ac:dyDescent="0.3">
      <c r="A142" s="7" t="s">
        <v>400</v>
      </c>
      <c r="B142" s="7" t="s">
        <v>58</v>
      </c>
      <c r="C142" s="7" t="s">
        <v>59</v>
      </c>
      <c r="D142" s="7"/>
      <c r="E142" s="15">
        <v>55.081857020000001</v>
      </c>
      <c r="F142" s="15">
        <v>-123.10435889999999</v>
      </c>
      <c r="G142" s="15">
        <v>39.876923079999997</v>
      </c>
      <c r="H142" s="7" t="s">
        <v>22</v>
      </c>
      <c r="I142" s="7" t="s">
        <v>22</v>
      </c>
      <c r="J142" s="15">
        <v>60.339512419999998</v>
      </c>
      <c r="K142" s="15">
        <v>164.88743400000001</v>
      </c>
      <c r="L142" s="8" t="s">
        <v>22</v>
      </c>
      <c r="M142" s="15">
        <v>0.4</v>
      </c>
      <c r="N142" s="15">
        <v>21.8</v>
      </c>
      <c r="O142" s="8">
        <f>Table1[[#This Row],[R1 Length (km)]]+Table1[[#This Row],[T1 Length (km)]]</f>
        <v>22.2</v>
      </c>
      <c r="P142" s="5">
        <v>130</v>
      </c>
      <c r="Q142" s="8">
        <f>(Table1[[#This Row],[Linear Features (km)]]*0.4)*100</f>
        <v>888.00000000000011</v>
      </c>
      <c r="R142" s="15">
        <v>162</v>
      </c>
      <c r="S142" s="10">
        <f>Table1[[#This Row],[ATG (ha)]]/Table1[[#This Row],[Linear Area (ha)]]</f>
        <v>0.1824324324324324</v>
      </c>
      <c r="T142" s="11" t="s">
        <v>22</v>
      </c>
      <c r="U142" s="11" t="s">
        <v>22</v>
      </c>
      <c r="V142" s="15">
        <v>162</v>
      </c>
      <c r="W142" s="15">
        <v>64.8</v>
      </c>
      <c r="X142" s="13">
        <v>86.325526215136094</v>
      </c>
      <c r="Y142" s="12">
        <f>Table1[[#This Row],[Raw Terrestrial Score]]/Table1[[#This Row],[Summed Raw Scores]]</f>
        <v>0.50851581039154858</v>
      </c>
      <c r="Z142" s="13">
        <v>83.434242215007501</v>
      </c>
      <c r="AA142" s="12">
        <f>Table1[[#This Row],[Raw Freshwater Score]]/Table1[[#This Row],[Summed Raw Scores]]</f>
        <v>0.49148418960845142</v>
      </c>
      <c r="AB142" s="12">
        <f>Table1[[#This Row],[Raw Terrestrial Score]]+Table1[[#This Row],[Raw Freshwater Score]]</f>
        <v>169.75976843014359</v>
      </c>
      <c r="AC142" s="14">
        <f>Table1[[#This Row],[Terrestrial % of Summed Score]]*Table1[[#This Row],[Scaled Summed Score]]</f>
        <v>1.3463066312523928E-2</v>
      </c>
      <c r="AD142" s="14">
        <f>Table1[[#This Row],[Freshwater % of Summed Score]]*Table1[[#This Row],[Scaled Summed Score]]</f>
        <v>1.3012150460298915E-2</v>
      </c>
      <c r="AE142" s="14">
        <f>Table1[[#This Row],[Summed Raw Scores]]/MAX(Table1[Summed Raw Scores])</f>
        <v>2.6475216772822843E-2</v>
      </c>
      <c r="AF142" s="9"/>
    </row>
    <row r="143" spans="1:32" x14ac:dyDescent="0.3">
      <c r="A143" s="7" t="s">
        <v>344</v>
      </c>
      <c r="B143" s="7" t="s">
        <v>58</v>
      </c>
      <c r="C143" s="7" t="s">
        <v>59</v>
      </c>
      <c r="D143" s="7"/>
      <c r="E143" s="15">
        <v>54.985974310000003</v>
      </c>
      <c r="F143" s="15">
        <v>-123.05178960000001</v>
      </c>
      <c r="G143" s="15">
        <v>74.171076920000004</v>
      </c>
      <c r="H143" s="7" t="s">
        <v>22</v>
      </c>
      <c r="I143" s="7" t="s">
        <v>22</v>
      </c>
      <c r="J143" s="15">
        <v>114.2546452</v>
      </c>
      <c r="K143" s="15">
        <v>139.9860371</v>
      </c>
      <c r="L143" s="8" t="s">
        <v>22</v>
      </c>
      <c r="M143" s="15">
        <v>0</v>
      </c>
      <c r="N143" s="15">
        <v>20.7</v>
      </c>
      <c r="O143" s="8">
        <f>Table1[[#This Row],[R1 Length (km)]]+Table1[[#This Row],[T1 Length (km)]]</f>
        <v>20.7</v>
      </c>
      <c r="P143" s="5">
        <v>130</v>
      </c>
      <c r="Q143" s="8">
        <f>(Table1[[#This Row],[Linear Features (km)]]*0.4)*100</f>
        <v>827.99999999999989</v>
      </c>
      <c r="R143" s="15">
        <v>301.32</v>
      </c>
      <c r="S143" s="10">
        <f>Table1[[#This Row],[ATG (ha)]]/Table1[[#This Row],[Linear Area (ha)]]</f>
        <v>0.36391304347826092</v>
      </c>
      <c r="T143" s="11" t="s">
        <v>22</v>
      </c>
      <c r="U143" s="11" t="s">
        <v>22</v>
      </c>
      <c r="V143" s="15">
        <v>301.32</v>
      </c>
      <c r="W143" s="15">
        <v>120.52800000000001</v>
      </c>
      <c r="X143" s="13">
        <v>35.600924767553799</v>
      </c>
      <c r="Y143" s="12">
        <f>Table1[[#This Row],[Raw Terrestrial Score]]/Table1[[#This Row],[Summed Raw Scores]]</f>
        <v>0.41258561280141981</v>
      </c>
      <c r="Z143" s="13">
        <v>50.6864387830719</v>
      </c>
      <c r="AA143" s="12">
        <f>Table1[[#This Row],[Raw Freshwater Score]]/Table1[[#This Row],[Summed Raw Scores]]</f>
        <v>0.58741438719858019</v>
      </c>
      <c r="AB143" s="12">
        <f>Table1[[#This Row],[Raw Terrestrial Score]]+Table1[[#This Row],[Raw Freshwater Score]]</f>
        <v>86.287363550625699</v>
      </c>
      <c r="AC143" s="14">
        <f>Table1[[#This Row],[Terrestrial % of Summed Score]]*Table1[[#This Row],[Scaled Summed Score]]</f>
        <v>5.5522118653325214E-3</v>
      </c>
      <c r="AD143" s="14">
        <f>Table1[[#This Row],[Freshwater % of Summed Score]]*Table1[[#This Row],[Scaled Summed Score]]</f>
        <v>7.9049027141931526E-3</v>
      </c>
      <c r="AE143" s="14">
        <f>Table1[[#This Row],[Summed Raw Scores]]/MAX(Table1[Summed Raw Scores])</f>
        <v>1.3457114579525675E-2</v>
      </c>
      <c r="AF143" s="9"/>
    </row>
    <row r="144" spans="1:32" x14ac:dyDescent="0.3">
      <c r="A144" s="7" t="s">
        <v>399</v>
      </c>
      <c r="B144" s="7" t="s">
        <v>58</v>
      </c>
      <c r="C144" s="7" t="s">
        <v>59</v>
      </c>
      <c r="D144" s="7"/>
      <c r="E144" s="15">
        <v>55.06198088</v>
      </c>
      <c r="F144" s="15">
        <v>-122.89894099999999</v>
      </c>
      <c r="G144" s="15">
        <v>30.306461540000001</v>
      </c>
      <c r="H144" s="7" t="s">
        <v>22</v>
      </c>
      <c r="I144" s="7" t="s">
        <v>22</v>
      </c>
      <c r="J144" s="15">
        <v>45.845137450000003</v>
      </c>
      <c r="K144" s="15">
        <v>163.57335140000001</v>
      </c>
      <c r="L144" s="8" t="s">
        <v>22</v>
      </c>
      <c r="M144" s="15">
        <v>0.8</v>
      </c>
      <c r="N144" s="15">
        <v>7.4</v>
      </c>
      <c r="O144" s="8">
        <f>Table1[[#This Row],[R1 Length (km)]]+Table1[[#This Row],[T1 Length (km)]]</f>
        <v>8.2000000000000011</v>
      </c>
      <c r="P144" s="5">
        <v>130</v>
      </c>
      <c r="Q144" s="8">
        <f>(Table1[[#This Row],[Linear Features (km)]]*0.4)*100</f>
        <v>328.00000000000006</v>
      </c>
      <c r="R144" s="15">
        <v>123.12</v>
      </c>
      <c r="S144" s="10">
        <f>Table1[[#This Row],[ATG (ha)]]/Table1[[#This Row],[Linear Area (ha)]]</f>
        <v>0.37536585365853653</v>
      </c>
      <c r="T144" s="11" t="s">
        <v>22</v>
      </c>
      <c r="U144" s="11" t="s">
        <v>22</v>
      </c>
      <c r="V144" s="15">
        <v>123.12</v>
      </c>
      <c r="W144" s="15">
        <v>49.247999999999998</v>
      </c>
      <c r="X144" s="13">
        <v>75.472059629857497</v>
      </c>
      <c r="Y144" s="12">
        <f>Table1[[#This Row],[Raw Terrestrial Score]]/Table1[[#This Row],[Summed Raw Scores]]</f>
        <v>0.50363367518562019</v>
      </c>
      <c r="Z144" s="13">
        <v>74.3830103315413</v>
      </c>
      <c r="AA144" s="12">
        <f>Table1[[#This Row],[Raw Freshwater Score]]/Table1[[#This Row],[Summed Raw Scores]]</f>
        <v>0.49636632481437992</v>
      </c>
      <c r="AB144" s="12">
        <f>Table1[[#This Row],[Raw Terrestrial Score]]+Table1[[#This Row],[Raw Freshwater Score]]</f>
        <v>149.85506996139878</v>
      </c>
      <c r="AC144" s="14">
        <f>Table1[[#This Row],[Terrestrial % of Summed Score]]*Table1[[#This Row],[Scaled Summed Score]]</f>
        <v>1.1770392699458272E-2</v>
      </c>
      <c r="AD144" s="14">
        <f>Table1[[#This Row],[Freshwater % of Summed Score]]*Table1[[#This Row],[Scaled Summed Score]]</f>
        <v>1.160054788572034E-2</v>
      </c>
      <c r="AE144" s="14">
        <f>Table1[[#This Row],[Summed Raw Scores]]/MAX(Table1[Summed Raw Scores])</f>
        <v>2.337094058517861E-2</v>
      </c>
      <c r="AF144" s="9"/>
    </row>
    <row r="145" spans="1:32" x14ac:dyDescent="0.3">
      <c r="A145" s="7" t="s">
        <v>278</v>
      </c>
      <c r="B145" s="7" t="s">
        <v>58</v>
      </c>
      <c r="C145" s="7" t="s">
        <v>59</v>
      </c>
      <c r="D145" s="7"/>
      <c r="E145" s="15">
        <v>55.0759489</v>
      </c>
      <c r="F145" s="15">
        <v>-122.8093126</v>
      </c>
      <c r="G145" s="15">
        <v>116.4406154</v>
      </c>
      <c r="H145" s="7" t="s">
        <v>22</v>
      </c>
      <c r="I145" s="7" t="s">
        <v>22</v>
      </c>
      <c r="J145" s="15">
        <v>175.9141228</v>
      </c>
      <c r="K145" s="15">
        <v>123.5507886</v>
      </c>
      <c r="L145" s="8" t="s">
        <v>22</v>
      </c>
      <c r="M145" s="15">
        <v>0</v>
      </c>
      <c r="N145" s="15">
        <v>0</v>
      </c>
      <c r="O145" s="8">
        <f>Table1[[#This Row],[R1 Length (km)]]+Table1[[#This Row],[T1 Length (km)]]</f>
        <v>0</v>
      </c>
      <c r="P145" s="5">
        <v>130</v>
      </c>
      <c r="Q145" s="8">
        <f>(Table1[[#This Row],[Linear Features (km)]]*0.4)*100</f>
        <v>0</v>
      </c>
      <c r="R145" s="15">
        <v>473.04</v>
      </c>
      <c r="S145" s="10" t="e">
        <f>Table1[[#This Row],[ATG (ha)]]/Table1[[#This Row],[Linear Area (ha)]]</f>
        <v>#DIV/0!</v>
      </c>
      <c r="T145" s="11" t="s">
        <v>22</v>
      </c>
      <c r="U145" s="11" t="s">
        <v>22</v>
      </c>
      <c r="V145" s="15">
        <v>473.04</v>
      </c>
      <c r="W145" s="15">
        <v>189.21600000000001</v>
      </c>
      <c r="X145" s="13">
        <v>104.91731095314</v>
      </c>
      <c r="Y145" s="12">
        <f>Table1[[#This Row],[Raw Terrestrial Score]]/Table1[[#This Row],[Summed Raw Scores]]</f>
        <v>0.58007564092318165</v>
      </c>
      <c r="Z145" s="13">
        <v>75.951016470789895</v>
      </c>
      <c r="AA145" s="12">
        <f>Table1[[#This Row],[Raw Freshwater Score]]/Table1[[#This Row],[Summed Raw Scores]]</f>
        <v>0.41992435907681841</v>
      </c>
      <c r="AB145" s="12">
        <f>Table1[[#This Row],[Raw Terrestrial Score]]+Table1[[#This Row],[Raw Freshwater Score]]</f>
        <v>180.86832742392988</v>
      </c>
      <c r="AC145" s="14">
        <f>Table1[[#This Row],[Terrestrial % of Summed Score]]*Table1[[#This Row],[Scaled Summed Score]]</f>
        <v>1.6362584470943558E-2</v>
      </c>
      <c r="AD145" s="14">
        <f>Table1[[#This Row],[Freshwater % of Summed Score]]*Table1[[#This Row],[Scaled Summed Score]]</f>
        <v>1.1845089350530399E-2</v>
      </c>
      <c r="AE145" s="14">
        <f>Table1[[#This Row],[Summed Raw Scores]]/MAX(Table1[Summed Raw Scores])</f>
        <v>2.8207673821473954E-2</v>
      </c>
      <c r="AF145" s="9"/>
    </row>
    <row r="146" spans="1:32" x14ac:dyDescent="0.3">
      <c r="A146" s="7" t="s">
        <v>412</v>
      </c>
      <c r="B146" s="7" t="s">
        <v>58</v>
      </c>
      <c r="C146" s="7" t="s">
        <v>59</v>
      </c>
      <c r="D146" s="7"/>
      <c r="E146" s="15">
        <v>54.938044419999997</v>
      </c>
      <c r="F146" s="15">
        <v>-123.0255793</v>
      </c>
      <c r="G146" s="15">
        <v>20.935384620000001</v>
      </c>
      <c r="H146" s="7" t="s">
        <v>22</v>
      </c>
      <c r="I146" s="7" t="s">
        <v>22</v>
      </c>
      <c r="J146" s="15">
        <v>32.375843719999999</v>
      </c>
      <c r="K146" s="15">
        <v>212.58870949999999</v>
      </c>
      <c r="L146" s="8" t="s">
        <v>22</v>
      </c>
      <c r="M146" s="15">
        <v>0.3</v>
      </c>
      <c r="N146" s="15">
        <v>22.1</v>
      </c>
      <c r="O146" s="8">
        <f>Table1[[#This Row],[R1 Length (km)]]+Table1[[#This Row],[T1 Length (km)]]</f>
        <v>22.400000000000002</v>
      </c>
      <c r="P146" s="5">
        <v>130</v>
      </c>
      <c r="Q146" s="8">
        <f>(Table1[[#This Row],[Linear Features (km)]]*0.4)*100</f>
        <v>896.00000000000011</v>
      </c>
      <c r="R146" s="15">
        <v>85.05</v>
      </c>
      <c r="S146" s="10">
        <f>Table1[[#This Row],[ATG (ha)]]/Table1[[#This Row],[Linear Area (ha)]]</f>
        <v>9.4921874999999989E-2</v>
      </c>
      <c r="T146" s="11" t="s">
        <v>22</v>
      </c>
      <c r="U146" s="11" t="s">
        <v>22</v>
      </c>
      <c r="V146" s="15">
        <v>85.05</v>
      </c>
      <c r="W146" s="15">
        <v>34.020000000000003</v>
      </c>
      <c r="X146" s="13">
        <v>45.714950675144799</v>
      </c>
      <c r="Y146" s="12">
        <f>Table1[[#This Row],[Raw Terrestrial Score]]/Table1[[#This Row],[Summed Raw Scores]]</f>
        <v>0.47283817013981172</v>
      </c>
      <c r="Z146" s="13">
        <v>50.967071974649997</v>
      </c>
      <c r="AA146" s="12">
        <f>Table1[[#This Row],[Raw Freshwater Score]]/Table1[[#This Row],[Summed Raw Scores]]</f>
        <v>0.52716182986018834</v>
      </c>
      <c r="AB146" s="12">
        <f>Table1[[#This Row],[Raw Terrestrial Score]]+Table1[[#This Row],[Raw Freshwater Score]]</f>
        <v>96.682022649794789</v>
      </c>
      <c r="AC146" s="14">
        <f>Table1[[#This Row],[Terrestrial % of Summed Score]]*Table1[[#This Row],[Scaled Summed Score]]</f>
        <v>7.1295645610014377E-3</v>
      </c>
      <c r="AD146" s="14">
        <f>Table1[[#This Row],[Freshwater % of Summed Score]]*Table1[[#This Row],[Scaled Summed Score]]</f>
        <v>7.9486694125657214E-3</v>
      </c>
      <c r="AE146" s="14">
        <f>Table1[[#This Row],[Summed Raw Scores]]/MAX(Table1[Summed Raw Scores])</f>
        <v>1.5078233973567159E-2</v>
      </c>
      <c r="AF146" s="9"/>
    </row>
    <row r="147" spans="1:32" x14ac:dyDescent="0.3">
      <c r="A147" s="7" t="s">
        <v>403</v>
      </c>
      <c r="B147" s="7" t="s">
        <v>58</v>
      </c>
      <c r="C147" s="7" t="s">
        <v>59</v>
      </c>
      <c r="D147" s="7"/>
      <c r="E147" s="15">
        <v>54.780281860000002</v>
      </c>
      <c r="F147" s="15">
        <v>-123.0363394</v>
      </c>
      <c r="G147" s="15">
        <v>36.686769230000003</v>
      </c>
      <c r="H147" s="7" t="s">
        <v>22</v>
      </c>
      <c r="I147" s="7" t="s">
        <v>22</v>
      </c>
      <c r="J147" s="15">
        <v>59.563433410000002</v>
      </c>
      <c r="K147" s="15">
        <v>179.64696219999999</v>
      </c>
      <c r="L147" s="8" t="s">
        <v>22</v>
      </c>
      <c r="M147" s="15">
        <v>0</v>
      </c>
      <c r="N147" s="15">
        <v>39.799999999999997</v>
      </c>
      <c r="O147" s="8">
        <f>Table1[[#This Row],[R1 Length (km)]]+Table1[[#This Row],[T1 Length (km)]]</f>
        <v>39.799999999999997</v>
      </c>
      <c r="P147" s="5">
        <v>130</v>
      </c>
      <c r="Q147" s="8">
        <f>(Table1[[#This Row],[Linear Features (km)]]*0.4)*100</f>
        <v>1592</v>
      </c>
      <c r="R147" s="15">
        <v>149.04</v>
      </c>
      <c r="S147" s="10">
        <f>Table1[[#This Row],[ATG (ha)]]/Table1[[#This Row],[Linear Area (ha)]]</f>
        <v>9.3618090452261299E-2</v>
      </c>
      <c r="T147" s="11" t="s">
        <v>22</v>
      </c>
      <c r="U147" s="11" t="s">
        <v>22</v>
      </c>
      <c r="V147" s="15">
        <v>149.04</v>
      </c>
      <c r="W147" s="15">
        <v>59.616</v>
      </c>
      <c r="X147" s="13">
        <v>115.68437125720099</v>
      </c>
      <c r="Y147" s="12">
        <f>Table1[[#This Row],[Raw Terrestrial Score]]/Table1[[#This Row],[Summed Raw Scores]]</f>
        <v>0.54174355532995566</v>
      </c>
      <c r="Z147" s="13">
        <v>97.856463920324998</v>
      </c>
      <c r="AA147" s="12">
        <f>Table1[[#This Row],[Raw Freshwater Score]]/Table1[[#This Row],[Summed Raw Scores]]</f>
        <v>0.45825644467004434</v>
      </c>
      <c r="AB147" s="12">
        <f>Table1[[#This Row],[Raw Terrestrial Score]]+Table1[[#This Row],[Raw Freshwater Score]]</f>
        <v>213.54083517752599</v>
      </c>
      <c r="AC147" s="14">
        <f>Table1[[#This Row],[Terrestrial % of Summed Score]]*Table1[[#This Row],[Scaled Summed Score]]</f>
        <v>1.8041782423392303E-2</v>
      </c>
      <c r="AD147" s="14">
        <f>Table1[[#This Row],[Freshwater % of Summed Score]]*Table1[[#This Row],[Scaled Summed Score]]</f>
        <v>1.5261396259377131E-2</v>
      </c>
      <c r="AE147" s="14">
        <f>Table1[[#This Row],[Summed Raw Scores]]/MAX(Table1[Summed Raw Scores])</f>
        <v>3.3303178682769434E-2</v>
      </c>
      <c r="AF147" s="9"/>
    </row>
    <row r="148" spans="1:32" x14ac:dyDescent="0.3">
      <c r="A148" s="7" t="s">
        <v>374</v>
      </c>
      <c r="B148" s="7" t="s">
        <v>58</v>
      </c>
      <c r="C148" s="7" t="s">
        <v>30</v>
      </c>
      <c r="D148" s="7"/>
      <c r="E148" s="15">
        <v>54.145961499999999</v>
      </c>
      <c r="F148" s="15">
        <v>-124.9931062</v>
      </c>
      <c r="G148" s="15">
        <v>23.128615379999999</v>
      </c>
      <c r="H148" s="7" t="s">
        <v>22</v>
      </c>
      <c r="I148" s="7" t="s">
        <v>22</v>
      </c>
      <c r="J148" s="15">
        <v>37.338652150000001</v>
      </c>
      <c r="K148" s="15">
        <v>151.86548139999999</v>
      </c>
      <c r="L148" s="8" t="s">
        <v>22</v>
      </c>
      <c r="M148" s="15">
        <v>0.3</v>
      </c>
      <c r="N148" s="15">
        <v>8.4</v>
      </c>
      <c r="O148" s="8">
        <f>Table1[[#This Row],[R1 Length (km)]]+Table1[[#This Row],[T1 Length (km)]]</f>
        <v>8.7000000000000011</v>
      </c>
      <c r="P148" s="5">
        <v>69</v>
      </c>
      <c r="Q148" s="8">
        <f>(Table1[[#This Row],[Linear Features (km)]]*0.4)*100</f>
        <v>348.00000000000006</v>
      </c>
      <c r="R148" s="15">
        <v>93.96</v>
      </c>
      <c r="S148" s="10">
        <f>Table1[[#This Row],[ATG (ha)]]/Table1[[#This Row],[Linear Area (ha)]]</f>
        <v>0.26999999999999996</v>
      </c>
      <c r="T148" s="11" t="s">
        <v>22</v>
      </c>
      <c r="U148" s="11" t="s">
        <v>22</v>
      </c>
      <c r="V148" s="15">
        <v>93.96</v>
      </c>
      <c r="W148" s="15">
        <v>37.584000000000003</v>
      </c>
      <c r="X148" s="13">
        <v>60.566500604152701</v>
      </c>
      <c r="Y148" s="12">
        <f>Table1[[#This Row],[Raw Terrestrial Score]]/Table1[[#This Row],[Summed Raw Scores]]</f>
        <v>0.24958669828876134</v>
      </c>
      <c r="Z148" s="13">
        <v>182.100680857897</v>
      </c>
      <c r="AA148" s="12">
        <f>Table1[[#This Row],[Raw Freshwater Score]]/Table1[[#This Row],[Summed Raw Scores]]</f>
        <v>0.75041330171123866</v>
      </c>
      <c r="AB148" s="12">
        <f>Table1[[#This Row],[Raw Terrestrial Score]]+Table1[[#This Row],[Raw Freshwater Score]]</f>
        <v>242.66718146204971</v>
      </c>
      <c r="AC148" s="14">
        <f>Table1[[#This Row],[Terrestrial % of Summed Score]]*Table1[[#This Row],[Scaled Summed Score]]</f>
        <v>9.4457670830653609E-3</v>
      </c>
      <c r="AD148" s="14">
        <f>Table1[[#This Row],[Freshwater % of Summed Score]]*Table1[[#This Row],[Scaled Summed Score]]</f>
        <v>2.8399867912021613E-2</v>
      </c>
      <c r="AE148" s="14">
        <f>Table1[[#This Row],[Summed Raw Scores]]/MAX(Table1[Summed Raw Scores])</f>
        <v>3.7845634995086974E-2</v>
      </c>
      <c r="AF148" s="9"/>
    </row>
    <row r="149" spans="1:32" x14ac:dyDescent="0.3">
      <c r="A149" s="7" t="s">
        <v>349</v>
      </c>
      <c r="B149" s="7" t="s">
        <v>58</v>
      </c>
      <c r="C149" s="7" t="s">
        <v>30</v>
      </c>
      <c r="D149" s="7"/>
      <c r="E149" s="15">
        <v>54.06850523</v>
      </c>
      <c r="F149" s="15">
        <v>-125.1401281</v>
      </c>
      <c r="G149" s="15">
        <v>30.50584615</v>
      </c>
      <c r="H149" s="7" t="s">
        <v>22</v>
      </c>
      <c r="I149" s="7" t="s">
        <v>22</v>
      </c>
      <c r="J149" s="15">
        <v>48.942919070000002</v>
      </c>
      <c r="K149" s="15">
        <v>140.9820125</v>
      </c>
      <c r="L149" s="8" t="s">
        <v>22</v>
      </c>
      <c r="M149" s="15">
        <v>0</v>
      </c>
      <c r="N149" s="15">
        <v>8.5</v>
      </c>
      <c r="O149" s="8">
        <f>Table1[[#This Row],[R1 Length (km)]]+Table1[[#This Row],[T1 Length (km)]]</f>
        <v>8.5</v>
      </c>
      <c r="P149" s="5">
        <v>69</v>
      </c>
      <c r="Q149" s="8">
        <f>(Table1[[#This Row],[Linear Features (km)]]*0.4)*100</f>
        <v>340.00000000000006</v>
      </c>
      <c r="R149" s="15">
        <v>123.93</v>
      </c>
      <c r="S149" s="10">
        <f>Table1[[#This Row],[ATG (ha)]]/Table1[[#This Row],[Linear Area (ha)]]</f>
        <v>0.36449999999999994</v>
      </c>
      <c r="T149" s="11" t="s">
        <v>22</v>
      </c>
      <c r="U149" s="11" t="s">
        <v>22</v>
      </c>
      <c r="V149" s="15">
        <v>123.93</v>
      </c>
      <c r="W149" s="15">
        <v>49.572000000000003</v>
      </c>
      <c r="X149" s="13">
        <v>15.623406410217299</v>
      </c>
      <c r="Y149" s="12">
        <f>Table1[[#This Row],[Raw Terrestrial Score]]/Table1[[#This Row],[Summed Raw Scores]]</f>
        <v>0.241984217737582</v>
      </c>
      <c r="Z149" s="13">
        <v>48.940334796905503</v>
      </c>
      <c r="AA149" s="12">
        <f>Table1[[#This Row],[Raw Freshwater Score]]/Table1[[#This Row],[Summed Raw Scores]]</f>
        <v>0.75801578226241806</v>
      </c>
      <c r="AB149" s="12">
        <f>Table1[[#This Row],[Raw Terrestrial Score]]+Table1[[#This Row],[Raw Freshwater Score]]</f>
        <v>64.563741207122803</v>
      </c>
      <c r="AC149" s="14">
        <f>Table1[[#This Row],[Terrestrial % of Summed Score]]*Table1[[#This Row],[Scaled Summed Score]]</f>
        <v>2.436578909511317E-3</v>
      </c>
      <c r="AD149" s="14">
        <f>Table1[[#This Row],[Freshwater % of Summed Score]]*Table1[[#This Row],[Scaled Summed Score]]</f>
        <v>7.6325856512686223E-3</v>
      </c>
      <c r="AE149" s="14">
        <f>Table1[[#This Row],[Summed Raw Scores]]/MAX(Table1[Summed Raw Scores])</f>
        <v>1.0069164560779938E-2</v>
      </c>
      <c r="AF149" s="9"/>
    </row>
    <row r="150" spans="1:32" x14ac:dyDescent="0.3">
      <c r="A150" s="7" t="s">
        <v>364</v>
      </c>
      <c r="B150" s="7" t="s">
        <v>58</v>
      </c>
      <c r="C150" s="7" t="s">
        <v>30</v>
      </c>
      <c r="D150" s="7"/>
      <c r="E150" s="15">
        <v>54.083533119999998</v>
      </c>
      <c r="F150" s="15">
        <v>-125.05285360000001</v>
      </c>
      <c r="G150" s="15">
        <v>24.125538460000001</v>
      </c>
      <c r="H150" s="7" t="s">
        <v>22</v>
      </c>
      <c r="I150" s="7" t="s">
        <v>22</v>
      </c>
      <c r="J150" s="15">
        <v>38.697618769999998</v>
      </c>
      <c r="K150" s="15">
        <v>145.5844884</v>
      </c>
      <c r="L150" s="8" t="s">
        <v>22</v>
      </c>
      <c r="M150" s="15">
        <v>0</v>
      </c>
      <c r="N150" s="15">
        <v>2.8</v>
      </c>
      <c r="O150" s="8">
        <f>Table1[[#This Row],[R1 Length (km)]]+Table1[[#This Row],[T1 Length (km)]]</f>
        <v>2.8</v>
      </c>
      <c r="P150" s="5">
        <v>69</v>
      </c>
      <c r="Q150" s="8">
        <f>(Table1[[#This Row],[Linear Features (km)]]*0.4)*100</f>
        <v>111.99999999999999</v>
      </c>
      <c r="R150" s="15">
        <v>98.01</v>
      </c>
      <c r="S150" s="10">
        <f>Table1[[#This Row],[ATG (ha)]]/Table1[[#This Row],[Linear Area (ha)]]</f>
        <v>0.8750892857142859</v>
      </c>
      <c r="T150" s="11" t="s">
        <v>22</v>
      </c>
      <c r="U150" s="11" t="s">
        <v>22</v>
      </c>
      <c r="V150" s="15">
        <v>98.01</v>
      </c>
      <c r="W150" s="15">
        <v>39.204000000000001</v>
      </c>
      <c r="X150" s="13">
        <v>117.074514329433</v>
      </c>
      <c r="Y150" s="12">
        <f>Table1[[#This Row],[Raw Terrestrial Score]]/Table1[[#This Row],[Summed Raw Scores]]</f>
        <v>0.29508090562103623</v>
      </c>
      <c r="Z150" s="13">
        <v>279.67943382263201</v>
      </c>
      <c r="AA150" s="12">
        <f>Table1[[#This Row],[Raw Freshwater Score]]/Table1[[#This Row],[Summed Raw Scores]]</f>
        <v>0.70491909437896383</v>
      </c>
      <c r="AB150" s="12">
        <f>Table1[[#This Row],[Raw Terrestrial Score]]+Table1[[#This Row],[Raw Freshwater Score]]</f>
        <v>396.75394815206499</v>
      </c>
      <c r="AC150" s="14">
        <f>Table1[[#This Row],[Terrestrial % of Summed Score]]*Table1[[#This Row],[Scaled Summed Score]]</f>
        <v>1.8258584905646663E-2</v>
      </c>
      <c r="AD150" s="14">
        <f>Table1[[#This Row],[Freshwater % of Summed Score]]*Table1[[#This Row],[Scaled Summed Score]]</f>
        <v>4.3617953216056236E-2</v>
      </c>
      <c r="AE150" s="14">
        <f>Table1[[#This Row],[Summed Raw Scores]]/MAX(Table1[Summed Raw Scores])</f>
        <v>6.1876538121702893E-2</v>
      </c>
      <c r="AF150" s="9"/>
    </row>
    <row r="151" spans="1:32" x14ac:dyDescent="0.3">
      <c r="A151" s="7" t="s">
        <v>320</v>
      </c>
      <c r="B151" s="7" t="s">
        <v>58</v>
      </c>
      <c r="C151" s="7" t="s">
        <v>30</v>
      </c>
      <c r="D151" s="7"/>
      <c r="E151" s="15">
        <v>54.05108087</v>
      </c>
      <c r="F151" s="15">
        <v>-124.93800090000001</v>
      </c>
      <c r="G151" s="15">
        <v>41.671384619999998</v>
      </c>
      <c r="H151" s="7" t="s">
        <v>22</v>
      </c>
      <c r="I151" s="7" t="s">
        <v>22</v>
      </c>
      <c r="J151" s="15">
        <v>66.293952809999993</v>
      </c>
      <c r="K151" s="15">
        <v>131.9197762</v>
      </c>
      <c r="L151" s="8" t="s">
        <v>22</v>
      </c>
      <c r="M151" s="15">
        <v>0.6</v>
      </c>
      <c r="N151" s="15">
        <v>6.2</v>
      </c>
      <c r="O151" s="8">
        <f>Table1[[#This Row],[R1 Length (km)]]+Table1[[#This Row],[T1 Length (km)]]</f>
        <v>6.8</v>
      </c>
      <c r="P151" s="5">
        <v>69</v>
      </c>
      <c r="Q151" s="8">
        <f>(Table1[[#This Row],[Linear Features (km)]]*0.4)*100</f>
        <v>272</v>
      </c>
      <c r="R151" s="15">
        <v>169.29</v>
      </c>
      <c r="S151" s="10">
        <f>Table1[[#This Row],[ATG (ha)]]/Table1[[#This Row],[Linear Area (ha)]]</f>
        <v>0.62238970588235287</v>
      </c>
      <c r="T151" s="11" t="s">
        <v>22</v>
      </c>
      <c r="U151" s="11" t="s">
        <v>22</v>
      </c>
      <c r="V151" s="15">
        <v>169.29</v>
      </c>
      <c r="W151" s="15">
        <v>67.715999999999994</v>
      </c>
      <c r="X151" s="13">
        <v>151.24120491743099</v>
      </c>
      <c r="Y151" s="12">
        <f>Table1[[#This Row],[Raw Terrestrial Score]]/Table1[[#This Row],[Summed Raw Scores]]</f>
        <v>0.37619571721962652</v>
      </c>
      <c r="Z151" s="13">
        <v>250.78677678108201</v>
      </c>
      <c r="AA151" s="12">
        <f>Table1[[#This Row],[Raw Freshwater Score]]/Table1[[#This Row],[Summed Raw Scores]]</f>
        <v>0.62380428278037336</v>
      </c>
      <c r="AB151" s="12">
        <f>Table1[[#This Row],[Raw Terrestrial Score]]+Table1[[#This Row],[Raw Freshwater Score]]</f>
        <v>402.02798169851303</v>
      </c>
      <c r="AC151" s="14">
        <f>Table1[[#This Row],[Terrestrial % of Summed Score]]*Table1[[#This Row],[Scaled Summed Score]]</f>
        <v>2.3587117973830278E-2</v>
      </c>
      <c r="AD151" s="14">
        <f>Table1[[#This Row],[Freshwater % of Summed Score]]*Table1[[#This Row],[Scaled Summed Score]]</f>
        <v>3.9111942366774025E-2</v>
      </c>
      <c r="AE151" s="14">
        <f>Table1[[#This Row],[Summed Raw Scores]]/MAX(Table1[Summed Raw Scores])</f>
        <v>6.269906034060431E-2</v>
      </c>
      <c r="AF151" s="9"/>
    </row>
    <row r="152" spans="1:32" x14ac:dyDescent="0.3">
      <c r="A152" s="7" t="s">
        <v>307</v>
      </c>
      <c r="B152" s="7" t="s">
        <v>58</v>
      </c>
      <c r="C152" s="7" t="s">
        <v>30</v>
      </c>
      <c r="D152" s="7"/>
      <c r="E152" s="15">
        <v>54.12836059</v>
      </c>
      <c r="F152" s="15">
        <v>-124.7907251</v>
      </c>
      <c r="G152" s="15">
        <v>51.84</v>
      </c>
      <c r="H152" s="7" t="s">
        <v>22</v>
      </c>
      <c r="I152" s="7" t="s">
        <v>22</v>
      </c>
      <c r="J152" s="15">
        <v>83.822115069999995</v>
      </c>
      <c r="K152" s="15">
        <v>129.70126819999999</v>
      </c>
      <c r="L152" s="8" t="s">
        <v>22</v>
      </c>
      <c r="M152" s="15">
        <v>0</v>
      </c>
      <c r="N152" s="15">
        <v>15.1</v>
      </c>
      <c r="O152" s="8">
        <f>Table1[[#This Row],[R1 Length (km)]]+Table1[[#This Row],[T1 Length (km)]]</f>
        <v>15.1</v>
      </c>
      <c r="P152" s="5">
        <v>69</v>
      </c>
      <c r="Q152" s="8">
        <f>(Table1[[#This Row],[Linear Features (km)]]*0.4)*100</f>
        <v>604</v>
      </c>
      <c r="R152" s="15">
        <v>210.6</v>
      </c>
      <c r="S152" s="10">
        <f>Table1[[#This Row],[ATG (ha)]]/Table1[[#This Row],[Linear Area (ha)]]</f>
        <v>0.3486754966887417</v>
      </c>
      <c r="T152" s="11" t="s">
        <v>22</v>
      </c>
      <c r="U152" s="11" t="s">
        <v>22</v>
      </c>
      <c r="V152" s="15">
        <v>210.6</v>
      </c>
      <c r="W152" s="15">
        <v>84.24</v>
      </c>
      <c r="X152" s="13">
        <v>100.870361864567</v>
      </c>
      <c r="Y152" s="12">
        <f>Table1[[#This Row],[Raw Terrestrial Score]]/Table1[[#This Row],[Summed Raw Scores]]</f>
        <v>0.39842949982616405</v>
      </c>
      <c r="Z152" s="13">
        <v>152.29955127835299</v>
      </c>
      <c r="AA152" s="12">
        <f>Table1[[#This Row],[Raw Freshwater Score]]/Table1[[#This Row],[Summed Raw Scores]]</f>
        <v>0.60157050017383595</v>
      </c>
      <c r="AB152" s="12">
        <f>Table1[[#This Row],[Raw Terrestrial Score]]+Table1[[#This Row],[Raw Freshwater Score]]</f>
        <v>253.16991314292</v>
      </c>
      <c r="AC152" s="14">
        <f>Table1[[#This Row],[Terrestrial % of Summed Score]]*Table1[[#This Row],[Scaled Summed Score]]</f>
        <v>1.573143460911609E-2</v>
      </c>
      <c r="AD152" s="14">
        <f>Table1[[#This Row],[Freshwater % of Summed Score]]*Table1[[#This Row],[Scaled Summed Score]]</f>
        <v>2.375217445090522E-2</v>
      </c>
      <c r="AE152" s="14">
        <f>Table1[[#This Row],[Summed Raw Scores]]/MAX(Table1[Summed Raw Scores])</f>
        <v>3.948360906002131E-2</v>
      </c>
      <c r="AF152" s="9"/>
    </row>
    <row r="153" spans="1:32" x14ac:dyDescent="0.3">
      <c r="A153" s="7" t="s">
        <v>311</v>
      </c>
      <c r="B153" s="7" t="s">
        <v>58</v>
      </c>
      <c r="C153" s="7" t="s">
        <v>59</v>
      </c>
      <c r="D153" s="7"/>
      <c r="E153" s="15">
        <v>54.116658860000001</v>
      </c>
      <c r="F153" s="15">
        <v>-122.9649916</v>
      </c>
      <c r="G153" s="15">
        <v>50.444307690000002</v>
      </c>
      <c r="H153" s="7" t="s">
        <v>22</v>
      </c>
      <c r="I153" s="7" t="s">
        <v>22</v>
      </c>
      <c r="J153" s="15">
        <v>81.337953279999994</v>
      </c>
      <c r="K153" s="15">
        <v>130.64257370000001</v>
      </c>
      <c r="L153" s="8" t="s">
        <v>22</v>
      </c>
      <c r="M153" s="15">
        <v>1.3</v>
      </c>
      <c r="N153" s="15">
        <v>15.9</v>
      </c>
      <c r="O153" s="8">
        <f>Table1[[#This Row],[R1 Length (km)]]+Table1[[#This Row],[T1 Length (km)]]</f>
        <v>17.2</v>
      </c>
      <c r="P153" s="5">
        <v>69</v>
      </c>
      <c r="Q153" s="8">
        <f>(Table1[[#This Row],[Linear Features (km)]]*0.4)*100</f>
        <v>688</v>
      </c>
      <c r="R153" s="15">
        <v>204.93</v>
      </c>
      <c r="S153" s="10">
        <f>Table1[[#This Row],[ATG (ha)]]/Table1[[#This Row],[Linear Area (ha)]]</f>
        <v>0.29786337209302327</v>
      </c>
      <c r="T153" s="11" t="s">
        <v>22</v>
      </c>
      <c r="U153" s="11" t="s">
        <v>22</v>
      </c>
      <c r="V153" s="15">
        <v>204.93</v>
      </c>
      <c r="W153" s="15">
        <v>81.971999999999994</v>
      </c>
      <c r="X153" s="13">
        <v>146.41091787442599</v>
      </c>
      <c r="Y153" s="12">
        <f>Table1[[#This Row],[Raw Terrestrial Score]]/Table1[[#This Row],[Summed Raw Scores]]</f>
        <v>0.3713348104945815</v>
      </c>
      <c r="Z153" s="13">
        <v>247.87185265123799</v>
      </c>
      <c r="AA153" s="12">
        <f>Table1[[#This Row],[Raw Freshwater Score]]/Table1[[#This Row],[Summed Raw Scores]]</f>
        <v>0.6286651895054185</v>
      </c>
      <c r="AB153" s="12">
        <f>Table1[[#This Row],[Raw Terrestrial Score]]+Table1[[#This Row],[Raw Freshwater Score]]</f>
        <v>394.28277052566398</v>
      </c>
      <c r="AC153" s="14">
        <f>Table1[[#This Row],[Terrestrial % of Summed Score]]*Table1[[#This Row],[Scaled Summed Score]]</f>
        <v>2.2833801108938706E-2</v>
      </c>
      <c r="AD153" s="14">
        <f>Table1[[#This Row],[Freshwater % of Summed Score]]*Table1[[#This Row],[Scaled Summed Score]]</f>
        <v>3.8657339671873965E-2</v>
      </c>
      <c r="AE153" s="14">
        <f>Table1[[#This Row],[Summed Raw Scores]]/MAX(Table1[Summed Raw Scores])</f>
        <v>6.1491140780812671E-2</v>
      </c>
      <c r="AF153" s="9"/>
    </row>
    <row r="154" spans="1:32" x14ac:dyDescent="0.3">
      <c r="A154" s="7" t="s">
        <v>282</v>
      </c>
      <c r="B154" s="7" t="s">
        <v>58</v>
      </c>
      <c r="C154" s="7" t="s">
        <v>59</v>
      </c>
      <c r="D154" s="7"/>
      <c r="E154" s="15">
        <v>54.054946289999997</v>
      </c>
      <c r="F154" s="15">
        <v>-123.0271485</v>
      </c>
      <c r="G154" s="15">
        <v>185.42769229999999</v>
      </c>
      <c r="H154" s="7" t="s">
        <v>22</v>
      </c>
      <c r="I154" s="7" t="s">
        <v>22</v>
      </c>
      <c r="J154" s="15">
        <v>301.61394189999999</v>
      </c>
      <c r="K154" s="15">
        <v>124.50190360000001</v>
      </c>
      <c r="L154" s="8" t="s">
        <v>22</v>
      </c>
      <c r="M154" s="15">
        <v>0.3</v>
      </c>
      <c r="N154" s="15">
        <v>32.200000000000003</v>
      </c>
      <c r="O154" s="8">
        <f>Table1[[#This Row],[R1 Length (km)]]+Table1[[#This Row],[T1 Length (km)]]</f>
        <v>32.5</v>
      </c>
      <c r="P154" s="5">
        <v>230</v>
      </c>
      <c r="Q154" s="8">
        <f>(Table1[[#This Row],[Linear Features (km)]]*0.4)*100</f>
        <v>1300</v>
      </c>
      <c r="R154" s="15">
        <v>753.3</v>
      </c>
      <c r="S154" s="10">
        <f>Table1[[#This Row],[ATG (ha)]]/Table1[[#This Row],[Linear Area (ha)]]</f>
        <v>0.57946153846153847</v>
      </c>
      <c r="T154" s="11" t="s">
        <v>22</v>
      </c>
      <c r="U154" s="11" t="s">
        <v>22</v>
      </c>
      <c r="V154" s="15">
        <v>753.3</v>
      </c>
      <c r="W154" s="15">
        <v>301.32</v>
      </c>
      <c r="X154" s="13">
        <v>227.671055674553</v>
      </c>
      <c r="Y154" s="12">
        <f>Table1[[#This Row],[Raw Terrestrial Score]]/Table1[[#This Row],[Summed Raw Scores]]</f>
        <v>0.50088425480077459</v>
      </c>
      <c r="Z154" s="13">
        <v>226.86720040440599</v>
      </c>
      <c r="AA154" s="12">
        <f>Table1[[#This Row],[Raw Freshwater Score]]/Table1[[#This Row],[Summed Raw Scores]]</f>
        <v>0.49911574519922547</v>
      </c>
      <c r="AB154" s="12">
        <f>Table1[[#This Row],[Raw Terrestrial Score]]+Table1[[#This Row],[Raw Freshwater Score]]</f>
        <v>454.53825607895897</v>
      </c>
      <c r="AC154" s="14">
        <f>Table1[[#This Row],[Terrestrial % of Summed Score]]*Table1[[#This Row],[Scaled Summed Score]]</f>
        <v>3.5506884862190377E-2</v>
      </c>
      <c r="AD154" s="14">
        <f>Table1[[#This Row],[Freshwater % of Summed Score]]*Table1[[#This Row],[Scaled Summed Score]]</f>
        <v>3.5381518041017572E-2</v>
      </c>
      <c r="AE154" s="14">
        <f>Table1[[#This Row],[Summed Raw Scores]]/MAX(Table1[Summed Raw Scores])</f>
        <v>7.0888402903207942E-2</v>
      </c>
      <c r="AF154" s="9"/>
    </row>
    <row r="155" spans="1:32" x14ac:dyDescent="0.3">
      <c r="A155" s="7" t="s">
        <v>283</v>
      </c>
      <c r="B155" s="7" t="s">
        <v>58</v>
      </c>
      <c r="C155" s="7" t="s">
        <v>59</v>
      </c>
      <c r="D155" s="7"/>
      <c r="E155" s="15">
        <v>54.068912679999997</v>
      </c>
      <c r="F155" s="15">
        <v>-122.9393031</v>
      </c>
      <c r="G155" s="15">
        <v>110.2596923</v>
      </c>
      <c r="H155" s="7" t="s">
        <v>22</v>
      </c>
      <c r="I155" s="7" t="s">
        <v>22</v>
      </c>
      <c r="J155" s="15">
        <v>177.839686</v>
      </c>
      <c r="K155" s="15">
        <v>124.6004799</v>
      </c>
      <c r="L155" s="8" t="s">
        <v>22</v>
      </c>
      <c r="M155" s="15">
        <v>2.1</v>
      </c>
      <c r="N155" s="15">
        <v>24.3</v>
      </c>
      <c r="O155" s="8">
        <f>Table1[[#This Row],[R1 Length (km)]]+Table1[[#This Row],[T1 Length (km)]]</f>
        <v>26.400000000000002</v>
      </c>
      <c r="P155" s="5">
        <v>130</v>
      </c>
      <c r="Q155" s="8">
        <f>(Table1[[#This Row],[Linear Features (km)]]*0.4)*100</f>
        <v>1056.0000000000002</v>
      </c>
      <c r="R155" s="15">
        <v>447.93</v>
      </c>
      <c r="S155" s="10">
        <f>Table1[[#This Row],[ATG (ha)]]/Table1[[#This Row],[Linear Area (ha)]]</f>
        <v>0.42417613636363627</v>
      </c>
      <c r="T155" s="11" t="s">
        <v>22</v>
      </c>
      <c r="U155" s="11" t="s">
        <v>22</v>
      </c>
      <c r="V155" s="15">
        <v>447.93</v>
      </c>
      <c r="W155" s="15">
        <v>179.172</v>
      </c>
      <c r="X155" s="13">
        <v>274.45553547143902</v>
      </c>
      <c r="Y155" s="12">
        <f>Table1[[#This Row],[Raw Terrestrial Score]]/Table1[[#This Row],[Summed Raw Scores]]</f>
        <v>0.41340831547823659</v>
      </c>
      <c r="Z155" s="13">
        <v>389.42935797572102</v>
      </c>
      <c r="AA155" s="12">
        <f>Table1[[#This Row],[Raw Freshwater Score]]/Table1[[#This Row],[Summed Raw Scores]]</f>
        <v>0.58659168452176336</v>
      </c>
      <c r="AB155" s="12">
        <f>Table1[[#This Row],[Raw Terrestrial Score]]+Table1[[#This Row],[Raw Freshwater Score]]</f>
        <v>663.88489344716004</v>
      </c>
      <c r="AC155" s="14">
        <f>Table1[[#This Row],[Terrestrial % of Summed Score]]*Table1[[#This Row],[Scaled Summed Score]]</f>
        <v>4.2803249929606248E-2</v>
      </c>
      <c r="AD155" s="14">
        <f>Table1[[#This Row],[Freshwater % of Summed Score]]*Table1[[#This Row],[Scaled Summed Score]]</f>
        <v>6.0734217332248028E-2</v>
      </c>
      <c r="AE155" s="14">
        <f>Table1[[#This Row],[Summed Raw Scores]]/MAX(Table1[Summed Raw Scores])</f>
        <v>0.10353746726185428</v>
      </c>
      <c r="AF155" s="9"/>
    </row>
    <row r="156" spans="1:32" x14ac:dyDescent="0.3">
      <c r="A156" s="7" t="s">
        <v>265</v>
      </c>
      <c r="B156" s="7" t="s">
        <v>58</v>
      </c>
      <c r="C156" s="7" t="s">
        <v>59</v>
      </c>
      <c r="D156" s="7"/>
      <c r="E156" s="15">
        <v>54.13059775</v>
      </c>
      <c r="F156" s="15">
        <v>-122.87702400000001</v>
      </c>
      <c r="G156" s="15">
        <v>135.7809231</v>
      </c>
      <c r="H156" s="7" t="s">
        <v>22</v>
      </c>
      <c r="I156" s="7" t="s">
        <v>22</v>
      </c>
      <c r="J156" s="15">
        <v>215.1798311</v>
      </c>
      <c r="K156" s="15">
        <v>121.23780170000001</v>
      </c>
      <c r="L156" s="8" t="s">
        <v>22</v>
      </c>
      <c r="M156" s="15">
        <v>1.6</v>
      </c>
      <c r="N156" s="15">
        <v>17.5</v>
      </c>
      <c r="O156" s="8">
        <f>Table1[[#This Row],[R1 Length (km)]]+Table1[[#This Row],[T1 Length (km)]]</f>
        <v>19.100000000000001</v>
      </c>
      <c r="P156" s="5">
        <v>130</v>
      </c>
      <c r="Q156" s="8">
        <f>(Table1[[#This Row],[Linear Features (km)]]*0.4)*100</f>
        <v>764</v>
      </c>
      <c r="R156" s="15">
        <v>551.61</v>
      </c>
      <c r="S156" s="10">
        <f>Table1[[#This Row],[ATG (ha)]]/Table1[[#This Row],[Linear Area (ha)]]</f>
        <v>0.72200261780104713</v>
      </c>
      <c r="T156" s="11" t="s">
        <v>22</v>
      </c>
      <c r="U156" s="11" t="s">
        <v>22</v>
      </c>
      <c r="V156" s="15">
        <v>551.61</v>
      </c>
      <c r="W156" s="15">
        <v>220.64400000000001</v>
      </c>
      <c r="X156" s="13">
        <v>301.171899169683</v>
      </c>
      <c r="Y156" s="12">
        <f>Table1[[#This Row],[Raw Terrestrial Score]]/Table1[[#This Row],[Summed Raw Scores]]</f>
        <v>0.58299107154651775</v>
      </c>
      <c r="Z156" s="13">
        <v>215.425890862942</v>
      </c>
      <c r="AA156" s="12">
        <f>Table1[[#This Row],[Raw Freshwater Score]]/Table1[[#This Row],[Summed Raw Scores]]</f>
        <v>0.41700892845348236</v>
      </c>
      <c r="AB156" s="12">
        <f>Table1[[#This Row],[Raw Terrestrial Score]]+Table1[[#This Row],[Raw Freshwater Score]]</f>
        <v>516.59779003262497</v>
      </c>
      <c r="AC156" s="14">
        <f>Table1[[#This Row],[Terrestrial % of Summed Score]]*Table1[[#This Row],[Scaled Summed Score]]</f>
        <v>4.6969852693226587E-2</v>
      </c>
      <c r="AD156" s="14">
        <f>Table1[[#This Row],[Freshwater % of Summed Score]]*Table1[[#This Row],[Scaled Summed Score]]</f>
        <v>3.3597166229770409E-2</v>
      </c>
      <c r="AE156" s="14">
        <f>Table1[[#This Row],[Summed Raw Scores]]/MAX(Table1[Summed Raw Scores])</f>
        <v>8.0567018922996989E-2</v>
      </c>
      <c r="AF156" s="9"/>
    </row>
    <row r="157" spans="1:32" x14ac:dyDescent="0.3">
      <c r="A157" s="7" t="s">
        <v>57</v>
      </c>
      <c r="B157" s="7" t="s">
        <v>58</v>
      </c>
      <c r="C157" s="7" t="s">
        <v>59</v>
      </c>
      <c r="D157" s="7"/>
      <c r="E157" s="8">
        <v>54.144493179999998</v>
      </c>
      <c r="F157" s="8">
        <v>-122.7890088</v>
      </c>
      <c r="G157" s="8">
        <v>215.933538462</v>
      </c>
      <c r="H157" s="8" t="s">
        <v>22</v>
      </c>
      <c r="I157" s="8" t="s">
        <v>22</v>
      </c>
      <c r="J157" s="8">
        <v>341.24863688479297</v>
      </c>
      <c r="K157" s="8">
        <v>102.9148728582885</v>
      </c>
      <c r="L157" s="8" t="s">
        <v>22</v>
      </c>
      <c r="M157" s="8">
        <v>0.6</v>
      </c>
      <c r="N157" s="8">
        <v>11.3</v>
      </c>
      <c r="O157" s="8">
        <f>Table1[[#This Row],[R1 Length (km)]]+Table1[[#This Row],[T1 Length (km)]]</f>
        <v>11.9</v>
      </c>
      <c r="P157" s="7">
        <v>230</v>
      </c>
      <c r="Q157" s="8">
        <f>(Table1[[#This Row],[Linear Features (km)]]*0.4)*100</f>
        <v>476.00000000000006</v>
      </c>
      <c r="R157" s="8">
        <v>720.9</v>
      </c>
      <c r="S157" s="21">
        <f>Table1[[#This Row],[ATG (ha)]]/Table1[[#This Row],[Linear Area (ha)]]</f>
        <v>1.5144957983193275</v>
      </c>
      <c r="T157" s="11" t="s">
        <v>22</v>
      </c>
      <c r="U157" s="11" t="s">
        <v>22</v>
      </c>
      <c r="V157" s="8">
        <v>720.9</v>
      </c>
      <c r="W157" s="8">
        <v>288.36</v>
      </c>
      <c r="X157" s="13">
        <v>218.734017252922</v>
      </c>
      <c r="Y157" s="12">
        <f>Table1[[#This Row],[Raw Terrestrial Score]]/Table1[[#This Row],[Summed Raw Scores]]</f>
        <v>0.65435679836408323</v>
      </c>
      <c r="Z157" s="13">
        <v>115.539299383759</v>
      </c>
      <c r="AA157" s="12">
        <f>Table1[[#This Row],[Raw Freshwater Score]]/Table1[[#This Row],[Summed Raw Scores]]</f>
        <v>0.34564320163591683</v>
      </c>
      <c r="AB157" s="12">
        <f>Table1[[#This Row],[Raw Terrestrial Score]]+Table1[[#This Row],[Raw Freshwater Score]]</f>
        <v>334.27331663668099</v>
      </c>
      <c r="AC157" s="14">
        <f>Table1[[#This Row],[Terrestrial % of Summed Score]]*Table1[[#This Row],[Scaled Summed Score]]</f>
        <v>3.4113091552339742E-2</v>
      </c>
      <c r="AD157" s="14">
        <f>Table1[[#This Row],[Freshwater % of Summed Score]]*Table1[[#This Row],[Scaled Summed Score]]</f>
        <v>1.8019157455577289E-2</v>
      </c>
      <c r="AE157" s="14">
        <f>Table1[[#This Row],[Summed Raw Scores]]/MAX(Table1[Summed Raw Scores])</f>
        <v>5.2132249007917027E-2</v>
      </c>
      <c r="AF157" s="9"/>
    </row>
    <row r="158" spans="1:32" x14ac:dyDescent="0.3">
      <c r="A158" s="7" t="s">
        <v>342</v>
      </c>
      <c r="B158" s="7" t="s">
        <v>58</v>
      </c>
      <c r="C158" s="7" t="s">
        <v>59</v>
      </c>
      <c r="D158" s="7"/>
      <c r="E158" s="15">
        <v>54.082835680000002</v>
      </c>
      <c r="F158" s="15">
        <v>-122.8514101</v>
      </c>
      <c r="G158" s="15">
        <v>34.493538460000003</v>
      </c>
      <c r="H158" s="7" t="s">
        <v>22</v>
      </c>
      <c r="I158" s="7" t="s">
        <v>22</v>
      </c>
      <c r="J158" s="15">
        <v>54.918278970000003</v>
      </c>
      <c r="K158" s="15">
        <v>138.5312735</v>
      </c>
      <c r="L158" s="8" t="s">
        <v>22</v>
      </c>
      <c r="M158" s="15">
        <v>0</v>
      </c>
      <c r="N158" s="15">
        <v>9.5</v>
      </c>
      <c r="O158" s="8">
        <f>Table1[[#This Row],[R1 Length (km)]]+Table1[[#This Row],[T1 Length (km)]]</f>
        <v>9.5</v>
      </c>
      <c r="P158" s="5">
        <v>69</v>
      </c>
      <c r="Q158" s="8">
        <f>(Table1[[#This Row],[Linear Features (km)]]*0.4)*100</f>
        <v>380</v>
      </c>
      <c r="R158" s="15">
        <v>140.13</v>
      </c>
      <c r="S158" s="10">
        <f>Table1[[#This Row],[ATG (ha)]]/Table1[[#This Row],[Linear Area (ha)]]</f>
        <v>0.36876315789473685</v>
      </c>
      <c r="T158" s="11" t="s">
        <v>22</v>
      </c>
      <c r="U158" s="11" t="s">
        <v>22</v>
      </c>
      <c r="V158" s="15">
        <v>140.13</v>
      </c>
      <c r="W158" s="15">
        <v>56.052</v>
      </c>
      <c r="X158" s="13">
        <v>124.566829685122</v>
      </c>
      <c r="Y158" s="12">
        <f>Table1[[#This Row],[Raw Terrestrial Score]]/Table1[[#This Row],[Summed Raw Scores]]</f>
        <v>0.55754679008531616</v>
      </c>
      <c r="Z158" s="13">
        <v>98.852678596973405</v>
      </c>
      <c r="AA158" s="12">
        <f>Table1[[#This Row],[Raw Freshwater Score]]/Table1[[#This Row],[Summed Raw Scores]]</f>
        <v>0.44245320991468384</v>
      </c>
      <c r="AB158" s="12">
        <f>Table1[[#This Row],[Raw Terrestrial Score]]+Table1[[#This Row],[Raw Freshwater Score]]</f>
        <v>223.41950828209542</v>
      </c>
      <c r="AC158" s="14">
        <f>Table1[[#This Row],[Terrestrial % of Summed Score]]*Table1[[#This Row],[Scaled Summed Score]]</f>
        <v>1.9427063603553472E-2</v>
      </c>
      <c r="AD158" s="14">
        <f>Table1[[#This Row],[Freshwater % of Summed Score]]*Table1[[#This Row],[Scaled Summed Score]]</f>
        <v>1.5416762868088005E-2</v>
      </c>
      <c r="AE158" s="14">
        <f>Table1[[#This Row],[Summed Raw Scores]]/MAX(Table1[Summed Raw Scores])</f>
        <v>3.4843826471641477E-2</v>
      </c>
      <c r="AF158" s="9"/>
    </row>
    <row r="159" spans="1:32" x14ac:dyDescent="0.3">
      <c r="A159" s="7" t="s">
        <v>271</v>
      </c>
      <c r="B159" s="7" t="s">
        <v>58</v>
      </c>
      <c r="C159" s="7" t="s">
        <v>59</v>
      </c>
      <c r="D159" s="7"/>
      <c r="E159" s="15">
        <v>54.096715250000003</v>
      </c>
      <c r="F159" s="15">
        <v>-122.7634697</v>
      </c>
      <c r="G159" s="15">
        <v>160.50461540000001</v>
      </c>
      <c r="H159" s="7" t="s">
        <v>22</v>
      </c>
      <c r="I159" s="7" t="s">
        <v>22</v>
      </c>
      <c r="J159" s="15">
        <v>253.24756149999999</v>
      </c>
      <c r="K159" s="15">
        <v>122.3110527</v>
      </c>
      <c r="L159" s="8" t="s">
        <v>22</v>
      </c>
      <c r="M159" s="15">
        <v>0</v>
      </c>
      <c r="N159" s="15">
        <v>11.4</v>
      </c>
      <c r="O159" s="8">
        <f>Table1[[#This Row],[R1 Length (km)]]+Table1[[#This Row],[T1 Length (km)]]</f>
        <v>11.4</v>
      </c>
      <c r="P159" s="5">
        <v>230</v>
      </c>
      <c r="Q159" s="8">
        <f>(Table1[[#This Row],[Linear Features (km)]]*0.4)*100</f>
        <v>456.00000000000006</v>
      </c>
      <c r="R159" s="15">
        <v>652.04999999999995</v>
      </c>
      <c r="S159" s="10">
        <f>Table1[[#This Row],[ATG (ha)]]/Table1[[#This Row],[Linear Area (ha)]]</f>
        <v>1.4299342105263155</v>
      </c>
      <c r="T159" s="11" t="s">
        <v>22</v>
      </c>
      <c r="U159" s="11" t="s">
        <v>22</v>
      </c>
      <c r="V159" s="15">
        <v>652.04999999999995</v>
      </c>
      <c r="W159" s="15">
        <v>260.82</v>
      </c>
      <c r="X159" s="13">
        <v>133.82855272293099</v>
      </c>
      <c r="Y159" s="12">
        <f>Table1[[#This Row],[Raw Terrestrial Score]]/Table1[[#This Row],[Summed Raw Scores]]</f>
        <v>0.62748636075831699</v>
      </c>
      <c r="Z159" s="13">
        <v>79.448677018284798</v>
      </c>
      <c r="AA159" s="12">
        <f>Table1[[#This Row],[Raw Freshwater Score]]/Table1[[#This Row],[Summed Raw Scores]]</f>
        <v>0.37251363924168296</v>
      </c>
      <c r="AB159" s="12">
        <f>Table1[[#This Row],[Raw Terrestrial Score]]+Table1[[#This Row],[Raw Freshwater Score]]</f>
        <v>213.27722974121579</v>
      </c>
      <c r="AC159" s="14">
        <f>Table1[[#This Row],[Terrestrial % of Summed Score]]*Table1[[#This Row],[Scaled Summed Score]]</f>
        <v>2.0871493737874388E-2</v>
      </c>
      <c r="AD159" s="14">
        <f>Table1[[#This Row],[Freshwater % of Summed Score]]*Table1[[#This Row],[Scaled Summed Score]]</f>
        <v>1.2390573843405301E-2</v>
      </c>
      <c r="AE159" s="14">
        <f>Table1[[#This Row],[Summed Raw Scores]]/MAX(Table1[Summed Raw Scores])</f>
        <v>3.326206758127969E-2</v>
      </c>
      <c r="AF159" s="9"/>
    </row>
    <row r="160" spans="1:32" x14ac:dyDescent="0.3">
      <c r="A160" s="7" t="s">
        <v>362</v>
      </c>
      <c r="B160" s="7" t="s">
        <v>58</v>
      </c>
      <c r="C160" s="7" t="s">
        <v>59</v>
      </c>
      <c r="D160" s="7"/>
      <c r="E160" s="15">
        <v>54.158345089999997</v>
      </c>
      <c r="F160" s="15">
        <v>-122.7009462</v>
      </c>
      <c r="G160" s="15">
        <v>15.15323077</v>
      </c>
      <c r="H160" s="7" t="s">
        <v>22</v>
      </c>
      <c r="I160" s="7" t="s">
        <v>22</v>
      </c>
      <c r="J160" s="15">
        <v>23.698995740000001</v>
      </c>
      <c r="K160" s="15">
        <v>144.9523906</v>
      </c>
      <c r="L160" s="8" t="s">
        <v>22</v>
      </c>
      <c r="M160" s="15">
        <v>1.6</v>
      </c>
      <c r="N160" s="15">
        <v>5.9</v>
      </c>
      <c r="O160" s="8">
        <f>Table1[[#This Row],[R1 Length (km)]]+Table1[[#This Row],[T1 Length (km)]]</f>
        <v>7.5</v>
      </c>
      <c r="P160" s="5">
        <v>25</v>
      </c>
      <c r="Q160" s="8">
        <f>(Table1[[#This Row],[Linear Features (km)]]*0.4)*100</f>
        <v>300</v>
      </c>
      <c r="R160" s="15">
        <v>61.56</v>
      </c>
      <c r="S160" s="10">
        <f>Table1[[#This Row],[ATG (ha)]]/Table1[[#This Row],[Linear Area (ha)]]</f>
        <v>0.20520000000000002</v>
      </c>
      <c r="T160" s="11" t="s">
        <v>22</v>
      </c>
      <c r="U160" s="11" t="s">
        <v>22</v>
      </c>
      <c r="V160" s="15">
        <v>61.56</v>
      </c>
      <c r="W160" s="15">
        <v>24.623999999999999</v>
      </c>
      <c r="X160" s="13">
        <v>88.749421536922497</v>
      </c>
      <c r="Y160" s="12">
        <f>Table1[[#This Row],[Raw Terrestrial Score]]/Table1[[#This Row],[Summed Raw Scores]]</f>
        <v>0.33458924217393626</v>
      </c>
      <c r="Z160" s="13">
        <v>176.49945783615101</v>
      </c>
      <c r="AA160" s="12">
        <f>Table1[[#This Row],[Raw Freshwater Score]]/Table1[[#This Row],[Summed Raw Scores]]</f>
        <v>0.66541075782606374</v>
      </c>
      <c r="AB160" s="12">
        <f>Table1[[#This Row],[Raw Terrestrial Score]]+Table1[[#This Row],[Raw Freshwater Score]]</f>
        <v>265.24887937307352</v>
      </c>
      <c r="AC160" s="14">
        <f>Table1[[#This Row],[Terrestrial % of Summed Score]]*Table1[[#This Row],[Scaled Summed Score]]</f>
        <v>1.3841089649103428E-2</v>
      </c>
      <c r="AD160" s="14">
        <f>Table1[[#This Row],[Freshwater % of Summed Score]]*Table1[[#This Row],[Scaled Summed Score]]</f>
        <v>2.7526318218445808E-2</v>
      </c>
      <c r="AE160" s="14">
        <f>Table1[[#This Row],[Summed Raw Scores]]/MAX(Table1[Summed Raw Scores])</f>
        <v>4.1367407867549236E-2</v>
      </c>
      <c r="AF160" s="9"/>
    </row>
    <row r="161" spans="1:32" x14ac:dyDescent="0.3">
      <c r="A161" s="7" t="s">
        <v>60</v>
      </c>
      <c r="B161" s="7" t="s">
        <v>58</v>
      </c>
      <c r="C161" s="7" t="s">
        <v>59</v>
      </c>
      <c r="D161" s="7"/>
      <c r="E161" s="8">
        <v>54.110551350000001</v>
      </c>
      <c r="F161" s="8">
        <v>-122.67548189999999</v>
      </c>
      <c r="G161" s="8">
        <v>139.569230769</v>
      </c>
      <c r="H161" s="8" t="s">
        <v>22</v>
      </c>
      <c r="I161" s="8" t="s">
        <v>22</v>
      </c>
      <c r="J161" s="8">
        <v>218.33480922059522</v>
      </c>
      <c r="K161" s="8">
        <v>103.50424852725466</v>
      </c>
      <c r="L161" s="8" t="s">
        <v>22</v>
      </c>
      <c r="M161" s="8">
        <v>0.8</v>
      </c>
      <c r="N161" s="8">
        <v>5.3</v>
      </c>
      <c r="O161" s="8">
        <f>Table1[[#This Row],[R1 Length (km)]]+Table1[[#This Row],[T1 Length (km)]]</f>
        <v>6.1</v>
      </c>
      <c r="P161" s="7">
        <v>130</v>
      </c>
      <c r="Q161" s="8">
        <f>(Table1[[#This Row],[Linear Features (km)]]*0.4)*100</f>
        <v>244</v>
      </c>
      <c r="R161" s="8">
        <v>490.86</v>
      </c>
      <c r="S161" s="21">
        <f>Table1[[#This Row],[ATG (ha)]]/Table1[[#This Row],[Linear Area (ha)]]</f>
        <v>2.01172131147541</v>
      </c>
      <c r="T161" s="11" t="s">
        <v>22</v>
      </c>
      <c r="U161" s="11" t="s">
        <v>22</v>
      </c>
      <c r="V161" s="8">
        <v>490.86</v>
      </c>
      <c r="W161" s="8">
        <v>196.34400000000002</v>
      </c>
      <c r="X161" s="13">
        <v>169.815090835094</v>
      </c>
      <c r="Y161" s="12">
        <f>Table1[[#This Row],[Raw Terrestrial Score]]/Table1[[#This Row],[Summed Raw Scores]]</f>
        <v>0.4625813440300709</v>
      </c>
      <c r="Z161" s="13">
        <v>197.28810739517201</v>
      </c>
      <c r="AA161" s="12">
        <f>Table1[[#This Row],[Raw Freshwater Score]]/Table1[[#This Row],[Summed Raw Scores]]</f>
        <v>0.5374186559699291</v>
      </c>
      <c r="AB161" s="12">
        <f>Table1[[#This Row],[Raw Terrestrial Score]]+Table1[[#This Row],[Raw Freshwater Score]]</f>
        <v>367.103198230266</v>
      </c>
      <c r="AC161" s="14">
        <f>Table1[[#This Row],[Terrestrial % of Summed Score]]*Table1[[#This Row],[Scaled Summed Score]]</f>
        <v>2.6483844686709626E-2</v>
      </c>
      <c r="AD161" s="14">
        <f>Table1[[#This Row],[Freshwater % of Summed Score]]*Table1[[#This Row],[Scaled Summed Score]]</f>
        <v>3.0768452727576064E-2</v>
      </c>
      <c r="AE161" s="14">
        <f>Table1[[#This Row],[Summed Raw Scores]]/MAX(Table1[Summed Raw Scores])</f>
        <v>5.725229741428569E-2</v>
      </c>
      <c r="AF161" s="9"/>
    </row>
    <row r="162" spans="1:32" x14ac:dyDescent="0.3">
      <c r="A162" s="7" t="s">
        <v>355</v>
      </c>
      <c r="B162" s="7" t="s">
        <v>58</v>
      </c>
      <c r="C162" s="7" t="s">
        <v>30</v>
      </c>
      <c r="D162" s="7"/>
      <c r="E162" s="15">
        <v>53.922611259999996</v>
      </c>
      <c r="F162" s="15">
        <v>-123.52705659999999</v>
      </c>
      <c r="G162" s="15">
        <v>84.738461540000003</v>
      </c>
      <c r="H162" s="7" t="s">
        <v>22</v>
      </c>
      <c r="I162" s="7" t="s">
        <v>22</v>
      </c>
      <c r="J162" s="15">
        <v>144.4680716</v>
      </c>
      <c r="K162" s="15">
        <v>141.7454127</v>
      </c>
      <c r="L162" s="8" t="s">
        <v>22</v>
      </c>
      <c r="M162" s="15">
        <v>0.7</v>
      </c>
      <c r="N162" s="15">
        <v>40.200000000000003</v>
      </c>
      <c r="O162" s="8">
        <f>Table1[[#This Row],[R1 Length (km)]]+Table1[[#This Row],[T1 Length (km)]]</f>
        <v>40.900000000000006</v>
      </c>
      <c r="P162" s="5">
        <v>230</v>
      </c>
      <c r="Q162" s="8">
        <f>(Table1[[#This Row],[Linear Features (km)]]*0.4)*100</f>
        <v>1636.0000000000002</v>
      </c>
      <c r="R162" s="15">
        <v>344.25</v>
      </c>
      <c r="S162" s="10">
        <f>Table1[[#This Row],[ATG (ha)]]/Table1[[#This Row],[Linear Area (ha)]]</f>
        <v>0.210421760391198</v>
      </c>
      <c r="T162" s="11" t="s">
        <v>22</v>
      </c>
      <c r="U162" s="11" t="s">
        <v>22</v>
      </c>
      <c r="V162" s="15">
        <v>344.25</v>
      </c>
      <c r="W162" s="15">
        <v>137.69999999999999</v>
      </c>
      <c r="X162" s="13">
        <v>259.81341472640599</v>
      </c>
      <c r="Y162" s="12">
        <f>Table1[[#This Row],[Raw Terrestrial Score]]/Table1[[#This Row],[Summed Raw Scores]]</f>
        <v>0.3719363138564214</v>
      </c>
      <c r="Z162" s="13">
        <v>438.72933317720901</v>
      </c>
      <c r="AA162" s="12">
        <f>Table1[[#This Row],[Raw Freshwater Score]]/Table1[[#This Row],[Summed Raw Scores]]</f>
        <v>0.62806368614357866</v>
      </c>
      <c r="AB162" s="12">
        <f>Table1[[#This Row],[Raw Terrestrial Score]]+Table1[[#This Row],[Raw Freshwater Score]]</f>
        <v>698.54274790361501</v>
      </c>
      <c r="AC162" s="14">
        <f>Table1[[#This Row],[Terrestrial % of Summed Score]]*Table1[[#This Row],[Scaled Summed Score]]</f>
        <v>4.05197093456185E-2</v>
      </c>
      <c r="AD162" s="14">
        <f>Table1[[#This Row],[Freshwater % of Summed Score]]*Table1[[#This Row],[Scaled Summed Score]]</f>
        <v>6.8422891406348746E-2</v>
      </c>
      <c r="AE162" s="14">
        <f>Table1[[#This Row],[Summed Raw Scores]]/MAX(Table1[Summed Raw Scores])</f>
        <v>0.10894260075196724</v>
      </c>
      <c r="AF162" s="9"/>
    </row>
    <row r="163" spans="1:32" x14ac:dyDescent="0.3">
      <c r="A163" s="7" t="s">
        <v>284</v>
      </c>
      <c r="B163" s="7" t="s">
        <v>58</v>
      </c>
      <c r="C163" s="7" t="s">
        <v>59</v>
      </c>
      <c r="D163" s="7"/>
      <c r="E163" s="15">
        <v>53.889182990000002</v>
      </c>
      <c r="F163" s="15">
        <v>-123.41353549999999</v>
      </c>
      <c r="G163" s="15">
        <v>138.77169230000001</v>
      </c>
      <c r="H163" s="7" t="s">
        <v>22</v>
      </c>
      <c r="I163" s="7" t="s">
        <v>22</v>
      </c>
      <c r="J163" s="15">
        <v>235.85113240000001</v>
      </c>
      <c r="K163" s="15">
        <v>124.791265</v>
      </c>
      <c r="L163" s="8" t="s">
        <v>22</v>
      </c>
      <c r="M163" s="15">
        <v>0.3</v>
      </c>
      <c r="N163" s="15">
        <v>66.099999999999994</v>
      </c>
      <c r="O163" s="8">
        <f>Table1[[#This Row],[R1 Length (km)]]+Table1[[#This Row],[T1 Length (km)]]</f>
        <v>66.399999999999991</v>
      </c>
      <c r="P163" s="5">
        <v>130</v>
      </c>
      <c r="Q163" s="8">
        <f>(Table1[[#This Row],[Linear Features (km)]]*0.4)*100</f>
        <v>2656</v>
      </c>
      <c r="R163" s="15">
        <v>563.76</v>
      </c>
      <c r="S163" s="10">
        <f>Table1[[#This Row],[ATG (ha)]]/Table1[[#This Row],[Linear Area (ha)]]</f>
        <v>0.21225903614457831</v>
      </c>
      <c r="T163" s="11" t="s">
        <v>22</v>
      </c>
      <c r="U163" s="11" t="s">
        <v>22</v>
      </c>
      <c r="V163" s="15">
        <v>563.76</v>
      </c>
      <c r="W163" s="15">
        <v>225.50399999999999</v>
      </c>
      <c r="X163" s="13">
        <v>510.30040901526797</v>
      </c>
      <c r="Y163" s="12">
        <f>Table1[[#This Row],[Raw Terrestrial Score]]/Table1[[#This Row],[Summed Raw Scores]]</f>
        <v>0.5019601004288391</v>
      </c>
      <c r="Z163" s="13">
        <v>506.31507213413698</v>
      </c>
      <c r="AA163" s="12">
        <f>Table1[[#This Row],[Raw Freshwater Score]]/Table1[[#This Row],[Summed Raw Scores]]</f>
        <v>0.49803989957116079</v>
      </c>
      <c r="AB163" s="12">
        <f>Table1[[#This Row],[Raw Terrestrial Score]]+Table1[[#This Row],[Raw Freshwater Score]]</f>
        <v>1016.615481149405</v>
      </c>
      <c r="AC163" s="14">
        <f>Table1[[#This Row],[Terrestrial % of Summed Score]]*Table1[[#This Row],[Scaled Summed Score]]</f>
        <v>7.9584898547378102E-2</v>
      </c>
      <c r="AD163" s="14">
        <f>Table1[[#This Row],[Freshwater % of Summed Score]]*Table1[[#This Row],[Scaled Summed Score]]</f>
        <v>7.8963357537889231E-2</v>
      </c>
      <c r="AE163" s="14">
        <f>Table1[[#This Row],[Summed Raw Scores]]/MAX(Table1[Summed Raw Scores])</f>
        <v>0.15854825608526735</v>
      </c>
      <c r="AF163" s="8"/>
    </row>
    <row r="164" spans="1:32" x14ac:dyDescent="0.3">
      <c r="A164" s="7" t="s">
        <v>314</v>
      </c>
      <c r="B164" s="7" t="s">
        <v>58</v>
      </c>
      <c r="C164" s="7" t="s">
        <v>59</v>
      </c>
      <c r="D164" s="7"/>
      <c r="E164" s="15">
        <v>53.979191440000001</v>
      </c>
      <c r="F164" s="15">
        <v>-123.1768324</v>
      </c>
      <c r="G164" s="15">
        <v>43.864615379999996</v>
      </c>
      <c r="H164" s="7" t="s">
        <v>22</v>
      </c>
      <c r="I164" s="7" t="s">
        <v>22</v>
      </c>
      <c r="J164" s="15">
        <v>71.841782730000006</v>
      </c>
      <c r="K164" s="15">
        <v>130.98511629999999</v>
      </c>
      <c r="L164" s="8" t="s">
        <v>22</v>
      </c>
      <c r="M164" s="15">
        <v>1.2</v>
      </c>
      <c r="N164" s="15">
        <v>15.3</v>
      </c>
      <c r="O164" s="8">
        <f>Table1[[#This Row],[R1 Length (km)]]+Table1[[#This Row],[T1 Length (km)]]</f>
        <v>16.5</v>
      </c>
      <c r="P164" s="5">
        <v>69</v>
      </c>
      <c r="Q164" s="8">
        <f>(Table1[[#This Row],[Linear Features (km)]]*0.4)*100</f>
        <v>660</v>
      </c>
      <c r="R164" s="15">
        <v>178.2</v>
      </c>
      <c r="S164" s="10">
        <f>Table1[[#This Row],[ATG (ha)]]/Table1[[#This Row],[Linear Area (ha)]]</f>
        <v>0.26999999999999996</v>
      </c>
      <c r="T164" s="11" t="s">
        <v>22</v>
      </c>
      <c r="U164" s="11" t="s">
        <v>22</v>
      </c>
      <c r="V164" s="15">
        <v>178.2</v>
      </c>
      <c r="W164" s="15">
        <v>71.28</v>
      </c>
      <c r="X164" s="13">
        <v>99.115179389715195</v>
      </c>
      <c r="Y164" s="12">
        <f>Table1[[#This Row],[Raw Terrestrial Score]]/Table1[[#This Row],[Summed Raw Scores]]</f>
        <v>0.3359253430916021</v>
      </c>
      <c r="Z164" s="13">
        <v>195.93603192269799</v>
      </c>
      <c r="AA164" s="12">
        <f>Table1[[#This Row],[Raw Freshwater Score]]/Table1[[#This Row],[Summed Raw Scores]]</f>
        <v>0.66407465690839784</v>
      </c>
      <c r="AB164" s="12">
        <f>Table1[[#This Row],[Raw Terrestrial Score]]+Table1[[#This Row],[Raw Freshwater Score]]</f>
        <v>295.05121131241322</v>
      </c>
      <c r="AC164" s="14">
        <f>Table1[[#This Row],[Terrestrial % of Summed Score]]*Table1[[#This Row],[Scaled Summed Score]]</f>
        <v>1.5457701692729113E-2</v>
      </c>
      <c r="AD164" s="14">
        <f>Table1[[#This Row],[Freshwater % of Summed Score]]*Table1[[#This Row],[Scaled Summed Score]]</f>
        <v>3.0557587152310529E-2</v>
      </c>
      <c r="AE164" s="14">
        <f>Table1[[#This Row],[Summed Raw Scores]]/MAX(Table1[Summed Raw Scores])</f>
        <v>4.6015288845039644E-2</v>
      </c>
      <c r="AF164" s="8"/>
    </row>
    <row r="165" spans="1:32" x14ac:dyDescent="0.3">
      <c r="A165" s="7" t="s">
        <v>341</v>
      </c>
      <c r="B165" s="7" t="s">
        <v>58</v>
      </c>
      <c r="C165" s="7" t="s">
        <v>59</v>
      </c>
      <c r="D165" s="7"/>
      <c r="E165" s="15">
        <v>53.993228530000003</v>
      </c>
      <c r="F165" s="15">
        <v>-123.0891566</v>
      </c>
      <c r="G165" s="15">
        <v>79.953230770000005</v>
      </c>
      <c r="H165" s="7" t="s">
        <v>22</v>
      </c>
      <c r="I165" s="7" t="s">
        <v>22</v>
      </c>
      <c r="J165" s="15">
        <v>128.9363008</v>
      </c>
      <c r="K165" s="15">
        <v>138.50678049999999</v>
      </c>
      <c r="L165" s="8" t="s">
        <v>22</v>
      </c>
      <c r="M165" s="15">
        <v>0.3</v>
      </c>
      <c r="N165" s="15">
        <v>39.700000000000003</v>
      </c>
      <c r="O165" s="8">
        <f>Table1[[#This Row],[R1 Length (km)]]+Table1[[#This Row],[T1 Length (km)]]</f>
        <v>40</v>
      </c>
      <c r="P165" s="5">
        <v>130</v>
      </c>
      <c r="Q165" s="8">
        <f>(Table1[[#This Row],[Linear Features (km)]]*0.4)*100</f>
        <v>1600</v>
      </c>
      <c r="R165" s="15">
        <v>324.81</v>
      </c>
      <c r="S165" s="10">
        <f>Table1[[#This Row],[ATG (ha)]]/Table1[[#This Row],[Linear Area (ha)]]</f>
        <v>0.20300625</v>
      </c>
      <c r="T165" s="11" t="s">
        <v>22</v>
      </c>
      <c r="U165" s="11" t="s">
        <v>22</v>
      </c>
      <c r="V165" s="15">
        <v>324.81</v>
      </c>
      <c r="W165" s="15">
        <v>129.92400000000001</v>
      </c>
      <c r="X165" s="13">
        <v>411.43750383704901</v>
      </c>
      <c r="Y165" s="12">
        <f>Table1[[#This Row],[Raw Terrestrial Score]]/Table1[[#This Row],[Summed Raw Scores]]</f>
        <v>0.61128562139973752</v>
      </c>
      <c r="Z165" s="13">
        <v>261.63166290521599</v>
      </c>
      <c r="AA165" s="12">
        <f>Table1[[#This Row],[Raw Freshwater Score]]/Table1[[#This Row],[Summed Raw Scores]]</f>
        <v>0.38871437860026248</v>
      </c>
      <c r="AB165" s="12">
        <f>Table1[[#This Row],[Raw Terrestrial Score]]+Table1[[#This Row],[Raw Freshwater Score]]</f>
        <v>673.069166742265</v>
      </c>
      <c r="AC165" s="14">
        <f>Table1[[#This Row],[Terrestrial % of Summed Score]]*Table1[[#This Row],[Scaled Summed Score]]</f>
        <v>6.4166540772806521E-2</v>
      </c>
      <c r="AD165" s="14">
        <f>Table1[[#This Row],[Freshwater % of Summed Score]]*Table1[[#This Row],[Scaled Summed Score]]</f>
        <v>4.0803277797236609E-2</v>
      </c>
      <c r="AE165" s="14">
        <f>Table1[[#This Row],[Summed Raw Scores]]/MAX(Table1[Summed Raw Scores])</f>
        <v>0.10496981857004313</v>
      </c>
      <c r="AF165" s="8"/>
    </row>
    <row r="166" spans="1:32" x14ac:dyDescent="0.3">
      <c r="A166" s="7" t="s">
        <v>340</v>
      </c>
      <c r="B166" s="7" t="s">
        <v>58</v>
      </c>
      <c r="C166" s="7" t="s">
        <v>59</v>
      </c>
      <c r="D166" s="7"/>
      <c r="E166" s="15">
        <v>53.931505530000003</v>
      </c>
      <c r="F166" s="15">
        <v>-123.1510165</v>
      </c>
      <c r="G166" s="15">
        <v>37.484307690000001</v>
      </c>
      <c r="H166" s="7" t="s">
        <v>22</v>
      </c>
      <c r="I166" s="7" t="s">
        <v>22</v>
      </c>
      <c r="J166" s="15">
        <v>59.000256929999999</v>
      </c>
      <c r="K166" s="15">
        <v>138.41088149999999</v>
      </c>
      <c r="L166" s="8" t="s">
        <v>22</v>
      </c>
      <c r="M166" s="15">
        <v>0.3</v>
      </c>
      <c r="N166" s="15">
        <v>10.9</v>
      </c>
      <c r="O166" s="8">
        <f>Table1[[#This Row],[R1 Length (km)]]+Table1[[#This Row],[T1 Length (km)]]</f>
        <v>11.200000000000001</v>
      </c>
      <c r="P166" s="5">
        <v>69</v>
      </c>
      <c r="Q166" s="8">
        <f>(Table1[[#This Row],[Linear Features (km)]]*0.4)*100</f>
        <v>448.00000000000006</v>
      </c>
      <c r="R166" s="15">
        <v>152.28</v>
      </c>
      <c r="S166" s="10">
        <f>Table1[[#This Row],[ATG (ha)]]/Table1[[#This Row],[Linear Area (ha)]]</f>
        <v>0.33991071428571423</v>
      </c>
      <c r="T166" s="11" t="s">
        <v>22</v>
      </c>
      <c r="U166" s="11" t="s">
        <v>22</v>
      </c>
      <c r="V166" s="15">
        <v>152.28</v>
      </c>
      <c r="W166" s="15">
        <v>60.911999999999999</v>
      </c>
      <c r="X166" s="13">
        <v>83.211792327463598</v>
      </c>
      <c r="Y166" s="12">
        <f>Table1[[#This Row],[Raw Terrestrial Score]]/Table1[[#This Row],[Summed Raw Scores]]</f>
        <v>0.55311003998591879</v>
      </c>
      <c r="Z166" s="13">
        <v>67.231675177812605</v>
      </c>
      <c r="AA166" s="12">
        <f>Table1[[#This Row],[Raw Freshwater Score]]/Table1[[#This Row],[Summed Raw Scores]]</f>
        <v>0.44688996001408121</v>
      </c>
      <c r="AB166" s="12">
        <f>Table1[[#This Row],[Raw Terrestrial Score]]+Table1[[#This Row],[Raw Freshwater Score]]</f>
        <v>150.4434675052762</v>
      </c>
      <c r="AC166" s="14">
        <f>Table1[[#This Row],[Terrestrial % of Summed Score]]*Table1[[#This Row],[Scaled Summed Score]]</f>
        <v>1.2977457852926288E-2</v>
      </c>
      <c r="AD166" s="14">
        <f>Table1[[#This Row],[Freshwater % of Summed Score]]*Table1[[#This Row],[Scaled Summed Score]]</f>
        <v>1.0485247422242232E-2</v>
      </c>
      <c r="AE166" s="14">
        <f>Table1[[#This Row],[Summed Raw Scores]]/MAX(Table1[Summed Raw Scores])</f>
        <v>2.346270527516852E-2</v>
      </c>
      <c r="AF166" s="8"/>
    </row>
    <row r="167" spans="1:32" x14ac:dyDescent="0.3">
      <c r="A167" s="7" t="s">
        <v>61</v>
      </c>
      <c r="B167" s="7" t="s">
        <v>58</v>
      </c>
      <c r="C167" s="7" t="s">
        <v>59</v>
      </c>
      <c r="D167" s="7"/>
      <c r="E167" s="8">
        <v>53.945526719999997</v>
      </c>
      <c r="F167" s="8">
        <v>-123.0634147</v>
      </c>
      <c r="G167" s="8">
        <v>343.53969230799999</v>
      </c>
      <c r="H167" s="8" t="s">
        <v>22</v>
      </c>
      <c r="I167" s="8" t="s">
        <v>22</v>
      </c>
      <c r="J167" s="8">
        <v>542.83013040303354</v>
      </c>
      <c r="K167" s="8">
        <v>102.5152621749335</v>
      </c>
      <c r="L167" s="8" t="s">
        <v>22</v>
      </c>
      <c r="M167" s="8">
        <v>0.6</v>
      </c>
      <c r="N167" s="8">
        <v>34.5</v>
      </c>
      <c r="O167" s="8">
        <f>Table1[[#This Row],[R1 Length (km)]]+Table1[[#This Row],[T1 Length (km)]]</f>
        <v>35.1</v>
      </c>
      <c r="P167" s="7">
        <v>230</v>
      </c>
      <c r="Q167" s="8">
        <f>(Table1[[#This Row],[Linear Features (km)]]*0.4)*100</f>
        <v>1404</v>
      </c>
      <c r="R167" s="8">
        <v>443.07</v>
      </c>
      <c r="S167" s="21">
        <f>Table1[[#This Row],[ATG (ha)]]/Table1[[#This Row],[Linear Area (ha)]]</f>
        <v>0.31557692307692309</v>
      </c>
      <c r="T167" s="11" t="s">
        <v>22</v>
      </c>
      <c r="U167" s="11" t="s">
        <v>22</v>
      </c>
      <c r="V167" s="8">
        <v>443.07</v>
      </c>
      <c r="W167" s="8">
        <v>177.22800000000001</v>
      </c>
      <c r="X167" s="13">
        <v>599.91415184736297</v>
      </c>
      <c r="Y167" s="12">
        <f>Table1[[#This Row],[Raw Terrestrial Score]]/Table1[[#This Row],[Summed Raw Scores]]</f>
        <v>0.68127048113653177</v>
      </c>
      <c r="Z167" s="13">
        <v>280.66730362176901</v>
      </c>
      <c r="AA167" s="12">
        <f>Table1[[#This Row],[Raw Freshwater Score]]/Table1[[#This Row],[Summed Raw Scores]]</f>
        <v>0.31872951886346823</v>
      </c>
      <c r="AB167" s="12">
        <f>Table1[[#This Row],[Raw Terrestrial Score]]+Table1[[#This Row],[Raw Freshwater Score]]</f>
        <v>880.58145546913192</v>
      </c>
      <c r="AC167" s="14">
        <f>Table1[[#This Row],[Terrestrial % of Summed Score]]*Table1[[#This Row],[Scaled Summed Score]]</f>
        <v>9.356078511487198E-2</v>
      </c>
      <c r="AD167" s="14">
        <f>Table1[[#This Row],[Freshwater % of Summed Score]]*Table1[[#This Row],[Scaled Summed Score]]</f>
        <v>4.3772018383070405E-2</v>
      </c>
      <c r="AE167" s="14">
        <f>Table1[[#This Row],[Summed Raw Scores]]/MAX(Table1[Summed Raw Scores])</f>
        <v>0.13733280349794239</v>
      </c>
      <c r="AF167" s="8"/>
    </row>
    <row r="168" spans="1:32" x14ac:dyDescent="0.3">
      <c r="A168" s="7" t="s">
        <v>337</v>
      </c>
      <c r="B168" s="7" t="s">
        <v>58</v>
      </c>
      <c r="C168" s="7" t="s">
        <v>59</v>
      </c>
      <c r="D168" s="7"/>
      <c r="E168" s="15">
        <v>54.00722236</v>
      </c>
      <c r="F168" s="15">
        <v>-123.00143319999999</v>
      </c>
      <c r="G168" s="15">
        <v>75.566769230000006</v>
      </c>
      <c r="H168" s="7" t="s">
        <v>22</v>
      </c>
      <c r="I168" s="7" t="s">
        <v>22</v>
      </c>
      <c r="J168" s="15">
        <v>121.5266858</v>
      </c>
      <c r="K168" s="15">
        <v>137.62052389999999</v>
      </c>
      <c r="L168" s="8" t="s">
        <v>22</v>
      </c>
      <c r="M168" s="15">
        <v>0.4</v>
      </c>
      <c r="N168" s="15">
        <v>33</v>
      </c>
      <c r="O168" s="8">
        <f>Table1[[#This Row],[R1 Length (km)]]+Table1[[#This Row],[T1 Length (km)]]</f>
        <v>33.4</v>
      </c>
      <c r="P168" s="5">
        <v>130</v>
      </c>
      <c r="Q168" s="8">
        <f>(Table1[[#This Row],[Linear Features (km)]]*0.4)*100</f>
        <v>1336</v>
      </c>
      <c r="R168" s="15">
        <v>306.99</v>
      </c>
      <c r="S168" s="10">
        <f>Table1[[#This Row],[ATG (ha)]]/Table1[[#This Row],[Linear Area (ha)]]</f>
        <v>0.22978293413173653</v>
      </c>
      <c r="T168" s="11" t="s">
        <v>22</v>
      </c>
      <c r="U168" s="11" t="s">
        <v>22</v>
      </c>
      <c r="V168" s="15">
        <v>306.99</v>
      </c>
      <c r="W168" s="15">
        <v>122.79600000000001</v>
      </c>
      <c r="X168" s="13">
        <v>84.331272583454805</v>
      </c>
      <c r="Y168" s="12">
        <f>Table1[[#This Row],[Raw Terrestrial Score]]/Table1[[#This Row],[Summed Raw Scores]]</f>
        <v>0.45343983038898183</v>
      </c>
      <c r="Z168" s="13">
        <v>101.649902716279</v>
      </c>
      <c r="AA168" s="12">
        <f>Table1[[#This Row],[Raw Freshwater Score]]/Table1[[#This Row],[Summed Raw Scores]]</f>
        <v>0.54656016961101805</v>
      </c>
      <c r="AB168" s="12">
        <f>Table1[[#This Row],[Raw Terrestrial Score]]+Table1[[#This Row],[Raw Freshwater Score]]</f>
        <v>185.98117529973382</v>
      </c>
      <c r="AC168" s="14">
        <f>Table1[[#This Row],[Terrestrial % of Summed Score]]*Table1[[#This Row],[Scaled Summed Score]]</f>
        <v>1.3152048586198046E-2</v>
      </c>
      <c r="AD168" s="14">
        <f>Table1[[#This Row],[Freshwater % of Summed Score]]*Table1[[#This Row],[Scaled Summed Score]]</f>
        <v>1.5853009427597532E-2</v>
      </c>
      <c r="AE168" s="14">
        <f>Table1[[#This Row],[Summed Raw Scores]]/MAX(Table1[Summed Raw Scores])</f>
        <v>2.9005058013795579E-2</v>
      </c>
      <c r="AF168" s="8"/>
    </row>
    <row r="169" spans="1:32" x14ac:dyDescent="0.3">
      <c r="A169" s="7" t="s">
        <v>277</v>
      </c>
      <c r="B169" s="7" t="s">
        <v>58</v>
      </c>
      <c r="C169" s="7" t="s">
        <v>59</v>
      </c>
      <c r="D169" s="7"/>
      <c r="E169" s="15">
        <v>54.021172870000001</v>
      </c>
      <c r="F169" s="15">
        <v>-122.9136622</v>
      </c>
      <c r="G169" s="15">
        <v>178.44923080000001</v>
      </c>
      <c r="H169" s="7" t="s">
        <v>22</v>
      </c>
      <c r="I169" s="7" t="s">
        <v>22</v>
      </c>
      <c r="J169" s="15">
        <v>285.36552330000001</v>
      </c>
      <c r="K169" s="15">
        <v>123.5273181</v>
      </c>
      <c r="L169" s="8" t="s">
        <v>22</v>
      </c>
      <c r="M169" s="15">
        <v>0.3</v>
      </c>
      <c r="N169" s="15">
        <v>26.3</v>
      </c>
      <c r="O169" s="8">
        <f>Table1[[#This Row],[R1 Length (km)]]+Table1[[#This Row],[T1 Length (km)]]</f>
        <v>26.6</v>
      </c>
      <c r="P169" s="5">
        <v>230</v>
      </c>
      <c r="Q169" s="8">
        <f>(Table1[[#This Row],[Linear Features (km)]]*0.4)*100</f>
        <v>1064</v>
      </c>
      <c r="R169" s="15">
        <v>724.95</v>
      </c>
      <c r="S169" s="10">
        <f>Table1[[#This Row],[ATG (ha)]]/Table1[[#This Row],[Linear Area (ha)]]</f>
        <v>0.68134398496240611</v>
      </c>
      <c r="T169" s="11" t="s">
        <v>22</v>
      </c>
      <c r="U169" s="11" t="s">
        <v>22</v>
      </c>
      <c r="V169" s="15">
        <v>724.95</v>
      </c>
      <c r="W169" s="15">
        <v>289.98</v>
      </c>
      <c r="X169" s="13">
        <v>402.65687462687498</v>
      </c>
      <c r="Y169" s="12">
        <f>Table1[[#This Row],[Raw Terrestrial Score]]/Table1[[#This Row],[Summed Raw Scores]]</f>
        <v>0.66333816544254398</v>
      </c>
      <c r="Z169" s="13">
        <v>204.35911752283599</v>
      </c>
      <c r="AA169" s="12">
        <f>Table1[[#This Row],[Raw Freshwater Score]]/Table1[[#This Row],[Summed Raw Scores]]</f>
        <v>0.33666183455745596</v>
      </c>
      <c r="AB169" s="12">
        <f>Table1[[#This Row],[Raw Terrestrial Score]]+Table1[[#This Row],[Raw Freshwater Score]]</f>
        <v>607.015992149711</v>
      </c>
      <c r="AC169" s="14">
        <f>Table1[[#This Row],[Terrestrial % of Summed Score]]*Table1[[#This Row],[Scaled Summed Score]]</f>
        <v>6.279714056749934E-2</v>
      </c>
      <c r="AD169" s="14">
        <f>Table1[[#This Row],[Freshwater % of Summed Score]]*Table1[[#This Row],[Scaled Summed Score]]</f>
        <v>3.1871225944480899E-2</v>
      </c>
      <c r="AE169" s="14">
        <f>Table1[[#This Row],[Summed Raw Scores]]/MAX(Table1[Summed Raw Scores])</f>
        <v>9.466836651198024E-2</v>
      </c>
      <c r="AF169" s="8"/>
    </row>
    <row r="170" spans="1:32" x14ac:dyDescent="0.3">
      <c r="A170" s="7" t="s">
        <v>335</v>
      </c>
      <c r="B170" s="7" t="s">
        <v>58</v>
      </c>
      <c r="C170" s="7" t="s">
        <v>59</v>
      </c>
      <c r="D170" s="7"/>
      <c r="E170" s="15">
        <v>53.959504670000001</v>
      </c>
      <c r="F170" s="15">
        <v>-122.9757654</v>
      </c>
      <c r="G170" s="15">
        <v>85.934769230000001</v>
      </c>
      <c r="H170" s="7" t="s">
        <v>22</v>
      </c>
      <c r="I170" s="7" t="s">
        <v>22</v>
      </c>
      <c r="J170" s="15">
        <v>135.02003830000001</v>
      </c>
      <c r="K170" s="15">
        <v>136.94637689999999</v>
      </c>
      <c r="L170" s="8" t="s">
        <v>22</v>
      </c>
      <c r="M170" s="15">
        <v>0.3</v>
      </c>
      <c r="N170" s="15">
        <v>33.1</v>
      </c>
      <c r="O170" s="8">
        <f>Table1[[#This Row],[R1 Length (km)]]+Table1[[#This Row],[T1 Length (km)]]</f>
        <v>33.4</v>
      </c>
      <c r="P170" s="5">
        <v>130</v>
      </c>
      <c r="Q170" s="8">
        <f>(Table1[[#This Row],[Linear Features (km)]]*0.4)*100</f>
        <v>1336</v>
      </c>
      <c r="R170" s="15">
        <v>349.11</v>
      </c>
      <c r="S170" s="10">
        <f>Table1[[#This Row],[ATG (ha)]]/Table1[[#This Row],[Linear Area (ha)]]</f>
        <v>0.26130988023952095</v>
      </c>
      <c r="T170" s="11" t="s">
        <v>22</v>
      </c>
      <c r="U170" s="11" t="s">
        <v>22</v>
      </c>
      <c r="V170" s="15">
        <v>349.11</v>
      </c>
      <c r="W170" s="15">
        <v>139.64400000000001</v>
      </c>
      <c r="X170" s="13">
        <v>307.34446843713499</v>
      </c>
      <c r="Y170" s="12">
        <f>Table1[[#This Row],[Raw Terrestrial Score]]/Table1[[#This Row],[Summed Raw Scores]]</f>
        <v>0.59292687454291648</v>
      </c>
      <c r="Z170" s="13">
        <v>211.00691962242101</v>
      </c>
      <c r="AA170" s="12">
        <f>Table1[[#This Row],[Raw Freshwater Score]]/Table1[[#This Row],[Summed Raw Scores]]</f>
        <v>0.40707312545708346</v>
      </c>
      <c r="AB170" s="12">
        <f>Table1[[#This Row],[Raw Terrestrial Score]]+Table1[[#This Row],[Raw Freshwater Score]]</f>
        <v>518.35138805955603</v>
      </c>
      <c r="AC170" s="14">
        <f>Table1[[#This Row],[Terrestrial % of Summed Score]]*Table1[[#This Row],[Scaled Summed Score]]</f>
        <v>4.7932507808229899E-2</v>
      </c>
      <c r="AD170" s="14">
        <f>Table1[[#This Row],[Freshwater % of Summed Score]]*Table1[[#This Row],[Scaled Summed Score]]</f>
        <v>3.2907996925479056E-2</v>
      </c>
      <c r="AE170" s="14">
        <f>Table1[[#This Row],[Summed Raw Scores]]/MAX(Table1[Summed Raw Scores])</f>
        <v>8.0840504733708962E-2</v>
      </c>
      <c r="AF170" s="8"/>
    </row>
    <row r="171" spans="1:32" x14ac:dyDescent="0.3">
      <c r="A171" s="7" t="s">
        <v>298</v>
      </c>
      <c r="B171" s="7" t="s">
        <v>58</v>
      </c>
      <c r="C171" s="7" t="s">
        <v>59</v>
      </c>
      <c r="D171" s="7"/>
      <c r="E171" s="15">
        <v>53.97343935</v>
      </c>
      <c r="F171" s="15">
        <v>-122.88806870000001</v>
      </c>
      <c r="G171" s="15">
        <v>17.944615379999998</v>
      </c>
      <c r="H171" s="7" t="s">
        <v>22</v>
      </c>
      <c r="I171" s="7" t="s">
        <v>22</v>
      </c>
      <c r="J171" s="15">
        <v>28.308161129999998</v>
      </c>
      <c r="K171" s="15">
        <v>127.5842246</v>
      </c>
      <c r="L171" s="8" t="s">
        <v>22</v>
      </c>
      <c r="M171" s="15">
        <v>0</v>
      </c>
      <c r="N171" s="15">
        <v>6.1</v>
      </c>
      <c r="O171" s="8">
        <f>Table1[[#This Row],[R1 Length (km)]]+Table1[[#This Row],[T1 Length (km)]]</f>
        <v>6.1</v>
      </c>
      <c r="P171" s="5">
        <v>25</v>
      </c>
      <c r="Q171" s="8">
        <f>(Table1[[#This Row],[Linear Features (km)]]*0.4)*100</f>
        <v>244</v>
      </c>
      <c r="R171" s="15">
        <v>72.900000000000006</v>
      </c>
      <c r="S171" s="10">
        <f>Table1[[#This Row],[ATG (ha)]]/Table1[[#This Row],[Linear Area (ha)]]</f>
        <v>0.29877049180327869</v>
      </c>
      <c r="T171" s="11" t="s">
        <v>22</v>
      </c>
      <c r="U171" s="11" t="s">
        <v>22</v>
      </c>
      <c r="V171" s="15">
        <v>72.900000000000006</v>
      </c>
      <c r="W171" s="15">
        <v>29.16</v>
      </c>
      <c r="X171" s="13">
        <v>221.38725465536101</v>
      </c>
      <c r="Y171" s="12">
        <f>Table1[[#This Row],[Raw Terrestrial Score]]/Table1[[#This Row],[Summed Raw Scores]]</f>
        <v>0.57171450706756</v>
      </c>
      <c r="Z171" s="13">
        <v>165.846674025059</v>
      </c>
      <c r="AA171" s="12">
        <f>Table1[[#This Row],[Raw Freshwater Score]]/Table1[[#This Row],[Summed Raw Scores]]</f>
        <v>0.42828549293244</v>
      </c>
      <c r="AB171" s="12">
        <f>Table1[[#This Row],[Raw Terrestrial Score]]+Table1[[#This Row],[Raw Freshwater Score]]</f>
        <v>387.23392868042004</v>
      </c>
      <c r="AC171" s="14">
        <f>Table1[[#This Row],[Terrestrial % of Summed Score]]*Table1[[#This Row],[Scaled Summed Score]]</f>
        <v>3.4526882381750772E-2</v>
      </c>
      <c r="AD171" s="14">
        <f>Table1[[#This Row],[Freshwater % of Summed Score]]*Table1[[#This Row],[Scaled Summed Score]]</f>
        <v>2.5864942480007896E-2</v>
      </c>
      <c r="AE171" s="14">
        <f>Table1[[#This Row],[Summed Raw Scores]]/MAX(Table1[Summed Raw Scores])</f>
        <v>6.0391824861758668E-2</v>
      </c>
      <c r="AF171" s="8"/>
    </row>
    <row r="172" spans="1:32" x14ac:dyDescent="0.3">
      <c r="A172" s="7" t="s">
        <v>330</v>
      </c>
      <c r="B172" s="7" t="s">
        <v>58</v>
      </c>
      <c r="C172" s="7" t="s">
        <v>59</v>
      </c>
      <c r="D172" s="7"/>
      <c r="E172" s="15">
        <v>54.035080030000003</v>
      </c>
      <c r="F172" s="15">
        <v>-122.82584369999999</v>
      </c>
      <c r="G172" s="15">
        <v>66.594461539999998</v>
      </c>
      <c r="H172" s="7" t="s">
        <v>22</v>
      </c>
      <c r="I172" s="7" t="s">
        <v>22</v>
      </c>
      <c r="J172" s="15">
        <v>106.9153087</v>
      </c>
      <c r="K172" s="15">
        <v>134.8991723</v>
      </c>
      <c r="L172" s="8" t="s">
        <v>22</v>
      </c>
      <c r="M172" s="15">
        <v>0.3</v>
      </c>
      <c r="N172" s="15">
        <v>19.8</v>
      </c>
      <c r="O172" s="8">
        <f>Table1[[#This Row],[R1 Length (km)]]+Table1[[#This Row],[T1 Length (km)]]</f>
        <v>20.100000000000001</v>
      </c>
      <c r="P172" s="5">
        <v>130</v>
      </c>
      <c r="Q172" s="8">
        <f>(Table1[[#This Row],[Linear Features (km)]]*0.4)*100</f>
        <v>804.00000000000011</v>
      </c>
      <c r="R172" s="15">
        <v>270.54000000000002</v>
      </c>
      <c r="S172" s="10">
        <f>Table1[[#This Row],[ATG (ha)]]/Table1[[#This Row],[Linear Area (ha)]]</f>
        <v>0.33649253731343282</v>
      </c>
      <c r="T172" s="11" t="s">
        <v>22</v>
      </c>
      <c r="U172" s="11" t="s">
        <v>22</v>
      </c>
      <c r="V172" s="15">
        <v>270.54000000000002</v>
      </c>
      <c r="W172" s="15">
        <v>108.21599999999999</v>
      </c>
      <c r="X172" s="13">
        <v>180.60288167744901</v>
      </c>
      <c r="Y172" s="12">
        <f>Table1[[#This Row],[Raw Terrestrial Score]]/Table1[[#This Row],[Summed Raw Scores]]</f>
        <v>0.62390048589521918</v>
      </c>
      <c r="Z172" s="13">
        <v>108.87097795307599</v>
      </c>
      <c r="AA172" s="12">
        <f>Table1[[#This Row],[Raw Freshwater Score]]/Table1[[#This Row],[Summed Raw Scores]]</f>
        <v>0.37609951410478087</v>
      </c>
      <c r="AB172" s="12">
        <f>Table1[[#This Row],[Raw Terrestrial Score]]+Table1[[#This Row],[Raw Freshwater Score]]</f>
        <v>289.473859630525</v>
      </c>
      <c r="AC172" s="14">
        <f>Table1[[#This Row],[Terrestrial % of Summed Score]]*Table1[[#This Row],[Scaled Summed Score]]</f>
        <v>2.8166275710811498E-2</v>
      </c>
      <c r="AD172" s="14">
        <f>Table1[[#This Row],[Freshwater % of Summed Score]]*Table1[[#This Row],[Scaled Summed Score]]</f>
        <v>1.6979186342157438E-2</v>
      </c>
      <c r="AE172" s="14">
        <f>Table1[[#This Row],[Summed Raw Scores]]/MAX(Table1[Summed Raw Scores])</f>
        <v>4.5145462052968932E-2</v>
      </c>
      <c r="AF172" s="8"/>
    </row>
    <row r="173" spans="1:32" x14ac:dyDescent="0.3">
      <c r="A173" s="7" t="s">
        <v>272</v>
      </c>
      <c r="B173" s="7" t="s">
        <v>58</v>
      </c>
      <c r="C173" s="7" t="s">
        <v>59</v>
      </c>
      <c r="D173" s="7"/>
      <c r="E173" s="15">
        <v>54.048943790000003</v>
      </c>
      <c r="F173" s="15">
        <v>-122.7379779</v>
      </c>
      <c r="G173" s="15">
        <v>167.68246149999999</v>
      </c>
      <c r="H173" s="7" t="s">
        <v>22</v>
      </c>
      <c r="I173" s="7" t="s">
        <v>22</v>
      </c>
      <c r="J173" s="15">
        <v>264.55341770000001</v>
      </c>
      <c r="K173" s="15">
        <v>122.5670989</v>
      </c>
      <c r="L173" s="8" t="s">
        <v>22</v>
      </c>
      <c r="M173" s="15">
        <v>0.3</v>
      </c>
      <c r="N173" s="15">
        <v>14.1</v>
      </c>
      <c r="O173" s="8">
        <f>Table1[[#This Row],[R1 Length (km)]]+Table1[[#This Row],[T1 Length (km)]]</f>
        <v>14.4</v>
      </c>
      <c r="P173" s="5">
        <v>230</v>
      </c>
      <c r="Q173" s="8">
        <f>(Table1[[#This Row],[Linear Features (km)]]*0.4)*100</f>
        <v>576.00000000000011</v>
      </c>
      <c r="R173" s="15">
        <v>681.21</v>
      </c>
      <c r="S173" s="10">
        <f>Table1[[#This Row],[ATG (ha)]]/Table1[[#This Row],[Linear Area (ha)]]</f>
        <v>1.1826562499999997</v>
      </c>
      <c r="T173" s="11" t="s">
        <v>22</v>
      </c>
      <c r="U173" s="11" t="s">
        <v>22</v>
      </c>
      <c r="V173" s="15">
        <v>681.21</v>
      </c>
      <c r="W173" s="15">
        <v>272.48399999999998</v>
      </c>
      <c r="X173" s="13">
        <v>188.88849505782099</v>
      </c>
      <c r="Y173" s="12">
        <f>Table1[[#This Row],[Raw Terrestrial Score]]/Table1[[#This Row],[Summed Raw Scores]]</f>
        <v>0.70141525831635743</v>
      </c>
      <c r="Z173" s="13">
        <v>80.407749667763696</v>
      </c>
      <c r="AA173" s="12">
        <f>Table1[[#This Row],[Raw Freshwater Score]]/Table1[[#This Row],[Summed Raw Scores]]</f>
        <v>0.29858474168364257</v>
      </c>
      <c r="AB173" s="12">
        <f>Table1[[#This Row],[Raw Terrestrial Score]]+Table1[[#This Row],[Raw Freshwater Score]]</f>
        <v>269.2962447255847</v>
      </c>
      <c r="AC173" s="14">
        <f>Table1[[#This Row],[Terrestrial % of Summed Score]]*Table1[[#This Row],[Scaled Summed Score]]</f>
        <v>2.9458474754022475E-2</v>
      </c>
      <c r="AD173" s="14">
        <f>Table1[[#This Row],[Freshwater % of Summed Score]]*Table1[[#This Row],[Scaled Summed Score]]</f>
        <v>1.254014789461101E-2</v>
      </c>
      <c r="AE173" s="14">
        <f>Table1[[#This Row],[Summed Raw Scores]]/MAX(Table1[Summed Raw Scores])</f>
        <v>4.1998622648633487E-2</v>
      </c>
      <c r="AF173" s="8"/>
    </row>
    <row r="174" spans="1:32" x14ac:dyDescent="0.3">
      <c r="A174" s="7" t="s">
        <v>62</v>
      </c>
      <c r="B174" s="7" t="s">
        <v>58</v>
      </c>
      <c r="C174" s="7" t="s">
        <v>59</v>
      </c>
      <c r="D174" s="7"/>
      <c r="E174" s="8">
        <v>53.987330720000003</v>
      </c>
      <c r="F174" s="8">
        <v>-122.8003246</v>
      </c>
      <c r="G174" s="8">
        <v>153.725538462</v>
      </c>
      <c r="H174" s="8" t="s">
        <v>22</v>
      </c>
      <c r="I174" s="8" t="s">
        <v>22</v>
      </c>
      <c r="J174" s="8">
        <v>246.20021132315097</v>
      </c>
      <c r="K174" s="8">
        <v>103.56327708214516</v>
      </c>
      <c r="L174" s="8" t="s">
        <v>22</v>
      </c>
      <c r="M174" s="8">
        <v>0</v>
      </c>
      <c r="N174" s="8">
        <v>22.5</v>
      </c>
      <c r="O174" s="8">
        <f>Table1[[#This Row],[R1 Length (km)]]+Table1[[#This Row],[T1 Length (km)]]</f>
        <v>22.5</v>
      </c>
      <c r="P174" s="7">
        <v>130</v>
      </c>
      <c r="Q174" s="8">
        <f>(Table1[[#This Row],[Linear Features (km)]]*0.4)*100</f>
        <v>900</v>
      </c>
      <c r="R174" s="8">
        <v>495.72</v>
      </c>
      <c r="S174" s="21">
        <f>Table1[[#This Row],[ATG (ha)]]/Table1[[#This Row],[Linear Area (ha)]]</f>
        <v>0.55080000000000007</v>
      </c>
      <c r="T174" s="11" t="s">
        <v>22</v>
      </c>
      <c r="U174" s="11" t="s">
        <v>22</v>
      </c>
      <c r="V174" s="8">
        <v>495.72</v>
      </c>
      <c r="W174" s="8">
        <v>198.28800000000001</v>
      </c>
      <c r="X174" s="13">
        <v>215.355237521231</v>
      </c>
      <c r="Y174" s="12">
        <f>Table1[[#This Row],[Raw Terrestrial Score]]/Table1[[#This Row],[Summed Raw Scores]]</f>
        <v>0.55314953740792494</v>
      </c>
      <c r="Z174" s="13">
        <v>173.970293745399</v>
      </c>
      <c r="AA174" s="12">
        <f>Table1[[#This Row],[Raw Freshwater Score]]/Table1[[#This Row],[Summed Raw Scores]]</f>
        <v>0.44685046259207506</v>
      </c>
      <c r="AB174" s="12">
        <f>Table1[[#This Row],[Raw Terrestrial Score]]+Table1[[#This Row],[Raw Freshwater Score]]</f>
        <v>389.32553126663004</v>
      </c>
      <c r="AC174" s="14">
        <f>Table1[[#This Row],[Terrestrial % of Summed Score]]*Table1[[#This Row],[Scaled Summed Score]]</f>
        <v>3.3586147349650458E-2</v>
      </c>
      <c r="AD174" s="14">
        <f>Table1[[#This Row],[Freshwater % of Summed Score]]*Table1[[#This Row],[Scaled Summed Score]]</f>
        <v>2.7131877485073504E-2</v>
      </c>
      <c r="AE174" s="14">
        <f>Table1[[#This Row],[Summed Raw Scores]]/MAX(Table1[Summed Raw Scores])</f>
        <v>6.0718024834723959E-2</v>
      </c>
      <c r="AF174" s="8"/>
    </row>
    <row r="175" spans="1:32" x14ac:dyDescent="0.3">
      <c r="A175" s="7" t="s">
        <v>280</v>
      </c>
      <c r="B175" s="7" t="s">
        <v>58</v>
      </c>
      <c r="C175" s="7" t="s">
        <v>59</v>
      </c>
      <c r="D175" s="7"/>
      <c r="E175" s="15">
        <v>54.001178719999999</v>
      </c>
      <c r="F175" s="15">
        <v>-122.7125333</v>
      </c>
      <c r="G175" s="15">
        <v>123.6184615</v>
      </c>
      <c r="H175" s="7" t="s">
        <v>22</v>
      </c>
      <c r="I175" s="7" t="s">
        <v>22</v>
      </c>
      <c r="J175" s="15">
        <v>193.73190249999999</v>
      </c>
      <c r="K175" s="15">
        <v>124.1667075</v>
      </c>
      <c r="L175" s="8" t="s">
        <v>22</v>
      </c>
      <c r="M175" s="15">
        <v>1</v>
      </c>
      <c r="N175" s="15">
        <v>18.3</v>
      </c>
      <c r="O175" s="8">
        <f>Table1[[#This Row],[R1 Length (km)]]+Table1[[#This Row],[T1 Length (km)]]</f>
        <v>19.3</v>
      </c>
      <c r="P175" s="5">
        <v>130</v>
      </c>
      <c r="Q175" s="8">
        <f>(Table1[[#This Row],[Linear Features (km)]]*0.4)*100</f>
        <v>772.00000000000011</v>
      </c>
      <c r="R175" s="15">
        <v>502.2</v>
      </c>
      <c r="S175" s="10">
        <f>Table1[[#This Row],[ATG (ha)]]/Table1[[#This Row],[Linear Area (ha)]]</f>
        <v>0.65051813471502584</v>
      </c>
      <c r="T175" s="11" t="s">
        <v>22</v>
      </c>
      <c r="U175" s="11" t="s">
        <v>22</v>
      </c>
      <c r="V175" s="15">
        <v>502.2</v>
      </c>
      <c r="W175" s="15">
        <v>200.88</v>
      </c>
      <c r="X175" s="13">
        <v>226.094311207533</v>
      </c>
      <c r="Y175" s="12">
        <f>Table1[[#This Row],[Raw Terrestrial Score]]/Table1[[#This Row],[Summed Raw Scores]]</f>
        <v>0.60901907362367191</v>
      </c>
      <c r="Z175" s="13">
        <v>145.149088218808</v>
      </c>
      <c r="AA175" s="12">
        <f>Table1[[#This Row],[Raw Freshwater Score]]/Table1[[#This Row],[Summed Raw Scores]]</f>
        <v>0.39098092637632814</v>
      </c>
      <c r="AB175" s="12">
        <f>Table1[[#This Row],[Raw Terrestrial Score]]+Table1[[#This Row],[Raw Freshwater Score]]</f>
        <v>371.243399426341</v>
      </c>
      <c r="AC175" s="14">
        <f>Table1[[#This Row],[Terrestrial % of Summed Score]]*Table1[[#This Row],[Scaled Summed Score]]</f>
        <v>3.5260980594378641E-2</v>
      </c>
      <c r="AD175" s="14">
        <f>Table1[[#This Row],[Freshwater % of Summed Score]]*Table1[[#This Row],[Scaled Summed Score]]</f>
        <v>2.2637009996581543E-2</v>
      </c>
      <c r="AE175" s="14">
        <f>Table1[[#This Row],[Summed Raw Scores]]/MAX(Table1[Summed Raw Scores])</f>
        <v>5.789799059096018E-2</v>
      </c>
      <c r="AF175" s="8"/>
    </row>
    <row r="176" spans="1:32" x14ac:dyDescent="0.3">
      <c r="A176" s="7" t="s">
        <v>267</v>
      </c>
      <c r="B176" s="7" t="s">
        <v>58</v>
      </c>
      <c r="C176" s="7" t="s">
        <v>59</v>
      </c>
      <c r="D176" s="7"/>
      <c r="E176" s="15">
        <v>54.062764119999997</v>
      </c>
      <c r="F176" s="15">
        <v>-122.6500649</v>
      </c>
      <c r="G176" s="15">
        <v>127.008</v>
      </c>
      <c r="H176" s="7" t="s">
        <v>22</v>
      </c>
      <c r="I176" s="7" t="s">
        <v>22</v>
      </c>
      <c r="J176" s="15">
        <v>198.5628634</v>
      </c>
      <c r="K176" s="15">
        <v>121.6432087</v>
      </c>
      <c r="L176" s="8" t="s">
        <v>22</v>
      </c>
      <c r="M176" s="15">
        <v>1.6</v>
      </c>
      <c r="N176" s="15">
        <v>9.9</v>
      </c>
      <c r="O176" s="8">
        <f>Table1[[#This Row],[R1 Length (km)]]+Table1[[#This Row],[T1 Length (km)]]</f>
        <v>11.5</v>
      </c>
      <c r="P176" s="5">
        <v>130</v>
      </c>
      <c r="Q176" s="8">
        <f>(Table1[[#This Row],[Linear Features (km)]]*0.4)*100</f>
        <v>460.00000000000006</v>
      </c>
      <c r="R176" s="15">
        <v>515.97</v>
      </c>
      <c r="S176" s="10">
        <f>Table1[[#This Row],[ATG (ha)]]/Table1[[#This Row],[Linear Area (ha)]]</f>
        <v>1.1216739130434781</v>
      </c>
      <c r="T176" s="11" t="s">
        <v>22</v>
      </c>
      <c r="U176" s="11" t="s">
        <v>22</v>
      </c>
      <c r="V176" s="15">
        <v>515.97</v>
      </c>
      <c r="W176" s="15">
        <v>206.38800000000001</v>
      </c>
      <c r="X176" s="13">
        <v>218.35546848177901</v>
      </c>
      <c r="Y176" s="12">
        <f>Table1[[#This Row],[Raw Terrestrial Score]]/Table1[[#This Row],[Summed Raw Scores]]</f>
        <v>0.65090292485307477</v>
      </c>
      <c r="Z176" s="13">
        <v>117.110021293163</v>
      </c>
      <c r="AA176" s="12">
        <f>Table1[[#This Row],[Raw Freshwater Score]]/Table1[[#This Row],[Summed Raw Scores]]</f>
        <v>0.34909707514692523</v>
      </c>
      <c r="AB176" s="12">
        <f>Table1[[#This Row],[Raw Terrestrial Score]]+Table1[[#This Row],[Raw Freshwater Score]]</f>
        <v>335.465489774942</v>
      </c>
      <c r="AC176" s="14">
        <f>Table1[[#This Row],[Terrestrial % of Summed Score]]*Table1[[#This Row],[Scaled Summed Score]]</f>
        <v>3.4054054238211798E-2</v>
      </c>
      <c r="AD176" s="14">
        <f>Table1[[#This Row],[Freshwater % of Summed Score]]*Table1[[#This Row],[Scaled Summed Score]]</f>
        <v>1.8264122463634576E-2</v>
      </c>
      <c r="AE176" s="14">
        <f>Table1[[#This Row],[Summed Raw Scores]]/MAX(Table1[Summed Raw Scores])</f>
        <v>5.2318176701846374E-2</v>
      </c>
      <c r="AF176" s="8"/>
    </row>
    <row r="177" spans="1:32" x14ac:dyDescent="0.3">
      <c r="A177" s="7" t="s">
        <v>63</v>
      </c>
      <c r="B177" s="7" t="s">
        <v>58</v>
      </c>
      <c r="C177" s="7" t="s">
        <v>59</v>
      </c>
      <c r="D177" s="7"/>
      <c r="E177" s="8">
        <v>54.076540960000003</v>
      </c>
      <c r="F177" s="8">
        <v>-122.56210470000001</v>
      </c>
      <c r="G177" s="8">
        <v>250.626461538</v>
      </c>
      <c r="H177" s="8" t="s">
        <v>22</v>
      </c>
      <c r="I177" s="8" t="s">
        <v>22</v>
      </c>
      <c r="J177" s="8">
        <v>389.13790936218737</v>
      </c>
      <c r="K177" s="8">
        <v>103.23340136967143</v>
      </c>
      <c r="L177" s="8" t="s">
        <v>22</v>
      </c>
      <c r="M177" s="8">
        <v>0.8</v>
      </c>
      <c r="N177" s="8">
        <v>9.6</v>
      </c>
      <c r="O177" s="8">
        <f>Table1[[#This Row],[R1 Length (km)]]+Table1[[#This Row],[T1 Length (km)]]</f>
        <v>10.4</v>
      </c>
      <c r="P177" s="7">
        <v>230</v>
      </c>
      <c r="Q177" s="8">
        <f>(Table1[[#This Row],[Linear Features (km)]]*0.4)*100</f>
        <v>416</v>
      </c>
      <c r="R177" s="8">
        <v>384.75</v>
      </c>
      <c r="S177" s="21">
        <f>Table1[[#This Row],[ATG (ha)]]/Table1[[#This Row],[Linear Area (ha)]]</f>
        <v>0.92487980769230771</v>
      </c>
      <c r="T177" s="11" t="s">
        <v>22</v>
      </c>
      <c r="U177" s="11" t="s">
        <v>22</v>
      </c>
      <c r="V177" s="8">
        <v>384.75</v>
      </c>
      <c r="W177" s="8">
        <v>153.9</v>
      </c>
      <c r="X177" s="13">
        <v>258.73444092273701</v>
      </c>
      <c r="Y177" s="12">
        <f>Table1[[#This Row],[Raw Terrestrial Score]]/Table1[[#This Row],[Summed Raw Scores]]</f>
        <v>0.56786302410290856</v>
      </c>
      <c r="Z177" s="13">
        <v>196.89381790161099</v>
      </c>
      <c r="AA177" s="12">
        <f>Table1[[#This Row],[Raw Freshwater Score]]/Table1[[#This Row],[Summed Raw Scores]]</f>
        <v>0.43213697589709138</v>
      </c>
      <c r="AB177" s="12">
        <f>Table1[[#This Row],[Raw Terrestrial Score]]+Table1[[#This Row],[Raw Freshwater Score]]</f>
        <v>455.62825882434799</v>
      </c>
      <c r="AC177" s="14">
        <f>Table1[[#This Row],[Terrestrial % of Summed Score]]*Table1[[#This Row],[Scaled Summed Score]]</f>
        <v>4.0351435875358145E-2</v>
      </c>
      <c r="AD177" s="14">
        <f>Table1[[#This Row],[Freshwater % of Summed Score]]*Table1[[#This Row],[Scaled Summed Score]]</f>
        <v>3.0706960538291115E-2</v>
      </c>
      <c r="AE177" s="14">
        <f>Table1[[#This Row],[Summed Raw Scores]]/MAX(Table1[Summed Raw Scores])</f>
        <v>7.1058396413649264E-2</v>
      </c>
      <c r="AF177" s="8"/>
    </row>
    <row r="178" spans="1:32" x14ac:dyDescent="0.3">
      <c r="A178" s="7" t="s">
        <v>64</v>
      </c>
      <c r="B178" s="7" t="s">
        <v>58</v>
      </c>
      <c r="C178" s="7" t="s">
        <v>59</v>
      </c>
      <c r="D178" s="7"/>
      <c r="E178" s="8">
        <v>54.01498333</v>
      </c>
      <c r="F178" s="8">
        <v>-122.62469489999999</v>
      </c>
      <c r="G178" s="8">
        <v>290.70276923099999</v>
      </c>
      <c r="H178" s="8" t="s">
        <v>22</v>
      </c>
      <c r="I178" s="8" t="s">
        <v>22</v>
      </c>
      <c r="J178" s="8">
        <v>454.63551613398141</v>
      </c>
      <c r="K178" s="8">
        <v>102.89142068129254</v>
      </c>
      <c r="L178" s="8" t="s">
        <v>22</v>
      </c>
      <c r="M178" s="8">
        <v>0.4</v>
      </c>
      <c r="N178" s="8">
        <v>15</v>
      </c>
      <c r="O178" s="8">
        <f>Table1[[#This Row],[R1 Length (km)]]+Table1[[#This Row],[T1 Length (km)]]</f>
        <v>15.4</v>
      </c>
      <c r="P178" s="7">
        <v>230</v>
      </c>
      <c r="Q178" s="8">
        <f>(Table1[[#This Row],[Linear Features (km)]]*0.4)*100</f>
        <v>616</v>
      </c>
      <c r="R178" s="8">
        <v>464.94</v>
      </c>
      <c r="S178" s="21">
        <f>Table1[[#This Row],[ATG (ha)]]/Table1[[#This Row],[Linear Area (ha)]]</f>
        <v>0.75477272727272726</v>
      </c>
      <c r="T178" s="11" t="s">
        <v>22</v>
      </c>
      <c r="U178" s="11" t="s">
        <v>22</v>
      </c>
      <c r="V178" s="8">
        <v>464.94</v>
      </c>
      <c r="W178" s="8">
        <v>185.976</v>
      </c>
      <c r="X178" s="13">
        <v>413.50758886337297</v>
      </c>
      <c r="Y178" s="12">
        <f>Table1[[#This Row],[Raw Terrestrial Score]]/Table1[[#This Row],[Summed Raw Scores]]</f>
        <v>0.60221916310975943</v>
      </c>
      <c r="Z178" s="13">
        <v>273.13211673498199</v>
      </c>
      <c r="AA178" s="12">
        <f>Table1[[#This Row],[Raw Freshwater Score]]/Table1[[#This Row],[Summed Raw Scores]]</f>
        <v>0.39778083689024046</v>
      </c>
      <c r="AB178" s="12">
        <f>Table1[[#This Row],[Raw Terrestrial Score]]+Table1[[#This Row],[Raw Freshwater Score]]</f>
        <v>686.63970559835502</v>
      </c>
      <c r="AC178" s="14">
        <f>Table1[[#This Row],[Terrestrial % of Summed Score]]*Table1[[#This Row],[Scaled Summed Score]]</f>
        <v>6.4489384932626723E-2</v>
      </c>
      <c r="AD178" s="14">
        <f>Table1[[#This Row],[Freshwater % of Summed Score]]*Table1[[#This Row],[Scaled Summed Score]]</f>
        <v>4.2596853571665094E-2</v>
      </c>
      <c r="AE178" s="14">
        <f>Table1[[#This Row],[Summed Raw Scores]]/MAX(Table1[Summed Raw Scores])</f>
        <v>0.10708623850429183</v>
      </c>
      <c r="AF178" s="8"/>
    </row>
    <row r="179" spans="1:32" x14ac:dyDescent="0.3">
      <c r="A179" s="7" t="s">
        <v>390</v>
      </c>
      <c r="B179" s="7" t="s">
        <v>58</v>
      </c>
      <c r="C179" s="7" t="s">
        <v>59</v>
      </c>
      <c r="D179" s="7"/>
      <c r="E179" s="15">
        <v>54.103964050000002</v>
      </c>
      <c r="F179" s="15">
        <v>-122.3860435</v>
      </c>
      <c r="G179" s="15">
        <v>14.754461539999999</v>
      </c>
      <c r="H179" s="7" t="s">
        <v>22</v>
      </c>
      <c r="I179" s="7" t="s">
        <v>22</v>
      </c>
      <c r="J179" s="15">
        <v>22.972212339999999</v>
      </c>
      <c r="K179" s="15">
        <v>158.62293260000001</v>
      </c>
      <c r="L179" s="8" t="s">
        <v>22</v>
      </c>
      <c r="M179" s="15">
        <v>0.3</v>
      </c>
      <c r="N179" s="15">
        <v>17.2</v>
      </c>
      <c r="O179" s="8">
        <f>Table1[[#This Row],[R1 Length (km)]]+Table1[[#This Row],[T1 Length (km)]]</f>
        <v>17.5</v>
      </c>
      <c r="P179" s="5">
        <v>25</v>
      </c>
      <c r="Q179" s="8">
        <f>(Table1[[#This Row],[Linear Features (km)]]*0.4)*100</f>
        <v>700</v>
      </c>
      <c r="R179" s="15">
        <v>59.94</v>
      </c>
      <c r="S179" s="10">
        <f>Table1[[#This Row],[ATG (ha)]]/Table1[[#This Row],[Linear Area (ha)]]</f>
        <v>8.5628571428571429E-2</v>
      </c>
      <c r="T179" s="11" t="s">
        <v>22</v>
      </c>
      <c r="U179" s="11" t="s">
        <v>22</v>
      </c>
      <c r="V179" s="15">
        <v>59.94</v>
      </c>
      <c r="W179" s="15">
        <v>23.975999999999999</v>
      </c>
      <c r="X179" s="13">
        <v>297.551074057817</v>
      </c>
      <c r="Y179" s="12">
        <f>Table1[[#This Row],[Raw Terrestrial Score]]/Table1[[#This Row],[Summed Raw Scores]]</f>
        <v>0.6927804413444042</v>
      </c>
      <c r="Z179" s="13">
        <v>131.95163170620799</v>
      </c>
      <c r="AA179" s="12">
        <f>Table1[[#This Row],[Raw Freshwater Score]]/Table1[[#This Row],[Summed Raw Scores]]</f>
        <v>0.3072195586555958</v>
      </c>
      <c r="AB179" s="12">
        <f>Table1[[#This Row],[Raw Terrestrial Score]]+Table1[[#This Row],[Raw Freshwater Score]]</f>
        <v>429.502705764025</v>
      </c>
      <c r="AC179" s="14">
        <f>Table1[[#This Row],[Terrestrial % of Summed Score]]*Table1[[#This Row],[Scaled Summed Score]]</f>
        <v>4.640515982977831E-2</v>
      </c>
      <c r="AD179" s="14">
        <f>Table1[[#This Row],[Freshwater % of Summed Score]]*Table1[[#This Row],[Scaled Summed Score]]</f>
        <v>2.0578774849042629E-2</v>
      </c>
      <c r="AE179" s="14">
        <f>Table1[[#This Row],[Summed Raw Scores]]/MAX(Table1[Summed Raw Scores])</f>
        <v>6.6983934678820939E-2</v>
      </c>
      <c r="AF179" s="8"/>
    </row>
    <row r="180" spans="1:32" x14ac:dyDescent="0.3">
      <c r="A180" s="7" t="s">
        <v>383</v>
      </c>
      <c r="B180" s="7" t="s">
        <v>58</v>
      </c>
      <c r="C180" s="7" t="s">
        <v>59</v>
      </c>
      <c r="D180" s="7"/>
      <c r="E180" s="15">
        <v>53.883825719999997</v>
      </c>
      <c r="F180" s="15">
        <v>-123.1252483</v>
      </c>
      <c r="G180" s="15">
        <v>24.92307692</v>
      </c>
      <c r="H180" s="7" t="s">
        <v>22</v>
      </c>
      <c r="I180" s="7" t="s">
        <v>22</v>
      </c>
      <c r="J180" s="15">
        <v>38.799224440000003</v>
      </c>
      <c r="K180" s="15">
        <v>155.846732</v>
      </c>
      <c r="L180" s="8" t="s">
        <v>22</v>
      </c>
      <c r="M180" s="15">
        <v>1.1000000000000001</v>
      </c>
      <c r="N180" s="15">
        <v>10.3</v>
      </c>
      <c r="O180" s="8">
        <f>Table1[[#This Row],[R1 Length (km)]]+Table1[[#This Row],[T1 Length (km)]]</f>
        <v>11.4</v>
      </c>
      <c r="P180" s="5">
        <v>69</v>
      </c>
      <c r="Q180" s="8">
        <f>(Table1[[#This Row],[Linear Features (km)]]*0.4)*100</f>
        <v>456.00000000000006</v>
      </c>
      <c r="R180" s="15">
        <v>101.25</v>
      </c>
      <c r="S180" s="10">
        <f>Table1[[#This Row],[ATG (ha)]]/Table1[[#This Row],[Linear Area (ha)]]</f>
        <v>0.22203947368421051</v>
      </c>
      <c r="T180" s="11" t="s">
        <v>22</v>
      </c>
      <c r="U180" s="11" t="s">
        <v>22</v>
      </c>
      <c r="V180" s="15">
        <v>101.25</v>
      </c>
      <c r="W180" s="15">
        <v>40.5</v>
      </c>
      <c r="X180" s="13">
        <v>56.460744019597797</v>
      </c>
      <c r="Y180" s="12">
        <f>Table1[[#This Row],[Raw Terrestrial Score]]/Table1[[#This Row],[Summed Raw Scores]]</f>
        <v>0.2856997533052964</v>
      </c>
      <c r="Z180" s="13">
        <v>141.16191181540501</v>
      </c>
      <c r="AA180" s="12">
        <f>Table1[[#This Row],[Raw Freshwater Score]]/Table1[[#This Row],[Summed Raw Scores]]</f>
        <v>0.7143002466947036</v>
      </c>
      <c r="AB180" s="12">
        <f>Table1[[#This Row],[Raw Terrestrial Score]]+Table1[[#This Row],[Raw Freshwater Score]]</f>
        <v>197.6226558350028</v>
      </c>
      <c r="AC180" s="14">
        <f>Table1[[#This Row],[Terrestrial % of Summed Score]]*Table1[[#This Row],[Scaled Summed Score]]</f>
        <v>8.8054457831616886E-3</v>
      </c>
      <c r="AD180" s="14">
        <f>Table1[[#This Row],[Freshwater % of Summed Score]]*Table1[[#This Row],[Scaled Summed Score]]</f>
        <v>2.2015182100798232E-2</v>
      </c>
      <c r="AE180" s="14">
        <f>Table1[[#This Row],[Summed Raw Scores]]/MAX(Table1[Summed Raw Scores])</f>
        <v>3.0820627883959919E-2</v>
      </c>
      <c r="AF180" s="8"/>
    </row>
    <row r="181" spans="1:32" x14ac:dyDescent="0.3">
      <c r="A181" s="7" t="s">
        <v>363</v>
      </c>
      <c r="B181" s="7" t="s">
        <v>58</v>
      </c>
      <c r="C181" s="7" t="s">
        <v>59</v>
      </c>
      <c r="D181" s="7"/>
      <c r="E181" s="15">
        <v>53.897831050000001</v>
      </c>
      <c r="F181" s="15">
        <v>-123.0377204</v>
      </c>
      <c r="G181" s="15">
        <v>34.69292308</v>
      </c>
      <c r="H181" s="7" t="s">
        <v>22</v>
      </c>
      <c r="I181" s="7" t="s">
        <v>22</v>
      </c>
      <c r="J181" s="15">
        <v>54.238500999999999</v>
      </c>
      <c r="K181" s="15">
        <v>144.98988410000001</v>
      </c>
      <c r="L181" s="8" t="s">
        <v>22</v>
      </c>
      <c r="M181" s="15">
        <v>0.8</v>
      </c>
      <c r="N181" s="15">
        <v>15.4</v>
      </c>
      <c r="O181" s="8">
        <f>Table1[[#This Row],[R1 Length (km)]]+Table1[[#This Row],[T1 Length (km)]]</f>
        <v>16.2</v>
      </c>
      <c r="P181" s="5">
        <v>69</v>
      </c>
      <c r="Q181" s="8">
        <f>(Table1[[#This Row],[Linear Features (km)]]*0.4)*100</f>
        <v>648</v>
      </c>
      <c r="R181" s="15">
        <v>140.94</v>
      </c>
      <c r="S181" s="10">
        <f>Table1[[#This Row],[ATG (ha)]]/Table1[[#This Row],[Linear Area (ha)]]</f>
        <v>0.2175</v>
      </c>
      <c r="T181" s="11" t="s">
        <v>22</v>
      </c>
      <c r="U181" s="11" t="s">
        <v>22</v>
      </c>
      <c r="V181" s="15">
        <v>140.94</v>
      </c>
      <c r="W181" s="15">
        <v>56.375999999999998</v>
      </c>
      <c r="X181" s="13">
        <v>368.47522628307303</v>
      </c>
      <c r="Y181" s="12">
        <f>Table1[[#This Row],[Raw Terrestrial Score]]/Table1[[#This Row],[Summed Raw Scores]]</f>
        <v>0.56004859253378958</v>
      </c>
      <c r="Z181" s="13">
        <v>289.45915868878399</v>
      </c>
      <c r="AA181" s="12">
        <f>Table1[[#This Row],[Raw Freshwater Score]]/Table1[[#This Row],[Summed Raw Scores]]</f>
        <v>0.43995140746621036</v>
      </c>
      <c r="AB181" s="12">
        <f>Table1[[#This Row],[Raw Terrestrial Score]]+Table1[[#This Row],[Raw Freshwater Score]]</f>
        <v>657.93438497185707</v>
      </c>
      <c r="AC181" s="14">
        <f>Table1[[#This Row],[Terrestrial % of Summed Score]]*Table1[[#This Row],[Scaled Summed Score]]</f>
        <v>5.7466274733248675E-2</v>
      </c>
      <c r="AD181" s="14">
        <f>Table1[[#This Row],[Freshwater % of Summed Score]]*Table1[[#This Row],[Scaled Summed Score]]</f>
        <v>4.5143169338841452E-2</v>
      </c>
      <c r="AE181" s="14">
        <f>Table1[[#This Row],[Summed Raw Scores]]/MAX(Table1[Summed Raw Scores])</f>
        <v>0.10260944407209013</v>
      </c>
      <c r="AF181" s="8"/>
    </row>
    <row r="182" spans="1:32" x14ac:dyDescent="0.3">
      <c r="A182" s="7" t="s">
        <v>371</v>
      </c>
      <c r="B182" s="7" t="s">
        <v>58</v>
      </c>
      <c r="C182" s="7" t="s">
        <v>59</v>
      </c>
      <c r="D182" s="7"/>
      <c r="E182" s="15">
        <v>53.836151950000001</v>
      </c>
      <c r="F182" s="15">
        <v>-123.09952749999999</v>
      </c>
      <c r="G182" s="15">
        <v>77.361230770000006</v>
      </c>
      <c r="H182" s="7" t="s">
        <v>22</v>
      </c>
      <c r="I182" s="7" t="s">
        <v>22</v>
      </c>
      <c r="J182" s="15">
        <v>120.16547749999999</v>
      </c>
      <c r="K182" s="15">
        <v>149.45837270000001</v>
      </c>
      <c r="L182" s="8" t="s">
        <v>22</v>
      </c>
      <c r="M182" s="15">
        <v>0</v>
      </c>
      <c r="N182" s="15">
        <v>48.9</v>
      </c>
      <c r="O182" s="8">
        <f>Table1[[#This Row],[R1 Length (km)]]+Table1[[#This Row],[T1 Length (km)]]</f>
        <v>48.9</v>
      </c>
      <c r="P182" s="5">
        <v>130</v>
      </c>
      <c r="Q182" s="8">
        <f>(Table1[[#This Row],[Linear Features (km)]]*0.4)*100</f>
        <v>1956.0000000000002</v>
      </c>
      <c r="R182" s="15">
        <v>314.27999999999997</v>
      </c>
      <c r="S182" s="10">
        <f>Table1[[#This Row],[ATG (ha)]]/Table1[[#This Row],[Linear Area (ha)]]</f>
        <v>0.16067484662576684</v>
      </c>
      <c r="T182" s="11" t="s">
        <v>22</v>
      </c>
      <c r="U182" s="11" t="s">
        <v>22</v>
      </c>
      <c r="V182" s="15">
        <v>314.27999999999997</v>
      </c>
      <c r="W182" s="15">
        <v>125.712</v>
      </c>
      <c r="X182" s="13">
        <v>416.63295412808702</v>
      </c>
      <c r="Y182" s="12">
        <f>Table1[[#This Row],[Raw Terrestrial Score]]/Table1[[#This Row],[Summed Raw Scores]]</f>
        <v>0.54906986998308349</v>
      </c>
      <c r="Z182" s="13">
        <v>342.16474522650202</v>
      </c>
      <c r="AA182" s="12">
        <f>Table1[[#This Row],[Raw Freshwater Score]]/Table1[[#This Row],[Summed Raw Scores]]</f>
        <v>0.45093013001691662</v>
      </c>
      <c r="AB182" s="12">
        <f>Table1[[#This Row],[Raw Terrestrial Score]]+Table1[[#This Row],[Raw Freshwater Score]]</f>
        <v>758.79769935458899</v>
      </c>
      <c r="AC182" s="14">
        <f>Table1[[#This Row],[Terrestrial % of Summed Score]]*Table1[[#This Row],[Scaled Summed Score]]</f>
        <v>6.4976807386384408E-2</v>
      </c>
      <c r="AD182" s="14">
        <f>Table1[[#This Row],[Freshwater % of Summed Score]]*Table1[[#This Row],[Scaled Summed Score]]</f>
        <v>5.3362972191005824E-2</v>
      </c>
      <c r="AE182" s="14">
        <f>Table1[[#This Row],[Summed Raw Scores]]/MAX(Table1[Summed Raw Scores])</f>
        <v>0.11833977957739021</v>
      </c>
      <c r="AF182" s="8"/>
    </row>
    <row r="183" spans="1:32" x14ac:dyDescent="0.3">
      <c r="A183" s="7" t="s">
        <v>304</v>
      </c>
      <c r="B183" s="7" t="s">
        <v>58</v>
      </c>
      <c r="C183" s="7" t="s">
        <v>59</v>
      </c>
      <c r="D183" s="7"/>
      <c r="E183" s="15">
        <v>53.850141479999998</v>
      </c>
      <c r="F183" s="15">
        <v>-123.01207340000001</v>
      </c>
      <c r="G183" s="15">
        <v>163.09661539999999</v>
      </c>
      <c r="H183" s="7" t="s">
        <v>22</v>
      </c>
      <c r="I183" s="7" t="s">
        <v>22</v>
      </c>
      <c r="J183" s="15">
        <v>253.96906899999999</v>
      </c>
      <c r="K183" s="15">
        <v>128.94942349999999</v>
      </c>
      <c r="L183" s="8" t="s">
        <v>22</v>
      </c>
      <c r="M183" s="15">
        <v>0.4</v>
      </c>
      <c r="N183" s="15">
        <v>27.5</v>
      </c>
      <c r="O183" s="8">
        <f>Table1[[#This Row],[R1 Length (km)]]+Table1[[#This Row],[T1 Length (km)]]</f>
        <v>27.9</v>
      </c>
      <c r="P183" s="5">
        <v>230</v>
      </c>
      <c r="Q183" s="8">
        <f>(Table1[[#This Row],[Linear Features (km)]]*0.4)*100</f>
        <v>1116</v>
      </c>
      <c r="R183" s="15">
        <v>662.58</v>
      </c>
      <c r="S183" s="10">
        <f>Table1[[#This Row],[ATG (ha)]]/Table1[[#This Row],[Linear Area (ha)]]</f>
        <v>0.59370967741935488</v>
      </c>
      <c r="T183" s="11" t="s">
        <v>22</v>
      </c>
      <c r="U183" s="11" t="s">
        <v>22</v>
      </c>
      <c r="V183" s="15">
        <v>662.58</v>
      </c>
      <c r="W183" s="15">
        <v>265.03199999999998</v>
      </c>
      <c r="X183" s="13">
        <v>344.57183796539903</v>
      </c>
      <c r="Y183" s="12">
        <f>Table1[[#This Row],[Raw Terrestrial Score]]/Table1[[#This Row],[Summed Raw Scores]]</f>
        <v>0.57658411756660299</v>
      </c>
      <c r="Z183" s="13">
        <v>253.037127435207</v>
      </c>
      <c r="AA183" s="12">
        <f>Table1[[#This Row],[Raw Freshwater Score]]/Table1[[#This Row],[Summed Raw Scores]]</f>
        <v>0.42341588243339695</v>
      </c>
      <c r="AB183" s="12">
        <f>Table1[[#This Row],[Raw Terrestrial Score]]+Table1[[#This Row],[Raw Freshwater Score]]</f>
        <v>597.60896540060605</v>
      </c>
      <c r="AC183" s="14">
        <f>Table1[[#This Row],[Terrestrial % of Summed Score]]*Table1[[#This Row],[Scaled Summed Score]]</f>
        <v>5.3738375047901271E-2</v>
      </c>
      <c r="AD183" s="14">
        <f>Table1[[#This Row],[Freshwater % of Summed Score]]*Table1[[#This Row],[Scaled Summed Score]]</f>
        <v>3.9462900205216998E-2</v>
      </c>
      <c r="AE183" s="14">
        <f>Table1[[#This Row],[Summed Raw Scores]]/MAX(Table1[Summed Raw Scores])</f>
        <v>9.3201275253118276E-2</v>
      </c>
      <c r="AF183" s="8"/>
    </row>
    <row r="184" spans="1:32" x14ac:dyDescent="0.3">
      <c r="A184" s="7" t="s">
        <v>352</v>
      </c>
      <c r="B184" s="7" t="s">
        <v>58</v>
      </c>
      <c r="C184" s="7" t="s">
        <v>59</v>
      </c>
      <c r="D184" s="7"/>
      <c r="E184" s="15">
        <v>53.911793189999997</v>
      </c>
      <c r="F184" s="15">
        <v>-122.9501451</v>
      </c>
      <c r="G184" s="15">
        <v>79.953230770000005</v>
      </c>
      <c r="H184" s="7" t="s">
        <v>22</v>
      </c>
      <c r="I184" s="7" t="s">
        <v>22</v>
      </c>
      <c r="J184" s="15">
        <v>125.1369</v>
      </c>
      <c r="K184" s="15">
        <v>141.2623447</v>
      </c>
      <c r="L184" s="8" t="s">
        <v>22</v>
      </c>
      <c r="M184" s="15">
        <v>0.6</v>
      </c>
      <c r="N184" s="15">
        <v>36.299999999999997</v>
      </c>
      <c r="O184" s="8">
        <f>Table1[[#This Row],[R1 Length (km)]]+Table1[[#This Row],[T1 Length (km)]]</f>
        <v>36.9</v>
      </c>
      <c r="P184" s="5">
        <v>130</v>
      </c>
      <c r="Q184" s="8">
        <f>(Table1[[#This Row],[Linear Features (km)]]*0.4)*100</f>
        <v>1476</v>
      </c>
      <c r="R184" s="15">
        <v>324.81</v>
      </c>
      <c r="S184" s="10">
        <f>Table1[[#This Row],[ATG (ha)]]/Table1[[#This Row],[Linear Area (ha)]]</f>
        <v>0.2200609756097561</v>
      </c>
      <c r="T184" s="11" t="s">
        <v>22</v>
      </c>
      <c r="U184" s="11" t="s">
        <v>22</v>
      </c>
      <c r="V184" s="15">
        <v>324.81</v>
      </c>
      <c r="W184" s="15">
        <v>129.92400000000001</v>
      </c>
      <c r="X184" s="13">
        <v>415.85770349949598</v>
      </c>
      <c r="Y184" s="12">
        <f>Table1[[#This Row],[Raw Terrestrial Score]]/Table1[[#This Row],[Summed Raw Scores]]</f>
        <v>0.57915807898798488</v>
      </c>
      <c r="Z184" s="13">
        <v>302.18063281476498</v>
      </c>
      <c r="AA184" s="12">
        <f>Table1[[#This Row],[Raw Freshwater Score]]/Table1[[#This Row],[Summed Raw Scores]]</f>
        <v>0.42084192101201512</v>
      </c>
      <c r="AB184" s="12">
        <f>Table1[[#This Row],[Raw Terrestrial Score]]+Table1[[#This Row],[Raw Freshwater Score]]</f>
        <v>718.03833631426096</v>
      </c>
      <c r="AC184" s="14">
        <f>Table1[[#This Row],[Terrestrial % of Summed Score]]*Table1[[#This Row],[Scaled Summed Score]]</f>
        <v>6.4855901658042406E-2</v>
      </c>
      <c r="AD184" s="14">
        <f>Table1[[#This Row],[Freshwater % of Summed Score]]*Table1[[#This Row],[Scaled Summed Score]]</f>
        <v>4.712717172214935E-2</v>
      </c>
      <c r="AE184" s="14">
        <f>Table1[[#This Row],[Summed Raw Scores]]/MAX(Table1[Summed Raw Scores])</f>
        <v>0.11198307338019176</v>
      </c>
      <c r="AF184" s="8"/>
    </row>
    <row r="185" spans="1:32" x14ac:dyDescent="0.3">
      <c r="A185" s="7" t="s">
        <v>302</v>
      </c>
      <c r="B185" s="7" t="s">
        <v>58</v>
      </c>
      <c r="C185" s="7" t="s">
        <v>59</v>
      </c>
      <c r="D185" s="7"/>
      <c r="E185" s="15">
        <v>53.925712089999998</v>
      </c>
      <c r="F185" s="15">
        <v>-122.8625225</v>
      </c>
      <c r="G185" s="15">
        <v>113.4498462</v>
      </c>
      <c r="H185" s="7" t="s">
        <v>22</v>
      </c>
      <c r="I185" s="7" t="s">
        <v>22</v>
      </c>
      <c r="J185" s="15">
        <v>179.15782189999999</v>
      </c>
      <c r="K185" s="15">
        <v>128.72191280000001</v>
      </c>
      <c r="L185" s="8" t="s">
        <v>22</v>
      </c>
      <c r="M185" s="15">
        <v>0</v>
      </c>
      <c r="N185" s="15">
        <v>31.3</v>
      </c>
      <c r="O185" s="8">
        <f>Table1[[#This Row],[R1 Length (km)]]+Table1[[#This Row],[T1 Length (km)]]</f>
        <v>31.3</v>
      </c>
      <c r="P185" s="5">
        <v>130</v>
      </c>
      <c r="Q185" s="8">
        <f>(Table1[[#This Row],[Linear Features (km)]]*0.4)*100</f>
        <v>1252.0000000000002</v>
      </c>
      <c r="R185" s="15">
        <v>460.89</v>
      </c>
      <c r="S185" s="10">
        <f>Table1[[#This Row],[ATG (ha)]]/Table1[[#This Row],[Linear Area (ha)]]</f>
        <v>0.36812300319488811</v>
      </c>
      <c r="T185" s="11" t="s">
        <v>22</v>
      </c>
      <c r="U185" s="11" t="s">
        <v>22</v>
      </c>
      <c r="V185" s="15">
        <v>460.89</v>
      </c>
      <c r="W185" s="15">
        <v>184.35599999999999</v>
      </c>
      <c r="X185" s="13">
        <v>263.15780233964301</v>
      </c>
      <c r="Y185" s="12">
        <f>Table1[[#This Row],[Raw Terrestrial Score]]/Table1[[#This Row],[Summed Raw Scores]]</f>
        <v>0.59407359274555938</v>
      </c>
      <c r="Z185" s="13">
        <v>179.81391960382501</v>
      </c>
      <c r="AA185" s="12">
        <f>Table1[[#This Row],[Raw Freshwater Score]]/Table1[[#This Row],[Summed Raw Scores]]</f>
        <v>0.40592640725444057</v>
      </c>
      <c r="AB185" s="12">
        <f>Table1[[#This Row],[Raw Terrestrial Score]]+Table1[[#This Row],[Raw Freshwater Score]]</f>
        <v>442.97172194346803</v>
      </c>
      <c r="AC185" s="14">
        <f>Table1[[#This Row],[Terrestrial % of Summed Score]]*Table1[[#This Row],[Scaled Summed Score]]</f>
        <v>4.1041289858195766E-2</v>
      </c>
      <c r="AD185" s="14">
        <f>Table1[[#This Row],[Freshwater % of Summed Score]]*Table1[[#This Row],[Scaled Summed Score]]</f>
        <v>2.8043231587236792E-2</v>
      </c>
      <c r="AE185" s="14">
        <f>Table1[[#This Row],[Summed Raw Scores]]/MAX(Table1[Summed Raw Scores])</f>
        <v>6.9084521445432562E-2</v>
      </c>
      <c r="AF185" s="8"/>
    </row>
    <row r="186" spans="1:32" x14ac:dyDescent="0.3">
      <c r="A186" s="7" t="s">
        <v>386</v>
      </c>
      <c r="B186" s="7" t="s">
        <v>58</v>
      </c>
      <c r="C186" s="7" t="s">
        <v>59</v>
      </c>
      <c r="D186" s="7"/>
      <c r="E186" s="15">
        <v>53.864087849999997</v>
      </c>
      <c r="F186" s="15">
        <v>-122.92457210000001</v>
      </c>
      <c r="G186" s="15">
        <v>56.226461540000003</v>
      </c>
      <c r="H186" s="7" t="s">
        <v>22</v>
      </c>
      <c r="I186" s="7" t="s">
        <v>22</v>
      </c>
      <c r="J186" s="15">
        <v>88.359315530000003</v>
      </c>
      <c r="K186" s="15">
        <v>156.55513719999999</v>
      </c>
      <c r="L186" s="8" t="s">
        <v>22</v>
      </c>
      <c r="M186" s="15">
        <v>0.3</v>
      </c>
      <c r="N186" s="15">
        <v>39.700000000000003</v>
      </c>
      <c r="O186" s="8">
        <f>Table1[[#This Row],[R1 Length (km)]]+Table1[[#This Row],[T1 Length (km)]]</f>
        <v>40</v>
      </c>
      <c r="P186" s="5">
        <v>130</v>
      </c>
      <c r="Q186" s="8">
        <f>(Table1[[#This Row],[Linear Features (km)]]*0.4)*100</f>
        <v>1600</v>
      </c>
      <c r="R186" s="15">
        <v>228.42</v>
      </c>
      <c r="S186" s="10">
        <f>Table1[[#This Row],[ATG (ha)]]/Table1[[#This Row],[Linear Area (ha)]]</f>
        <v>0.14276249999999999</v>
      </c>
      <c r="T186" s="11" t="s">
        <v>22</v>
      </c>
      <c r="U186" s="11" t="s">
        <v>22</v>
      </c>
      <c r="V186" s="15">
        <v>228.42</v>
      </c>
      <c r="W186" s="15">
        <v>91.367999999999995</v>
      </c>
      <c r="X186" s="13">
        <v>368.46295157447503</v>
      </c>
      <c r="Y186" s="12">
        <f>Table1[[#This Row],[Raw Terrestrial Score]]/Table1[[#This Row],[Summed Raw Scores]]</f>
        <v>0.55618393449063919</v>
      </c>
      <c r="Z186" s="13">
        <v>294.02103748917602</v>
      </c>
      <c r="AA186" s="12">
        <f>Table1[[#This Row],[Raw Freshwater Score]]/Table1[[#This Row],[Summed Raw Scores]]</f>
        <v>0.44381606550936081</v>
      </c>
      <c r="AB186" s="12">
        <f>Table1[[#This Row],[Raw Terrestrial Score]]+Table1[[#This Row],[Raw Freshwater Score]]</f>
        <v>662.48398906365105</v>
      </c>
      <c r="AC186" s="14">
        <f>Table1[[#This Row],[Terrestrial % of Summed Score]]*Table1[[#This Row],[Scaled Summed Score]]</f>
        <v>5.7464360407057262E-2</v>
      </c>
      <c r="AD186" s="14">
        <f>Table1[[#This Row],[Freshwater % of Summed Score]]*Table1[[#This Row],[Scaled Summed Score]]</f>
        <v>4.5854626071190986E-2</v>
      </c>
      <c r="AE186" s="14">
        <f>Table1[[#This Row],[Summed Raw Scores]]/MAX(Table1[Summed Raw Scores])</f>
        <v>0.10331898647824825</v>
      </c>
      <c r="AF186" s="8"/>
    </row>
    <row r="187" spans="1:32" x14ac:dyDescent="0.3">
      <c r="A187" s="7" t="s">
        <v>339</v>
      </c>
      <c r="B187" s="7" t="s">
        <v>58</v>
      </c>
      <c r="C187" s="7" t="s">
        <v>59</v>
      </c>
      <c r="D187" s="7"/>
      <c r="E187" s="15">
        <v>53.877991010000002</v>
      </c>
      <c r="F187" s="15">
        <v>-122.8370235</v>
      </c>
      <c r="G187" s="15">
        <v>33.496615380000001</v>
      </c>
      <c r="H187" s="7" t="s">
        <v>22</v>
      </c>
      <c r="I187" s="7" t="s">
        <v>22</v>
      </c>
      <c r="J187" s="15">
        <v>52.848051429999998</v>
      </c>
      <c r="K187" s="15">
        <v>138.08396289999999</v>
      </c>
      <c r="L187" s="8" t="s">
        <v>22</v>
      </c>
      <c r="M187" s="15">
        <v>1.6</v>
      </c>
      <c r="N187" s="15">
        <v>3.9</v>
      </c>
      <c r="O187" s="8">
        <f>Table1[[#This Row],[R1 Length (km)]]+Table1[[#This Row],[T1 Length (km)]]</f>
        <v>5.5</v>
      </c>
      <c r="P187" s="5">
        <v>69</v>
      </c>
      <c r="Q187" s="8">
        <f>(Table1[[#This Row],[Linear Features (km)]]*0.4)*100</f>
        <v>220.00000000000003</v>
      </c>
      <c r="R187" s="15">
        <v>136.08000000000001</v>
      </c>
      <c r="S187" s="10">
        <f>Table1[[#This Row],[ATG (ha)]]/Table1[[#This Row],[Linear Area (ha)]]</f>
        <v>0.61854545454545451</v>
      </c>
      <c r="T187" s="11" t="s">
        <v>22</v>
      </c>
      <c r="U187" s="11" t="s">
        <v>22</v>
      </c>
      <c r="V187" s="15">
        <v>136.08000000000001</v>
      </c>
      <c r="W187" s="15">
        <v>54.432000000000002</v>
      </c>
      <c r="X187" s="13">
        <v>25.6830025911331</v>
      </c>
      <c r="Y187" s="12">
        <f>Table1[[#This Row],[Raw Terrestrial Score]]/Table1[[#This Row],[Summed Raw Scores]]</f>
        <v>0.28576940847325366</v>
      </c>
      <c r="Z187" s="13">
        <v>64.190167278051405</v>
      </c>
      <c r="AA187" s="12">
        <f>Table1[[#This Row],[Raw Freshwater Score]]/Table1[[#This Row],[Summed Raw Scores]]</f>
        <v>0.71423059152674628</v>
      </c>
      <c r="AB187" s="12">
        <f>Table1[[#This Row],[Raw Terrestrial Score]]+Table1[[#This Row],[Raw Freshwater Score]]</f>
        <v>89.873169869184508</v>
      </c>
      <c r="AC187" s="14">
        <f>Table1[[#This Row],[Terrestrial % of Summed Score]]*Table1[[#This Row],[Scaled Summed Score]]</f>
        <v>4.0054429106801325E-3</v>
      </c>
      <c r="AD187" s="14">
        <f>Table1[[#This Row],[Freshwater % of Summed Score]]*Table1[[#This Row],[Scaled Summed Score]]</f>
        <v>1.0010903107879157E-2</v>
      </c>
      <c r="AE187" s="14">
        <f>Table1[[#This Row],[Summed Raw Scores]]/MAX(Table1[Summed Raw Scores])</f>
        <v>1.401634601855929E-2</v>
      </c>
      <c r="AF187" s="8"/>
    </row>
    <row r="188" spans="1:32" x14ac:dyDescent="0.3">
      <c r="A188" s="7" t="s">
        <v>293</v>
      </c>
      <c r="B188" s="7" t="s">
        <v>58</v>
      </c>
      <c r="C188" s="7" t="s">
        <v>59</v>
      </c>
      <c r="D188" s="7"/>
      <c r="E188" s="15">
        <v>53.939587699999997</v>
      </c>
      <c r="F188" s="15">
        <v>-122.7748527</v>
      </c>
      <c r="G188" s="15">
        <v>117.23815380000001</v>
      </c>
      <c r="H188" s="7" t="s">
        <v>22</v>
      </c>
      <c r="I188" s="7" t="s">
        <v>22</v>
      </c>
      <c r="J188" s="15">
        <v>185.2655259</v>
      </c>
      <c r="K188" s="15">
        <v>126.7814691</v>
      </c>
      <c r="L188" s="8" t="s">
        <v>22</v>
      </c>
      <c r="M188" s="15">
        <v>0.6</v>
      </c>
      <c r="N188" s="15">
        <v>27.4</v>
      </c>
      <c r="O188" s="8">
        <f>Table1[[#This Row],[R1 Length (km)]]+Table1[[#This Row],[T1 Length (km)]]</f>
        <v>28</v>
      </c>
      <c r="P188" s="5">
        <v>130</v>
      </c>
      <c r="Q188" s="8">
        <f>(Table1[[#This Row],[Linear Features (km)]]*0.4)*100</f>
        <v>1120</v>
      </c>
      <c r="R188" s="15">
        <v>476.28</v>
      </c>
      <c r="S188" s="10">
        <f>Table1[[#This Row],[ATG (ha)]]/Table1[[#This Row],[Linear Area (ha)]]</f>
        <v>0.42524999999999996</v>
      </c>
      <c r="T188" s="11" t="s">
        <v>22</v>
      </c>
      <c r="U188" s="11" t="s">
        <v>22</v>
      </c>
      <c r="V188" s="15">
        <v>476.28</v>
      </c>
      <c r="W188" s="15">
        <v>190.512</v>
      </c>
      <c r="X188" s="13">
        <v>255.834403306246</v>
      </c>
      <c r="Y188" s="12">
        <f>Table1[[#This Row],[Raw Terrestrial Score]]/Table1[[#This Row],[Summed Raw Scores]]</f>
        <v>0.57193015573522832</v>
      </c>
      <c r="Z188" s="13">
        <v>191.48315940797301</v>
      </c>
      <c r="AA188" s="12">
        <f>Table1[[#This Row],[Raw Freshwater Score]]/Table1[[#This Row],[Summed Raw Scores]]</f>
        <v>0.42806984426477179</v>
      </c>
      <c r="AB188" s="12">
        <f>Table1[[#This Row],[Raw Terrestrial Score]]+Table1[[#This Row],[Raw Freshwater Score]]</f>
        <v>447.31756271421898</v>
      </c>
      <c r="AC188" s="14">
        <f>Table1[[#This Row],[Terrestrial % of Summed Score]]*Table1[[#This Row],[Scaled Summed Score]]</f>
        <v>3.9899154835769349E-2</v>
      </c>
      <c r="AD188" s="14">
        <f>Table1[[#This Row],[Freshwater % of Summed Score]]*Table1[[#This Row],[Scaled Summed Score]]</f>
        <v>2.9863130708482368E-2</v>
      </c>
      <c r="AE188" s="14">
        <f>Table1[[#This Row],[Summed Raw Scores]]/MAX(Table1[Summed Raw Scores])</f>
        <v>6.9762285544251706E-2</v>
      </c>
      <c r="AF188" s="8"/>
    </row>
    <row r="189" spans="1:32" x14ac:dyDescent="0.3">
      <c r="A189" s="7" t="s">
        <v>266</v>
      </c>
      <c r="B189" s="7" t="s">
        <v>58</v>
      </c>
      <c r="C189" s="7" t="s">
        <v>59</v>
      </c>
      <c r="D189" s="7"/>
      <c r="E189" s="15">
        <v>53.953420000000001</v>
      </c>
      <c r="F189" s="15">
        <v>-122.68713579999999</v>
      </c>
      <c r="G189" s="15">
        <v>204.16984619999999</v>
      </c>
      <c r="H189" s="7" t="s">
        <v>22</v>
      </c>
      <c r="I189" s="7" t="s">
        <v>22</v>
      </c>
      <c r="J189" s="15">
        <v>317.67374080000002</v>
      </c>
      <c r="K189" s="15">
        <v>121.5247313</v>
      </c>
      <c r="L189" s="8" t="s">
        <v>22</v>
      </c>
      <c r="M189" s="15">
        <v>0.3</v>
      </c>
      <c r="N189" s="15">
        <v>13.8</v>
      </c>
      <c r="O189" s="8">
        <f>Table1[[#This Row],[R1 Length (km)]]+Table1[[#This Row],[T1 Length (km)]]</f>
        <v>14.100000000000001</v>
      </c>
      <c r="P189" s="5">
        <v>230</v>
      </c>
      <c r="Q189" s="8">
        <f>(Table1[[#This Row],[Linear Features (km)]]*0.4)*100</f>
        <v>564</v>
      </c>
      <c r="R189" s="15">
        <v>829.44</v>
      </c>
      <c r="S189" s="10">
        <f>Table1[[#This Row],[ATG (ha)]]/Table1[[#This Row],[Linear Area (ha)]]</f>
        <v>1.4706382978723405</v>
      </c>
      <c r="T189" s="11" t="s">
        <v>22</v>
      </c>
      <c r="U189" s="11" t="s">
        <v>22</v>
      </c>
      <c r="V189" s="15">
        <v>829.44</v>
      </c>
      <c r="W189" s="15">
        <v>331.77600000000001</v>
      </c>
      <c r="X189" s="13">
        <v>218.16548430919599</v>
      </c>
      <c r="Y189" s="12">
        <f>Table1[[#This Row],[Raw Terrestrial Score]]/Table1[[#This Row],[Summed Raw Scores]]</f>
        <v>0.56126072039473984</v>
      </c>
      <c r="Z189" s="13">
        <v>170.54064883291699</v>
      </c>
      <c r="AA189" s="12">
        <f>Table1[[#This Row],[Raw Freshwater Score]]/Table1[[#This Row],[Summed Raw Scores]]</f>
        <v>0.4387392796052601</v>
      </c>
      <c r="AB189" s="12">
        <f>Table1[[#This Row],[Raw Terrestrial Score]]+Table1[[#This Row],[Raw Freshwater Score]]</f>
        <v>388.706133142113</v>
      </c>
      <c r="AC189" s="14">
        <f>Table1[[#This Row],[Terrestrial % of Summed Score]]*Table1[[#This Row],[Scaled Summed Score]]</f>
        <v>3.402442488492595E-2</v>
      </c>
      <c r="AD189" s="14">
        <f>Table1[[#This Row],[Freshwater % of Summed Score]]*Table1[[#This Row],[Scaled Summed Score]]</f>
        <v>2.6597000503610517E-2</v>
      </c>
      <c r="AE189" s="14">
        <f>Table1[[#This Row],[Summed Raw Scores]]/MAX(Table1[Summed Raw Scores])</f>
        <v>6.0621425388536473E-2</v>
      </c>
      <c r="AF189" s="8"/>
    </row>
    <row r="190" spans="1:32" x14ac:dyDescent="0.3">
      <c r="A190" s="7" t="s">
        <v>65</v>
      </c>
      <c r="B190" s="7" t="s">
        <v>58</v>
      </c>
      <c r="C190" s="7" t="s">
        <v>59</v>
      </c>
      <c r="D190" s="7"/>
      <c r="E190" s="8">
        <v>53.891850929999997</v>
      </c>
      <c r="F190" s="8">
        <v>-122.7494279</v>
      </c>
      <c r="G190" s="8">
        <v>370.45661538500002</v>
      </c>
      <c r="H190" s="8" t="s">
        <v>22</v>
      </c>
      <c r="I190" s="8" t="s">
        <v>22</v>
      </c>
      <c r="J190" s="8">
        <v>580.13911071541554</v>
      </c>
      <c r="K190" s="8">
        <v>100.256598345669</v>
      </c>
      <c r="L190" s="8" t="s">
        <v>22</v>
      </c>
      <c r="M190" s="8">
        <v>0</v>
      </c>
      <c r="N190" s="8">
        <v>12.1</v>
      </c>
      <c r="O190" s="8">
        <f>Table1[[#This Row],[R1 Length (km)]]+Table1[[#This Row],[T1 Length (km)]]</f>
        <v>12.1</v>
      </c>
      <c r="P190" s="7">
        <v>230</v>
      </c>
      <c r="Q190" s="8">
        <f>(Table1[[#This Row],[Linear Features (km)]]*0.4)*100</f>
        <v>484</v>
      </c>
      <c r="R190" s="8">
        <v>329.67</v>
      </c>
      <c r="S190" s="21">
        <f>Table1[[#This Row],[ATG (ha)]]/Table1[[#This Row],[Linear Area (ha)]]</f>
        <v>0.68113636363636365</v>
      </c>
      <c r="T190" s="11" t="s">
        <v>22</v>
      </c>
      <c r="U190" s="11" t="s">
        <v>22</v>
      </c>
      <c r="V190" s="8">
        <v>329.67</v>
      </c>
      <c r="W190" s="8">
        <v>131.86800000000002</v>
      </c>
      <c r="X190" s="13">
        <v>309.92168021202099</v>
      </c>
      <c r="Y190" s="12">
        <f>Table1[[#This Row],[Raw Terrestrial Score]]/Table1[[#This Row],[Summed Raw Scores]]</f>
        <v>0.69669709850069761</v>
      </c>
      <c r="Z190" s="13">
        <v>134.92254388332401</v>
      </c>
      <c r="AA190" s="12">
        <f>Table1[[#This Row],[Raw Freshwater Score]]/Table1[[#This Row],[Summed Raw Scores]]</f>
        <v>0.30330290149930234</v>
      </c>
      <c r="AB190" s="12">
        <f>Table1[[#This Row],[Raw Terrestrial Score]]+Table1[[#This Row],[Raw Freshwater Score]]</f>
        <v>444.844224095345</v>
      </c>
      <c r="AC190" s="14">
        <f>Table1[[#This Row],[Terrestrial % of Summed Score]]*Table1[[#This Row],[Scaled Summed Score]]</f>
        <v>4.8334441912173114E-2</v>
      </c>
      <c r="AD190" s="14">
        <f>Table1[[#This Row],[Freshwater % of Summed Score]]*Table1[[#This Row],[Scaled Summed Score]]</f>
        <v>2.1042109269379872E-2</v>
      </c>
      <c r="AE190" s="14">
        <f>Table1[[#This Row],[Summed Raw Scores]]/MAX(Table1[Summed Raw Scores])</f>
        <v>6.937655118155299E-2</v>
      </c>
      <c r="AF190" s="8"/>
    </row>
    <row r="191" spans="1:32" x14ac:dyDescent="0.3">
      <c r="A191" s="7" t="s">
        <v>66</v>
      </c>
      <c r="B191" s="7" t="s">
        <v>58</v>
      </c>
      <c r="C191" s="7" t="s">
        <v>59</v>
      </c>
      <c r="D191" s="7"/>
      <c r="E191" s="8">
        <v>53.905667559999998</v>
      </c>
      <c r="F191" s="8">
        <v>-122.66178530000001</v>
      </c>
      <c r="G191" s="8">
        <v>382.61907692300002</v>
      </c>
      <c r="H191" s="8" t="s">
        <v>22</v>
      </c>
      <c r="I191" s="8" t="s">
        <v>22</v>
      </c>
      <c r="J191" s="8">
        <v>593.97001973886643</v>
      </c>
      <c r="K191" s="8">
        <v>100.52005295582235</v>
      </c>
      <c r="L191" s="8" t="s">
        <v>22</v>
      </c>
      <c r="M191" s="8">
        <v>0.3</v>
      </c>
      <c r="N191" s="8">
        <v>7.9</v>
      </c>
      <c r="O191" s="8">
        <f>Table1[[#This Row],[R1 Length (km)]]+Table1[[#This Row],[T1 Length (km)]]</f>
        <v>8.2000000000000011</v>
      </c>
      <c r="P191" s="7">
        <v>230</v>
      </c>
      <c r="Q191" s="8">
        <f>(Table1[[#This Row],[Linear Features (km)]]*0.4)*100</f>
        <v>328.00000000000006</v>
      </c>
      <c r="R191" s="8">
        <v>357.21</v>
      </c>
      <c r="S191" s="21">
        <f>Table1[[#This Row],[ATG (ha)]]/Table1[[#This Row],[Linear Area (ha)]]</f>
        <v>1.0890548780487803</v>
      </c>
      <c r="T191" s="11" t="s">
        <v>22</v>
      </c>
      <c r="U191" s="11" t="s">
        <v>22</v>
      </c>
      <c r="V191" s="8">
        <v>357.21</v>
      </c>
      <c r="W191" s="8">
        <v>142.88399999999999</v>
      </c>
      <c r="X191" s="13">
        <v>138.551575779915</v>
      </c>
      <c r="Y191" s="12">
        <f>Table1[[#This Row],[Raw Terrestrial Score]]/Table1[[#This Row],[Summed Raw Scores]]</f>
        <v>0.52829175260907624</v>
      </c>
      <c r="Z191" s="13">
        <v>123.71179497241999</v>
      </c>
      <c r="AA191" s="12">
        <f>Table1[[#This Row],[Raw Freshwater Score]]/Table1[[#This Row],[Summed Raw Scores]]</f>
        <v>0.47170824739092376</v>
      </c>
      <c r="AB191" s="12">
        <f>Table1[[#This Row],[Raw Terrestrial Score]]+Table1[[#This Row],[Raw Freshwater Score]]</f>
        <v>262.26337075233499</v>
      </c>
      <c r="AC191" s="14">
        <f>Table1[[#This Row],[Terrestrial % of Summed Score]]*Table1[[#This Row],[Scaled Summed Score]]</f>
        <v>2.1608082037994199E-2</v>
      </c>
      <c r="AD191" s="14">
        <f>Table1[[#This Row],[Freshwater % of Summed Score]]*Table1[[#This Row],[Scaled Summed Score]]</f>
        <v>1.9293714992298802E-2</v>
      </c>
      <c r="AE191" s="14">
        <f>Table1[[#This Row],[Summed Raw Scores]]/MAX(Table1[Summed Raw Scores])</f>
        <v>4.0901797030293001E-2</v>
      </c>
      <c r="AF191" s="8"/>
    </row>
    <row r="192" spans="1:32" x14ac:dyDescent="0.3">
      <c r="A192" s="7" t="s">
        <v>274</v>
      </c>
      <c r="B192" s="7" t="s">
        <v>58</v>
      </c>
      <c r="C192" s="7" t="s">
        <v>59</v>
      </c>
      <c r="D192" s="7"/>
      <c r="E192" s="15">
        <v>53.967208919999997</v>
      </c>
      <c r="F192" s="15">
        <v>-122.599372</v>
      </c>
      <c r="G192" s="15">
        <v>129.20123079999999</v>
      </c>
      <c r="H192" s="7" t="s">
        <v>22</v>
      </c>
      <c r="I192" s="7" t="s">
        <v>22</v>
      </c>
      <c r="J192" s="15">
        <v>204.3688823</v>
      </c>
      <c r="K192" s="15">
        <v>122.9682306</v>
      </c>
      <c r="L192" s="8" t="s">
        <v>22</v>
      </c>
      <c r="M192" s="15">
        <v>0.3</v>
      </c>
      <c r="N192" s="15">
        <v>20.8</v>
      </c>
      <c r="O192" s="8">
        <f>Table1[[#This Row],[R1 Length (km)]]+Table1[[#This Row],[T1 Length (km)]]</f>
        <v>21.1</v>
      </c>
      <c r="P192" s="5">
        <v>130</v>
      </c>
      <c r="Q192" s="8">
        <f>(Table1[[#This Row],[Linear Features (km)]]*0.4)*100</f>
        <v>844.00000000000011</v>
      </c>
      <c r="R192" s="15">
        <v>524.88</v>
      </c>
      <c r="S192" s="10">
        <f>Table1[[#This Row],[ATG (ha)]]/Table1[[#This Row],[Linear Area (ha)]]</f>
        <v>0.6218957345971563</v>
      </c>
      <c r="T192" s="11" t="s">
        <v>22</v>
      </c>
      <c r="U192" s="11" t="s">
        <v>22</v>
      </c>
      <c r="V192" s="15">
        <v>524.88</v>
      </c>
      <c r="W192" s="15">
        <v>209.952</v>
      </c>
      <c r="X192" s="13">
        <v>310.82760488986997</v>
      </c>
      <c r="Y192" s="12">
        <f>Table1[[#This Row],[Raw Terrestrial Score]]/Table1[[#This Row],[Summed Raw Scores]]</f>
        <v>0.61159639884045969</v>
      </c>
      <c r="Z192" s="13">
        <v>197.39580106735201</v>
      </c>
      <c r="AA192" s="12">
        <f>Table1[[#This Row],[Raw Freshwater Score]]/Table1[[#This Row],[Summed Raw Scores]]</f>
        <v>0.38840360115954037</v>
      </c>
      <c r="AB192" s="12">
        <f>Table1[[#This Row],[Raw Terrestrial Score]]+Table1[[#This Row],[Raw Freshwater Score]]</f>
        <v>508.22340595722198</v>
      </c>
      <c r="AC192" s="14">
        <f>Table1[[#This Row],[Terrestrial % of Summed Score]]*Table1[[#This Row],[Scaled Summed Score]]</f>
        <v>4.8475727167494209E-2</v>
      </c>
      <c r="AD192" s="14">
        <f>Table1[[#This Row],[Freshwater % of Summed Score]]*Table1[[#This Row],[Scaled Summed Score]]</f>
        <v>3.0785248304893313E-2</v>
      </c>
      <c r="AE192" s="14">
        <f>Table1[[#This Row],[Summed Raw Scores]]/MAX(Table1[Summed Raw Scores])</f>
        <v>7.9260975472387515E-2</v>
      </c>
      <c r="AF192" s="8"/>
    </row>
    <row r="193" spans="1:32" x14ac:dyDescent="0.3">
      <c r="A193" s="7" t="s">
        <v>327</v>
      </c>
      <c r="B193" s="7" t="s">
        <v>58</v>
      </c>
      <c r="C193" s="7" t="s">
        <v>59</v>
      </c>
      <c r="D193" s="7"/>
      <c r="E193" s="15">
        <v>53.980954449999999</v>
      </c>
      <c r="F193" s="15">
        <v>-122.5115613</v>
      </c>
      <c r="G193" s="15">
        <v>41.671384619999998</v>
      </c>
      <c r="H193" s="7" t="s">
        <v>22</v>
      </c>
      <c r="I193" s="7" t="s">
        <v>22</v>
      </c>
      <c r="J193" s="15">
        <v>67.307982060000001</v>
      </c>
      <c r="K193" s="15">
        <v>133.56805600000001</v>
      </c>
      <c r="L193" s="8" t="s">
        <v>22</v>
      </c>
      <c r="M193" s="15">
        <v>0.3</v>
      </c>
      <c r="N193" s="15">
        <v>14.4</v>
      </c>
      <c r="O193" s="8">
        <f>Table1[[#This Row],[R1 Length (km)]]+Table1[[#This Row],[T1 Length (km)]]</f>
        <v>14.700000000000001</v>
      </c>
      <c r="P193" s="5">
        <v>69</v>
      </c>
      <c r="Q193" s="8">
        <f>(Table1[[#This Row],[Linear Features (km)]]*0.4)*100</f>
        <v>588.00000000000011</v>
      </c>
      <c r="R193" s="15">
        <v>169.29</v>
      </c>
      <c r="S193" s="10">
        <f>Table1[[#This Row],[ATG (ha)]]/Table1[[#This Row],[Linear Area (ha)]]</f>
        <v>0.28790816326530605</v>
      </c>
      <c r="T193" s="11" t="s">
        <v>22</v>
      </c>
      <c r="U193" s="11" t="s">
        <v>22</v>
      </c>
      <c r="V193" s="15">
        <v>169.29</v>
      </c>
      <c r="W193" s="15">
        <v>67.715999999999994</v>
      </c>
      <c r="X193" s="13">
        <v>125.885280489922</v>
      </c>
      <c r="Y193" s="12">
        <f>Table1[[#This Row],[Raw Terrestrial Score]]/Table1[[#This Row],[Summed Raw Scores]]</f>
        <v>0.62673139776471465</v>
      </c>
      <c r="Z193" s="13">
        <v>74.974738553166404</v>
      </c>
      <c r="AA193" s="12">
        <f>Table1[[#This Row],[Raw Freshwater Score]]/Table1[[#This Row],[Summed Raw Scores]]</f>
        <v>0.3732686022352853</v>
      </c>
      <c r="AB193" s="12">
        <f>Table1[[#This Row],[Raw Terrestrial Score]]+Table1[[#This Row],[Raw Freshwater Score]]</f>
        <v>200.86001904308841</v>
      </c>
      <c r="AC193" s="14">
        <f>Table1[[#This Row],[Terrestrial % of Summed Score]]*Table1[[#This Row],[Scaled Summed Score]]</f>
        <v>1.9632685177994689E-2</v>
      </c>
      <c r="AD193" s="14">
        <f>Table1[[#This Row],[Freshwater % of Summed Score]]*Table1[[#This Row],[Scaled Summed Score]]</f>
        <v>1.1692832018073926E-2</v>
      </c>
      <c r="AE193" s="14">
        <f>Table1[[#This Row],[Summed Raw Scores]]/MAX(Table1[Summed Raw Scores])</f>
        <v>3.1325517196068617E-2</v>
      </c>
      <c r="AF193" s="8"/>
    </row>
    <row r="194" spans="1:32" x14ac:dyDescent="0.3">
      <c r="A194" s="7" t="s">
        <v>292</v>
      </c>
      <c r="B194" s="7" t="s">
        <v>58</v>
      </c>
      <c r="C194" s="7" t="s">
        <v>59</v>
      </c>
      <c r="D194" s="7"/>
      <c r="E194" s="15">
        <v>53.919440860000002</v>
      </c>
      <c r="F194" s="15">
        <v>-122.5740959</v>
      </c>
      <c r="G194" s="15">
        <v>122.4221538</v>
      </c>
      <c r="H194" s="7" t="s">
        <v>22</v>
      </c>
      <c r="I194" s="7" t="s">
        <v>22</v>
      </c>
      <c r="J194" s="15">
        <v>191.8030253</v>
      </c>
      <c r="K194" s="15">
        <v>126.719905</v>
      </c>
      <c r="L194" s="8" t="s">
        <v>22</v>
      </c>
      <c r="M194" s="15">
        <v>0.6</v>
      </c>
      <c r="N194" s="15">
        <v>8.8000000000000007</v>
      </c>
      <c r="O194" s="8">
        <f>Table1[[#This Row],[R1 Length (km)]]+Table1[[#This Row],[T1 Length (km)]]</f>
        <v>9.4</v>
      </c>
      <c r="P194" s="5">
        <v>230</v>
      </c>
      <c r="Q194" s="8">
        <f>(Table1[[#This Row],[Linear Features (km)]]*0.4)*100</f>
        <v>376</v>
      </c>
      <c r="R194" s="15">
        <v>497.34</v>
      </c>
      <c r="S194" s="10">
        <f>Table1[[#This Row],[ATG (ha)]]/Table1[[#This Row],[Linear Area (ha)]]</f>
        <v>1.3227127659574467</v>
      </c>
      <c r="T194" s="11" t="s">
        <v>22</v>
      </c>
      <c r="U194" s="11" t="s">
        <v>22</v>
      </c>
      <c r="V194" s="15">
        <v>497.34</v>
      </c>
      <c r="W194" s="15">
        <v>198.93600000000001</v>
      </c>
      <c r="X194" s="13">
        <v>175.13456797599801</v>
      </c>
      <c r="Y194" s="12">
        <f>Table1[[#This Row],[Raw Terrestrial Score]]/Table1[[#This Row],[Summed Raw Scores]]</f>
        <v>0.69498761798335063</v>
      </c>
      <c r="Z194" s="13">
        <v>76.862105697393403</v>
      </c>
      <c r="AA194" s="12">
        <f>Table1[[#This Row],[Raw Freshwater Score]]/Table1[[#This Row],[Summed Raw Scores]]</f>
        <v>0.30501238201664943</v>
      </c>
      <c r="AB194" s="12">
        <f>Table1[[#This Row],[Raw Terrestrial Score]]+Table1[[#This Row],[Raw Freshwater Score]]</f>
        <v>251.9966736733914</v>
      </c>
      <c r="AC194" s="14">
        <f>Table1[[#This Row],[Terrestrial % of Summed Score]]*Table1[[#This Row],[Scaled Summed Score]]</f>
        <v>2.7313454150282048E-2</v>
      </c>
      <c r="AD194" s="14">
        <f>Table1[[#This Row],[Freshwater % of Summed Score]]*Table1[[#This Row],[Scaled Summed Score]]</f>
        <v>1.1987180053155487E-2</v>
      </c>
      <c r="AE194" s="14">
        <f>Table1[[#This Row],[Summed Raw Scores]]/MAX(Table1[Summed Raw Scores])</f>
        <v>3.9300634203437532E-2</v>
      </c>
      <c r="AF194" s="8"/>
    </row>
    <row r="195" spans="1:32" x14ac:dyDescent="0.3">
      <c r="A195" s="7" t="s">
        <v>333</v>
      </c>
      <c r="B195" s="7" t="s">
        <v>58</v>
      </c>
      <c r="C195" s="7" t="s">
        <v>59</v>
      </c>
      <c r="D195" s="7"/>
      <c r="E195" s="15">
        <v>53.933170789999998</v>
      </c>
      <c r="F195" s="15">
        <v>-122.48635969999999</v>
      </c>
      <c r="G195" s="15">
        <v>17.34646154</v>
      </c>
      <c r="H195" s="7" t="s">
        <v>22</v>
      </c>
      <c r="I195" s="7" t="s">
        <v>22</v>
      </c>
      <c r="J195" s="15">
        <v>28.451653329999999</v>
      </c>
      <c r="K195" s="15">
        <v>136.31417099999999</v>
      </c>
      <c r="L195" s="8" t="s">
        <v>22</v>
      </c>
      <c r="M195" s="15">
        <v>0.9</v>
      </c>
      <c r="N195" s="15">
        <v>17.7</v>
      </c>
      <c r="O195" s="8">
        <f>Table1[[#This Row],[R1 Length (km)]]+Table1[[#This Row],[T1 Length (km)]]</f>
        <v>18.599999999999998</v>
      </c>
      <c r="P195" s="5">
        <v>25</v>
      </c>
      <c r="Q195" s="8">
        <f>(Table1[[#This Row],[Linear Features (km)]]*0.4)*100</f>
        <v>744</v>
      </c>
      <c r="R195" s="15">
        <v>70.47</v>
      </c>
      <c r="S195" s="10">
        <f>Table1[[#This Row],[ATG (ha)]]/Table1[[#This Row],[Linear Area (ha)]]</f>
        <v>9.4717741935483865E-2</v>
      </c>
      <c r="T195" s="11" t="s">
        <v>22</v>
      </c>
      <c r="U195" s="11" t="s">
        <v>22</v>
      </c>
      <c r="V195" s="15">
        <v>70.47</v>
      </c>
      <c r="W195" s="15">
        <v>28.187999999999999</v>
      </c>
      <c r="X195" s="13">
        <v>143.968320250511</v>
      </c>
      <c r="Y195" s="12">
        <f>Table1[[#This Row],[Raw Terrestrial Score]]/Table1[[#This Row],[Summed Raw Scores]]</f>
        <v>0.57672778559752547</v>
      </c>
      <c r="Z195" s="13">
        <v>105.661269038916</v>
      </c>
      <c r="AA195" s="12">
        <f>Table1[[#This Row],[Raw Freshwater Score]]/Table1[[#This Row],[Summed Raw Scores]]</f>
        <v>0.42327221440247453</v>
      </c>
      <c r="AB195" s="12">
        <f>Table1[[#This Row],[Raw Terrestrial Score]]+Table1[[#This Row],[Raw Freshwater Score]]</f>
        <v>249.629589289427</v>
      </c>
      <c r="AC195" s="14">
        <f>Table1[[#This Row],[Terrestrial % of Summed Score]]*Table1[[#This Row],[Scaled Summed Score]]</f>
        <v>2.2452861018244941E-2</v>
      </c>
      <c r="AD195" s="14">
        <f>Table1[[#This Row],[Freshwater % of Summed Score]]*Table1[[#This Row],[Scaled Summed Score]]</f>
        <v>1.6478609909555766E-2</v>
      </c>
      <c r="AE195" s="14">
        <f>Table1[[#This Row],[Summed Raw Scores]]/MAX(Table1[Summed Raw Scores])</f>
        <v>3.8931470927800707E-2</v>
      </c>
      <c r="AF195" s="8"/>
    </row>
    <row r="196" spans="1:32" x14ac:dyDescent="0.3">
      <c r="A196" s="7" t="s">
        <v>373</v>
      </c>
      <c r="B196" s="7" t="s">
        <v>58</v>
      </c>
      <c r="C196" s="7" t="s">
        <v>59</v>
      </c>
      <c r="D196" s="7"/>
      <c r="E196" s="15">
        <v>53.994656519999999</v>
      </c>
      <c r="F196" s="15">
        <v>-122.4237038</v>
      </c>
      <c r="G196" s="15">
        <v>17.944615379999998</v>
      </c>
      <c r="H196" s="7" t="s">
        <v>22</v>
      </c>
      <c r="I196" s="7" t="s">
        <v>22</v>
      </c>
      <c r="J196" s="15">
        <v>28.218782319999999</v>
      </c>
      <c r="K196" s="15">
        <v>151.73646539999999</v>
      </c>
      <c r="L196" s="8" t="s">
        <v>22</v>
      </c>
      <c r="M196" s="15">
        <v>0.3</v>
      </c>
      <c r="N196" s="15">
        <v>20.9</v>
      </c>
      <c r="O196" s="8">
        <f>Table1[[#This Row],[R1 Length (km)]]+Table1[[#This Row],[T1 Length (km)]]</f>
        <v>21.2</v>
      </c>
      <c r="P196" s="5">
        <v>25</v>
      </c>
      <c r="Q196" s="8">
        <f>(Table1[[#This Row],[Linear Features (km)]]*0.4)*100</f>
        <v>848</v>
      </c>
      <c r="R196" s="15">
        <v>72.900000000000006</v>
      </c>
      <c r="S196" s="10">
        <f>Table1[[#This Row],[ATG (ha)]]/Table1[[#This Row],[Linear Area (ha)]]</f>
        <v>8.5966981132075473E-2</v>
      </c>
      <c r="T196" s="11" t="s">
        <v>22</v>
      </c>
      <c r="U196" s="11" t="s">
        <v>22</v>
      </c>
      <c r="V196" s="15">
        <v>72.900000000000006</v>
      </c>
      <c r="W196" s="15">
        <v>29.16</v>
      </c>
      <c r="X196" s="13">
        <v>181.189569473267</v>
      </c>
      <c r="Y196" s="12">
        <f>Table1[[#This Row],[Raw Terrestrial Score]]/Table1[[#This Row],[Summed Raw Scores]]</f>
        <v>0.70278244478676033</v>
      </c>
      <c r="Z196" s="13">
        <v>76.627868650481105</v>
      </c>
      <c r="AA196" s="12">
        <f>Table1[[#This Row],[Raw Freshwater Score]]/Table1[[#This Row],[Summed Raw Scores]]</f>
        <v>0.29721755521323967</v>
      </c>
      <c r="AB196" s="12">
        <f>Table1[[#This Row],[Raw Terrestrial Score]]+Table1[[#This Row],[Raw Freshwater Score]]</f>
        <v>257.8174381237481</v>
      </c>
      <c r="AC196" s="14">
        <f>Table1[[#This Row],[Terrestrial % of Summed Score]]*Table1[[#This Row],[Scaled Summed Score]]</f>
        <v>2.8257773753698152E-2</v>
      </c>
      <c r="AD196" s="14">
        <f>Table1[[#This Row],[Freshwater % of Summed Score]]*Table1[[#This Row],[Scaled Summed Score]]</f>
        <v>1.1950649156285298E-2</v>
      </c>
      <c r="AE196" s="14">
        <f>Table1[[#This Row],[Summed Raw Scores]]/MAX(Table1[Summed Raw Scores])</f>
        <v>4.020842290998345E-2</v>
      </c>
      <c r="AF196" s="8"/>
    </row>
    <row r="197" spans="1:32" x14ac:dyDescent="0.3">
      <c r="A197" s="7" t="s">
        <v>397</v>
      </c>
      <c r="B197" s="7" t="s">
        <v>58</v>
      </c>
      <c r="C197" s="7" t="s">
        <v>59</v>
      </c>
      <c r="D197" s="7"/>
      <c r="E197" s="15">
        <v>53.788484179999998</v>
      </c>
      <c r="F197" s="15">
        <v>-123.0738542</v>
      </c>
      <c r="G197" s="15">
        <v>25.321846149999999</v>
      </c>
      <c r="H197" s="7" t="s">
        <v>22</v>
      </c>
      <c r="I197" s="7" t="s">
        <v>22</v>
      </c>
      <c r="J197" s="15">
        <v>39.182250029999999</v>
      </c>
      <c r="K197" s="15">
        <v>161.05166819999999</v>
      </c>
      <c r="L197" s="8" t="s">
        <v>22</v>
      </c>
      <c r="M197" s="15">
        <v>0.6</v>
      </c>
      <c r="N197" s="15">
        <v>16.600000000000001</v>
      </c>
      <c r="O197" s="8">
        <f>Table1[[#This Row],[R1 Length (km)]]+Table1[[#This Row],[T1 Length (km)]]</f>
        <v>17.200000000000003</v>
      </c>
      <c r="P197" s="5">
        <v>69</v>
      </c>
      <c r="Q197" s="8">
        <f>(Table1[[#This Row],[Linear Features (km)]]*0.4)*100</f>
        <v>688.00000000000011</v>
      </c>
      <c r="R197" s="15">
        <v>102.87</v>
      </c>
      <c r="S197" s="10">
        <f>Table1[[#This Row],[ATG (ha)]]/Table1[[#This Row],[Linear Area (ha)]]</f>
        <v>0.14952034883720927</v>
      </c>
      <c r="T197" s="11" t="s">
        <v>22</v>
      </c>
      <c r="U197" s="11" t="s">
        <v>22</v>
      </c>
      <c r="V197" s="15">
        <v>102.87</v>
      </c>
      <c r="W197" s="15">
        <v>41.148000000000003</v>
      </c>
      <c r="X197" s="13">
        <v>105.66059648618101</v>
      </c>
      <c r="Y197" s="12">
        <f>Table1[[#This Row],[Raw Terrestrial Score]]/Table1[[#This Row],[Summed Raw Scores]]</f>
        <v>0.57946682283700257</v>
      </c>
      <c r="Z197" s="13">
        <v>76.680466577410698</v>
      </c>
      <c r="AA197" s="12">
        <f>Table1[[#This Row],[Raw Freshwater Score]]/Table1[[#This Row],[Summed Raw Scores]]</f>
        <v>0.42053317716299743</v>
      </c>
      <c r="AB197" s="12">
        <f>Table1[[#This Row],[Raw Terrestrial Score]]+Table1[[#This Row],[Raw Freshwater Score]]</f>
        <v>182.34106306359172</v>
      </c>
      <c r="AC197" s="14">
        <f>Table1[[#This Row],[Terrestrial % of Summed Score]]*Table1[[#This Row],[Scaled Summed Score]]</f>
        <v>1.6478505020278318E-2</v>
      </c>
      <c r="AD197" s="14">
        <f>Table1[[#This Row],[Freshwater % of Summed Score]]*Table1[[#This Row],[Scaled Summed Score]]</f>
        <v>1.1958852168872672E-2</v>
      </c>
      <c r="AE197" s="14">
        <f>Table1[[#This Row],[Summed Raw Scores]]/MAX(Table1[Summed Raw Scores])</f>
        <v>2.843735718915099E-2</v>
      </c>
      <c r="AF197" s="8"/>
    </row>
    <row r="198" spans="1:32" x14ac:dyDescent="0.3">
      <c r="A198" s="7" t="s">
        <v>366</v>
      </c>
      <c r="B198" s="7" t="s">
        <v>58</v>
      </c>
      <c r="C198" s="7" t="s">
        <v>59</v>
      </c>
      <c r="D198" s="7"/>
      <c r="E198" s="15">
        <v>53.802457949999997</v>
      </c>
      <c r="F198" s="15">
        <v>-122.9864738</v>
      </c>
      <c r="G198" s="15">
        <v>87.529846149999997</v>
      </c>
      <c r="H198" s="7" t="s">
        <v>22</v>
      </c>
      <c r="I198" s="7" t="s">
        <v>22</v>
      </c>
      <c r="J198" s="15">
        <v>135.9920813</v>
      </c>
      <c r="K198" s="15">
        <v>146.15374199999999</v>
      </c>
      <c r="L198" s="8" t="s">
        <v>22</v>
      </c>
      <c r="M198" s="15">
        <v>0</v>
      </c>
      <c r="N198" s="15">
        <v>27.5</v>
      </c>
      <c r="O198" s="8">
        <f>Table1[[#This Row],[R1 Length (km)]]+Table1[[#This Row],[T1 Length (km)]]</f>
        <v>27.5</v>
      </c>
      <c r="P198" s="5">
        <v>230</v>
      </c>
      <c r="Q198" s="8">
        <f>(Table1[[#This Row],[Linear Features (km)]]*0.4)*100</f>
        <v>1100</v>
      </c>
      <c r="R198" s="15">
        <v>355.59</v>
      </c>
      <c r="S198" s="10">
        <f>Table1[[#This Row],[ATG (ha)]]/Table1[[#This Row],[Linear Area (ha)]]</f>
        <v>0.32326363636363636</v>
      </c>
      <c r="T198" s="11" t="s">
        <v>22</v>
      </c>
      <c r="U198" s="11" t="s">
        <v>22</v>
      </c>
      <c r="V198" s="15">
        <v>355.59</v>
      </c>
      <c r="W198" s="15">
        <v>142.23599999999999</v>
      </c>
      <c r="X198" s="13">
        <v>443.12779918685601</v>
      </c>
      <c r="Y198" s="12">
        <f>Table1[[#This Row],[Raw Terrestrial Score]]/Table1[[#This Row],[Summed Raw Scores]]</f>
        <v>0.5740848071226714</v>
      </c>
      <c r="Z198" s="13">
        <v>328.757806718349</v>
      </c>
      <c r="AA198" s="12">
        <f>Table1[[#This Row],[Raw Freshwater Score]]/Table1[[#This Row],[Summed Raw Scores]]</f>
        <v>0.42591519287732854</v>
      </c>
      <c r="AB198" s="12">
        <f>Table1[[#This Row],[Raw Terrestrial Score]]+Table1[[#This Row],[Raw Freshwater Score]]</f>
        <v>771.88560590520501</v>
      </c>
      <c r="AC198" s="14">
        <f>Table1[[#This Row],[Terrestrial % of Summed Score]]*Table1[[#This Row],[Scaled Summed Score]]</f>
        <v>6.9108862777246413E-2</v>
      </c>
      <c r="AD198" s="14">
        <f>Table1[[#This Row],[Freshwater % of Summed Score]]*Table1[[#This Row],[Scaled Summed Score]]</f>
        <v>5.1272066869057768E-2</v>
      </c>
      <c r="AE198" s="21">
        <f>Table1[[#This Row],[Summed Raw Scores]]/MAX(Table1[Summed Raw Scores])</f>
        <v>0.12038092964630419</v>
      </c>
    </row>
    <row r="199" spans="1:32" x14ac:dyDescent="0.3">
      <c r="A199" s="7" t="s">
        <v>402</v>
      </c>
      <c r="B199" s="7" t="s">
        <v>58</v>
      </c>
      <c r="C199" s="7" t="s">
        <v>59</v>
      </c>
      <c r="D199" s="7"/>
      <c r="E199" s="15">
        <v>53.754780400000001</v>
      </c>
      <c r="F199" s="15">
        <v>-122.9609213</v>
      </c>
      <c r="G199" s="15">
        <v>55.827692310000003</v>
      </c>
      <c r="H199" s="7" t="s">
        <v>22</v>
      </c>
      <c r="I199" s="7" t="s">
        <v>22</v>
      </c>
      <c r="J199" s="15">
        <v>87.185765470000007</v>
      </c>
      <c r="K199" s="15">
        <v>167.28013350000001</v>
      </c>
      <c r="L199" s="8" t="s">
        <v>22</v>
      </c>
      <c r="M199" s="15">
        <v>0.7</v>
      </c>
      <c r="N199" s="15">
        <v>28.5</v>
      </c>
      <c r="O199" s="8">
        <f>Table1[[#This Row],[R1 Length (km)]]+Table1[[#This Row],[T1 Length (km)]]</f>
        <v>29.2</v>
      </c>
      <c r="P199" s="5">
        <v>230</v>
      </c>
      <c r="Q199" s="8">
        <f>(Table1[[#This Row],[Linear Features (km)]]*0.4)*100</f>
        <v>1168</v>
      </c>
      <c r="R199" s="15">
        <v>226.8</v>
      </c>
      <c r="S199" s="10">
        <f>Table1[[#This Row],[ATG (ha)]]/Table1[[#This Row],[Linear Area (ha)]]</f>
        <v>0.19417808219178084</v>
      </c>
      <c r="T199" s="11" t="s">
        <v>22</v>
      </c>
      <c r="U199" s="11" t="s">
        <v>22</v>
      </c>
      <c r="V199" s="15">
        <v>226.8</v>
      </c>
      <c r="W199" s="15">
        <v>90.72</v>
      </c>
      <c r="X199" s="13">
        <v>315.33138990402199</v>
      </c>
      <c r="Y199" s="12">
        <f>Table1[[#This Row],[Raw Terrestrial Score]]/Table1[[#This Row],[Summed Raw Scores]]</f>
        <v>0.61449664865712472</v>
      </c>
      <c r="Z199" s="13">
        <v>197.82257211208301</v>
      </c>
      <c r="AA199" s="12">
        <f>Table1[[#This Row],[Raw Freshwater Score]]/Table1[[#This Row],[Summed Raw Scores]]</f>
        <v>0.38550335134287533</v>
      </c>
      <c r="AB199" s="12">
        <f>Table1[[#This Row],[Raw Terrestrial Score]]+Table1[[#This Row],[Raw Freshwater Score]]</f>
        <v>513.15396201610497</v>
      </c>
      <c r="AC199" s="14">
        <f>Table1[[#This Row],[Terrestrial % of Summed Score]]*Table1[[#This Row],[Scaled Summed Score]]</f>
        <v>4.9178123769766505E-2</v>
      </c>
      <c r="AD199" s="14">
        <f>Table1[[#This Row],[Freshwater % of Summed Score]]*Table1[[#This Row],[Scaled Summed Score]]</f>
        <v>3.0851806218031998E-2</v>
      </c>
      <c r="AE199" s="21">
        <f>Table1[[#This Row],[Summed Raw Scores]]/MAX(Table1[Summed Raw Scores])</f>
        <v>8.0029929987798495E-2</v>
      </c>
    </row>
    <row r="200" spans="1:32" x14ac:dyDescent="0.3">
      <c r="A200" s="7" t="s">
        <v>268</v>
      </c>
      <c r="B200" s="7" t="s">
        <v>58</v>
      </c>
      <c r="C200" s="7" t="s">
        <v>59</v>
      </c>
      <c r="D200" s="7"/>
      <c r="E200" s="15">
        <v>53.816388590000003</v>
      </c>
      <c r="F200" s="15">
        <v>-122.8990462</v>
      </c>
      <c r="G200" s="15">
        <v>198.9858462</v>
      </c>
      <c r="H200" s="7" t="s">
        <v>22</v>
      </c>
      <c r="I200" s="7" t="s">
        <v>22</v>
      </c>
      <c r="J200" s="15">
        <v>314.82487129999998</v>
      </c>
      <c r="K200" s="15">
        <v>121.6868475</v>
      </c>
      <c r="L200" s="8" t="s">
        <v>22</v>
      </c>
      <c r="M200" s="15">
        <v>0</v>
      </c>
      <c r="N200" s="15">
        <v>21</v>
      </c>
      <c r="O200" s="8">
        <f>Table1[[#This Row],[R1 Length (km)]]+Table1[[#This Row],[T1 Length (km)]]</f>
        <v>21</v>
      </c>
      <c r="P200" s="5">
        <v>230</v>
      </c>
      <c r="Q200" s="8">
        <f>(Table1[[#This Row],[Linear Features (km)]]*0.4)*100</f>
        <v>840</v>
      </c>
      <c r="R200" s="15">
        <v>808.38</v>
      </c>
      <c r="S200" s="10">
        <f>Table1[[#This Row],[ATG (ha)]]/Table1[[#This Row],[Linear Area (ha)]]</f>
        <v>0.9623571428571428</v>
      </c>
      <c r="T200" s="11" t="s">
        <v>22</v>
      </c>
      <c r="U200" s="11" t="s">
        <v>22</v>
      </c>
      <c r="V200" s="15">
        <v>808.38</v>
      </c>
      <c r="W200" s="15">
        <v>323.35199999999998</v>
      </c>
      <c r="X200" s="13">
        <v>294.295256797224</v>
      </c>
      <c r="Y200" s="12">
        <f>Table1[[#This Row],[Raw Terrestrial Score]]/Table1[[#This Row],[Summed Raw Scores]]</f>
        <v>0.61988793027146594</v>
      </c>
      <c r="Z200" s="13">
        <v>180.460327923298</v>
      </c>
      <c r="AA200" s="12">
        <f>Table1[[#This Row],[Raw Freshwater Score]]/Table1[[#This Row],[Summed Raw Scores]]</f>
        <v>0.38011206972853401</v>
      </c>
      <c r="AB200" s="12">
        <f>Table1[[#This Row],[Raw Terrestrial Score]]+Table1[[#This Row],[Raw Freshwater Score]]</f>
        <v>474.75558472052199</v>
      </c>
      <c r="AC200" s="14">
        <f>Table1[[#This Row],[Terrestrial % of Summed Score]]*Table1[[#This Row],[Scaled Summed Score]]</f>
        <v>4.5897392479810652E-2</v>
      </c>
      <c r="AD200" s="14">
        <f>Table1[[#This Row],[Freshwater % of Summed Score]]*Table1[[#This Row],[Scaled Summed Score]]</f>
        <v>2.8144043461216496E-2</v>
      </c>
      <c r="AE200" s="21">
        <f>Table1[[#This Row],[Summed Raw Scores]]/MAX(Table1[Summed Raw Scores])</f>
        <v>7.4041435941027148E-2</v>
      </c>
    </row>
    <row r="201" spans="1:32" x14ac:dyDescent="0.3">
      <c r="A201" s="7" t="s">
        <v>317</v>
      </c>
      <c r="B201" s="7" t="s">
        <v>58</v>
      </c>
      <c r="C201" s="7" t="s">
        <v>59</v>
      </c>
      <c r="D201" s="7"/>
      <c r="E201" s="15">
        <v>53.830276069999996</v>
      </c>
      <c r="F201" s="15">
        <v>-122.81157159999999</v>
      </c>
      <c r="G201" s="15">
        <v>103.4806154</v>
      </c>
      <c r="H201" s="7" t="s">
        <v>22</v>
      </c>
      <c r="I201" s="7" t="s">
        <v>22</v>
      </c>
      <c r="J201" s="15">
        <v>163.6309201</v>
      </c>
      <c r="K201" s="15">
        <v>131.49038400000001</v>
      </c>
      <c r="L201" s="8" t="s">
        <v>22</v>
      </c>
      <c r="M201" s="15">
        <v>0</v>
      </c>
      <c r="N201" s="15">
        <v>14.3</v>
      </c>
      <c r="O201" s="8">
        <f>Table1[[#This Row],[R1 Length (km)]]+Table1[[#This Row],[T1 Length (km)]]</f>
        <v>14.3</v>
      </c>
      <c r="P201" s="5">
        <v>230</v>
      </c>
      <c r="Q201" s="8">
        <f>(Table1[[#This Row],[Linear Features (km)]]*0.4)*100</f>
        <v>572.00000000000011</v>
      </c>
      <c r="R201" s="15">
        <v>420.39</v>
      </c>
      <c r="S201" s="10">
        <f>Table1[[#This Row],[ATG (ha)]]/Table1[[#This Row],[Linear Area (ha)]]</f>
        <v>0.73494755244755228</v>
      </c>
      <c r="T201" s="11" t="s">
        <v>22</v>
      </c>
      <c r="U201" s="11" t="s">
        <v>22</v>
      </c>
      <c r="V201" s="15">
        <v>420.39</v>
      </c>
      <c r="W201" s="15">
        <v>168.15600000000001</v>
      </c>
      <c r="X201" s="13">
        <v>243.02872896194501</v>
      </c>
      <c r="Y201" s="12">
        <f>Table1[[#This Row],[Raw Terrestrial Score]]/Table1[[#This Row],[Summed Raw Scores]]</f>
        <v>0.68327716906417724</v>
      </c>
      <c r="Z201" s="13">
        <v>112.652303516865</v>
      </c>
      <c r="AA201" s="12">
        <f>Table1[[#This Row],[Raw Freshwater Score]]/Table1[[#This Row],[Summed Raw Scores]]</f>
        <v>0.31672283093582265</v>
      </c>
      <c r="AB201" s="12">
        <f>Table1[[#This Row],[Raw Terrestrial Score]]+Table1[[#This Row],[Raw Freshwater Score]]</f>
        <v>355.68103247881004</v>
      </c>
      <c r="AC201" s="14">
        <f>Table1[[#This Row],[Terrestrial % of Summed Score]]*Table1[[#This Row],[Scaled Summed Score]]</f>
        <v>3.7902020842699259E-2</v>
      </c>
      <c r="AD201" s="14">
        <f>Table1[[#This Row],[Freshwater % of Summed Score]]*Table1[[#This Row],[Scaled Summed Score]]</f>
        <v>1.7568910367559407E-2</v>
      </c>
      <c r="AE201" s="21">
        <f>Table1[[#This Row],[Summed Raw Scores]]/MAX(Table1[Summed Raw Scores])</f>
        <v>5.5470931210258673E-2</v>
      </c>
    </row>
    <row r="202" spans="1:32" x14ac:dyDescent="0.3">
      <c r="A202" s="7" t="s">
        <v>67</v>
      </c>
      <c r="B202" s="7" t="s">
        <v>58</v>
      </c>
      <c r="C202" s="7" t="s">
        <v>59</v>
      </c>
      <c r="D202" s="7"/>
      <c r="E202" s="8">
        <v>53.768695370000003</v>
      </c>
      <c r="F202" s="8">
        <v>-122.8735674</v>
      </c>
      <c r="G202" s="8">
        <v>305.25784615399999</v>
      </c>
      <c r="H202" s="8" t="s">
        <v>22</v>
      </c>
      <c r="I202" s="8" t="s">
        <v>22</v>
      </c>
      <c r="J202" s="8">
        <v>485.659340765303</v>
      </c>
      <c r="K202" s="8">
        <v>101.00995459166877</v>
      </c>
      <c r="L202" s="8" t="s">
        <v>22</v>
      </c>
      <c r="M202" s="8">
        <v>0.6</v>
      </c>
      <c r="N202" s="8">
        <v>21.1</v>
      </c>
      <c r="O202" s="8">
        <f>Table1[[#This Row],[R1 Length (km)]]+Table1[[#This Row],[T1 Length (km)]]</f>
        <v>21.700000000000003</v>
      </c>
      <c r="P202" s="7">
        <v>230</v>
      </c>
      <c r="Q202" s="8">
        <f>(Table1[[#This Row],[Linear Features (km)]]*0.4)*100</f>
        <v>868.00000000000011</v>
      </c>
      <c r="R202" s="8">
        <v>328.05</v>
      </c>
      <c r="S202" s="21">
        <f>Table1[[#This Row],[ATG (ha)]]/Table1[[#This Row],[Linear Area (ha)]]</f>
        <v>0.37793778801843314</v>
      </c>
      <c r="T202" s="11" t="s">
        <v>22</v>
      </c>
      <c r="U202" s="11" t="s">
        <v>22</v>
      </c>
      <c r="V202" s="8">
        <v>328.05</v>
      </c>
      <c r="W202" s="8">
        <v>131.22</v>
      </c>
      <c r="X202" s="13">
        <v>239.104651492089</v>
      </c>
      <c r="Y202" s="12">
        <f>Table1[[#This Row],[Raw Terrestrial Score]]/Table1[[#This Row],[Summed Raw Scores]]</f>
        <v>0.66393311747590411</v>
      </c>
      <c r="Z202" s="13">
        <v>121.028990283608</v>
      </c>
      <c r="AA202" s="12">
        <f>Table1[[#This Row],[Raw Freshwater Score]]/Table1[[#This Row],[Summed Raw Scores]]</f>
        <v>0.33606688252409589</v>
      </c>
      <c r="AB202" s="12">
        <f>Table1[[#This Row],[Raw Terrestrial Score]]+Table1[[#This Row],[Raw Freshwater Score]]</f>
        <v>360.13364177569701</v>
      </c>
      <c r="AC202" s="14">
        <f>Table1[[#This Row],[Terrestrial % of Summed Score]]*Table1[[#This Row],[Scaled Summed Score]]</f>
        <v>3.7290033664532617E-2</v>
      </c>
      <c r="AD202" s="14">
        <f>Table1[[#This Row],[Freshwater % of Summed Score]]*Table1[[#This Row],[Scaled Summed Score]]</f>
        <v>1.8875312938901382E-2</v>
      </c>
      <c r="AE202" s="21">
        <f>Table1[[#This Row],[Summed Raw Scores]]/MAX(Table1[Summed Raw Scores])</f>
        <v>5.6165346603433995E-2</v>
      </c>
    </row>
    <row r="203" spans="1:32" x14ac:dyDescent="0.3">
      <c r="A203" s="7" t="s">
        <v>68</v>
      </c>
      <c r="B203" s="7" t="s">
        <v>58</v>
      </c>
      <c r="C203" s="7" t="s">
        <v>59</v>
      </c>
      <c r="D203" s="7"/>
      <c r="E203" s="8">
        <v>53.844120330000003</v>
      </c>
      <c r="F203" s="8">
        <v>-122.72405000000001</v>
      </c>
      <c r="G203" s="8">
        <v>323.60123076899998</v>
      </c>
      <c r="H203" s="8" t="s">
        <v>22</v>
      </c>
      <c r="I203" s="8" t="s">
        <v>22</v>
      </c>
      <c r="J203" s="8">
        <v>502.62833385978621</v>
      </c>
      <c r="K203" s="8">
        <v>101.2851055941847</v>
      </c>
      <c r="L203" s="8" t="s">
        <v>22</v>
      </c>
      <c r="M203" s="8">
        <v>0</v>
      </c>
      <c r="N203" s="8">
        <v>7.9</v>
      </c>
      <c r="O203" s="8">
        <f>Table1[[#This Row],[R1 Length (km)]]+Table1[[#This Row],[T1 Length (km)]]</f>
        <v>7.9</v>
      </c>
      <c r="P203" s="7">
        <v>230</v>
      </c>
      <c r="Q203" s="8">
        <f>(Table1[[#This Row],[Linear Features (km)]]*0.4)*100</f>
        <v>316</v>
      </c>
      <c r="R203" s="8">
        <v>430.11</v>
      </c>
      <c r="S203" s="21">
        <f>Table1[[#This Row],[ATG (ha)]]/Table1[[#This Row],[Linear Area (ha)]]</f>
        <v>1.3611075949367089</v>
      </c>
      <c r="T203" s="11" t="s">
        <v>22</v>
      </c>
      <c r="U203" s="11" t="s">
        <v>22</v>
      </c>
      <c r="V203" s="8">
        <v>430.11</v>
      </c>
      <c r="W203" s="8">
        <v>172.04400000000001</v>
      </c>
      <c r="X203" s="13">
        <v>164.67434525489799</v>
      </c>
      <c r="Y203" s="12">
        <f>Table1[[#This Row],[Raw Terrestrial Score]]/Table1[[#This Row],[Summed Raw Scores]]</f>
        <v>0.52821301138107424</v>
      </c>
      <c r="Z203" s="13">
        <v>147.08311188221001</v>
      </c>
      <c r="AA203" s="12">
        <f>Table1[[#This Row],[Raw Freshwater Score]]/Table1[[#This Row],[Summed Raw Scores]]</f>
        <v>0.47178698861892582</v>
      </c>
      <c r="AB203" s="12">
        <f>Table1[[#This Row],[Raw Terrestrial Score]]+Table1[[#This Row],[Raw Freshwater Score]]</f>
        <v>311.75745713710796</v>
      </c>
      <c r="AC203" s="14">
        <f>Table1[[#This Row],[Terrestrial % of Summed Score]]*Table1[[#This Row],[Scaled Summed Score]]</f>
        <v>2.5682109653325513E-2</v>
      </c>
      <c r="AD203" s="14">
        <f>Table1[[#This Row],[Freshwater % of Summed Score]]*Table1[[#This Row],[Scaled Summed Score]]</f>
        <v>2.2938634440381415E-2</v>
      </c>
      <c r="AE203" s="21">
        <f>Table1[[#This Row],[Summed Raw Scores]]/MAX(Table1[Summed Raw Scores])</f>
        <v>4.8620744093706925E-2</v>
      </c>
    </row>
    <row r="204" spans="1:32" x14ac:dyDescent="0.3">
      <c r="A204" s="7" t="s">
        <v>69</v>
      </c>
      <c r="B204" s="7" t="s">
        <v>58</v>
      </c>
      <c r="C204" s="7" t="s">
        <v>59</v>
      </c>
      <c r="D204" s="7"/>
      <c r="E204" s="8">
        <v>53.857921349999998</v>
      </c>
      <c r="F204" s="8">
        <v>-122.6364816</v>
      </c>
      <c r="G204" s="8">
        <v>587.18769230800001</v>
      </c>
      <c r="H204" s="8" t="s">
        <v>22</v>
      </c>
      <c r="I204" s="8" t="s">
        <v>22</v>
      </c>
      <c r="J204" s="8">
        <v>908.36290450179092</v>
      </c>
      <c r="K204" s="8">
        <v>103.28156857498674</v>
      </c>
      <c r="L204" s="8" t="s">
        <v>22</v>
      </c>
      <c r="M204" s="8">
        <v>0.3</v>
      </c>
      <c r="N204" s="8">
        <v>0</v>
      </c>
      <c r="O204" s="8">
        <f>Table1[[#This Row],[R1 Length (km)]]+Table1[[#This Row],[T1 Length (km)]]</f>
        <v>0.3</v>
      </c>
      <c r="P204" s="7">
        <v>500</v>
      </c>
      <c r="Q204" s="8">
        <f>(Table1[[#This Row],[Linear Features (km)]]*0.4)*100</f>
        <v>12</v>
      </c>
      <c r="R204" s="8">
        <v>447.93</v>
      </c>
      <c r="S204" s="21">
        <f>Table1[[#This Row],[ATG (ha)]]/Table1[[#This Row],[Linear Area (ha)]]</f>
        <v>37.327500000000001</v>
      </c>
      <c r="T204" s="11" t="s">
        <v>22</v>
      </c>
      <c r="U204" s="11" t="s">
        <v>22</v>
      </c>
      <c r="V204" s="8">
        <v>447.93</v>
      </c>
      <c r="W204" s="8">
        <v>179.17200000000003</v>
      </c>
      <c r="X204" s="13">
        <v>261.38343763351401</v>
      </c>
      <c r="Y204" s="12">
        <f>Table1[[#This Row],[Raw Terrestrial Score]]/Table1[[#This Row],[Summed Raw Scores]]</f>
        <v>0.82037578998380734</v>
      </c>
      <c r="Z204" s="13">
        <v>57.230837464332602</v>
      </c>
      <c r="AA204" s="12">
        <f>Table1[[#This Row],[Raw Freshwater Score]]/Table1[[#This Row],[Summed Raw Scores]]</f>
        <v>0.17962421001619272</v>
      </c>
      <c r="AB204" s="12">
        <f>Table1[[#This Row],[Raw Terrestrial Score]]+Table1[[#This Row],[Raw Freshwater Score]]</f>
        <v>318.61427509784659</v>
      </c>
      <c r="AC204" s="14">
        <f>Table1[[#This Row],[Terrestrial % of Summed Score]]*Table1[[#This Row],[Scaled Summed Score]]</f>
        <v>4.0764565339405312E-2</v>
      </c>
      <c r="AD204" s="14">
        <f>Table1[[#This Row],[Freshwater % of Summed Score]]*Table1[[#This Row],[Scaled Summed Score]]</f>
        <v>8.9255472128068024E-3</v>
      </c>
      <c r="AE204" s="21">
        <f>Table1[[#This Row],[Summed Raw Scores]]/MAX(Table1[Summed Raw Scores])</f>
        <v>4.9690112552212111E-2</v>
      </c>
    </row>
    <row r="205" spans="1:32" x14ac:dyDescent="0.3">
      <c r="A205" s="7" t="s">
        <v>70</v>
      </c>
      <c r="B205" s="7" t="s">
        <v>58</v>
      </c>
      <c r="C205" s="7" t="s">
        <v>59</v>
      </c>
      <c r="D205" s="7"/>
      <c r="E205" s="8">
        <v>53.796395869999998</v>
      </c>
      <c r="F205" s="8">
        <v>-122.698719</v>
      </c>
      <c r="G205" s="8">
        <v>208.15753846199999</v>
      </c>
      <c r="H205" s="8" t="s">
        <v>22</v>
      </c>
      <c r="I205" s="8" t="s">
        <v>22</v>
      </c>
      <c r="J205" s="8">
        <v>322.65399598024555</v>
      </c>
      <c r="K205" s="8">
        <v>104.7992600895695</v>
      </c>
      <c r="L205" s="8" t="s">
        <v>22</v>
      </c>
      <c r="M205" s="8">
        <v>0.3</v>
      </c>
      <c r="N205" s="8">
        <v>9.1999999999999993</v>
      </c>
      <c r="O205" s="8">
        <f>Table1[[#This Row],[R1 Length (km)]]+Table1[[#This Row],[T1 Length (km)]]</f>
        <v>9.5</v>
      </c>
      <c r="P205" s="7">
        <v>230</v>
      </c>
      <c r="Q205" s="8">
        <f>(Table1[[#This Row],[Linear Features (km)]]*0.4)*100</f>
        <v>380</v>
      </c>
      <c r="R205" s="8">
        <v>1990.98</v>
      </c>
      <c r="S205" s="21">
        <f>Table1[[#This Row],[ATG (ha)]]/Table1[[#This Row],[Linear Area (ha)]]</f>
        <v>5.2394210526315792</v>
      </c>
      <c r="T205" s="11" t="s">
        <v>22</v>
      </c>
      <c r="U205" s="11" t="s">
        <v>22</v>
      </c>
      <c r="V205" s="8">
        <v>1990.98</v>
      </c>
      <c r="W205" s="8">
        <v>796.39200000000005</v>
      </c>
      <c r="X205" s="13">
        <v>906.19546318054199</v>
      </c>
      <c r="Y205" s="12">
        <f>Table1[[#This Row],[Raw Terrestrial Score]]/Table1[[#This Row],[Summed Raw Scores]]</f>
        <v>0.63534760106679933</v>
      </c>
      <c r="Z205" s="13">
        <v>520.10324583947704</v>
      </c>
      <c r="AA205" s="12">
        <f>Table1[[#This Row],[Raw Freshwater Score]]/Table1[[#This Row],[Summed Raw Scores]]</f>
        <v>0.36465239893320062</v>
      </c>
      <c r="AB205" s="12">
        <f>Table1[[#This Row],[Raw Terrestrial Score]]+Table1[[#This Row],[Raw Freshwater Score]]</f>
        <v>1426.298709020019</v>
      </c>
      <c r="AC205" s="14">
        <f>Table1[[#This Row],[Terrestrial % of Summed Score]]*Table1[[#This Row],[Scaled Summed Score]]</f>
        <v>0.14132748617718618</v>
      </c>
      <c r="AD205" s="14">
        <f>Table1[[#This Row],[Freshwater % of Summed Score]]*Table1[[#This Row],[Scaled Summed Score]]</f>
        <v>8.1113719140794169E-2</v>
      </c>
      <c r="AE205" s="21">
        <f>Table1[[#This Row],[Summed Raw Scores]]/MAX(Table1[Summed Raw Scores])</f>
        <v>0.22244120531798037</v>
      </c>
    </row>
    <row r="206" spans="1:32" x14ac:dyDescent="0.3">
      <c r="A206" s="7" t="s">
        <v>71</v>
      </c>
      <c r="B206" s="7" t="s">
        <v>58</v>
      </c>
      <c r="C206" s="7" t="s">
        <v>59</v>
      </c>
      <c r="D206" s="7"/>
      <c r="E206" s="23">
        <v>53.810181309999997</v>
      </c>
      <c r="F206" s="23">
        <v>-122.61122469999999</v>
      </c>
      <c r="G206" s="23">
        <v>490.08738461500002</v>
      </c>
      <c r="H206" s="8" t="s">
        <v>22</v>
      </c>
      <c r="I206" s="8" t="s">
        <v>22</v>
      </c>
      <c r="J206" s="23">
        <v>754.37483183767301</v>
      </c>
      <c r="K206" s="23">
        <v>100.03668615824678</v>
      </c>
      <c r="L206" s="8" t="s">
        <v>22</v>
      </c>
      <c r="M206" s="23">
        <v>0.3</v>
      </c>
      <c r="N206" s="23">
        <v>4.2</v>
      </c>
      <c r="O206" s="8">
        <f>Table1[[#This Row],[R1 Length (km)]]+Table1[[#This Row],[T1 Length (km)]]</f>
        <v>4.5</v>
      </c>
      <c r="P206" s="13">
        <v>230</v>
      </c>
      <c r="Q206" s="8">
        <f>(Table1[[#This Row],[Linear Features (km)]]*0.4)*100</f>
        <v>180</v>
      </c>
      <c r="R206" s="23">
        <v>1504.98</v>
      </c>
      <c r="S206" s="21">
        <f>Table1[[#This Row],[ATG (ha)]]/Table1[[#This Row],[Linear Area (ha)]]</f>
        <v>8.3610000000000007</v>
      </c>
      <c r="T206" s="11" t="s">
        <v>22</v>
      </c>
      <c r="U206" s="11" t="s">
        <v>22</v>
      </c>
      <c r="V206" s="23">
        <v>1504.98</v>
      </c>
      <c r="W206" s="23">
        <v>601.99200000000008</v>
      </c>
      <c r="X206" s="13">
        <v>797.35714817047096</v>
      </c>
      <c r="Y206" s="12">
        <f>Table1[[#This Row],[Raw Terrestrial Score]]/Table1[[#This Row],[Summed Raw Scores]]</f>
        <v>0.70350690343634248</v>
      </c>
      <c r="Z206" s="13">
        <v>336.046297162771</v>
      </c>
      <c r="AA206" s="12">
        <f>Table1[[#This Row],[Raw Freshwater Score]]/Table1[[#This Row],[Summed Raw Scores]]</f>
        <v>0.29649309656365747</v>
      </c>
      <c r="AB206" s="12">
        <f>Table1[[#This Row],[Raw Terrestrial Score]]+Table1[[#This Row],[Raw Freshwater Score]]</f>
        <v>1133.403445333242</v>
      </c>
      <c r="AC206" s="14">
        <f>Table1[[#This Row],[Terrestrial % of Summed Score]]*Table1[[#This Row],[Scaled Summed Score]]</f>
        <v>0.12435339384820099</v>
      </c>
      <c r="AD206" s="14">
        <f>Table1[[#This Row],[Freshwater % of Summed Score]]*Table1[[#This Row],[Scaled Summed Score]]</f>
        <v>5.2408757654201749E-2</v>
      </c>
      <c r="AE206" s="21">
        <f>Table1[[#This Row],[Summed Raw Scores]]/MAX(Table1[Summed Raw Scores])</f>
        <v>0.17676215150240274</v>
      </c>
    </row>
    <row r="207" spans="1:32" x14ac:dyDescent="0.3">
      <c r="A207" s="7" t="s">
        <v>295</v>
      </c>
      <c r="B207" s="7" t="s">
        <v>58</v>
      </c>
      <c r="C207" s="7" t="s">
        <v>59</v>
      </c>
      <c r="D207" s="7"/>
      <c r="E207" s="25">
        <v>53.871679069999999</v>
      </c>
      <c r="F207" s="25">
        <v>-122.5488665</v>
      </c>
      <c r="G207" s="25">
        <v>114.64615379999999</v>
      </c>
      <c r="H207" s="7" t="s">
        <v>22</v>
      </c>
      <c r="I207" s="7" t="s">
        <v>22</v>
      </c>
      <c r="J207" s="25">
        <v>178.95521980000001</v>
      </c>
      <c r="K207" s="25">
        <v>126.9051374</v>
      </c>
      <c r="L207" s="8" t="s">
        <v>22</v>
      </c>
      <c r="M207" s="25">
        <v>1.7</v>
      </c>
      <c r="N207" s="25">
        <v>5</v>
      </c>
      <c r="O207" s="8">
        <f>Table1[[#This Row],[R1 Length (km)]]+Table1[[#This Row],[T1 Length (km)]]</f>
        <v>6.7</v>
      </c>
      <c r="P207" s="32">
        <v>230</v>
      </c>
      <c r="Q207" s="8">
        <f>(Table1[[#This Row],[Linear Features (km)]]*0.4)*100</f>
        <v>268</v>
      </c>
      <c r="R207" s="25">
        <v>465.75</v>
      </c>
      <c r="S207" s="10">
        <f>Table1[[#This Row],[ATG (ha)]]/Table1[[#This Row],[Linear Area (ha)]]</f>
        <v>1.7378731343283582</v>
      </c>
      <c r="T207" s="11" t="s">
        <v>22</v>
      </c>
      <c r="U207" s="11" t="s">
        <v>22</v>
      </c>
      <c r="V207" s="25">
        <v>465.75</v>
      </c>
      <c r="W207" s="25">
        <v>186.3</v>
      </c>
      <c r="X207" s="13">
        <v>65.424871563911395</v>
      </c>
      <c r="Y207" s="12">
        <f>Table1[[#This Row],[Raw Terrestrial Score]]/Table1[[#This Row],[Summed Raw Scores]]</f>
        <v>0.68857882059241449</v>
      </c>
      <c r="Z207" s="13">
        <v>29.589482069015499</v>
      </c>
      <c r="AA207" s="12">
        <f>Table1[[#This Row],[Raw Freshwater Score]]/Table1[[#This Row],[Summed Raw Scores]]</f>
        <v>0.31142117940758551</v>
      </c>
      <c r="AB207" s="12">
        <f>Table1[[#This Row],[Raw Terrestrial Score]]+Table1[[#This Row],[Raw Freshwater Score]]</f>
        <v>95.014353632926898</v>
      </c>
      <c r="AC207" s="14">
        <f>Table1[[#This Row],[Terrestrial % of Summed Score]]*Table1[[#This Row],[Scaled Summed Score]]</f>
        <v>1.0203463830132547E-2</v>
      </c>
      <c r="AD207" s="14">
        <f>Table1[[#This Row],[Freshwater % of Summed Score]]*Table1[[#This Row],[Scaled Summed Score]]</f>
        <v>4.6146855595830139E-3</v>
      </c>
      <c r="AE207" s="21">
        <f>Table1[[#This Row],[Summed Raw Scores]]/MAX(Table1[Summed Raw Scores])</f>
        <v>1.4818149389715561E-2</v>
      </c>
    </row>
    <row r="208" spans="1:32" x14ac:dyDescent="0.3">
      <c r="A208" s="7" t="s">
        <v>336</v>
      </c>
      <c r="B208" s="7" t="s">
        <v>58</v>
      </c>
      <c r="C208" s="7" t="s">
        <v>59</v>
      </c>
      <c r="D208" s="7"/>
      <c r="E208" s="25">
        <v>53.823923499999999</v>
      </c>
      <c r="F208" s="25">
        <v>-122.5236838</v>
      </c>
      <c r="G208" s="25">
        <v>18.542769230000001</v>
      </c>
      <c r="H208" s="7" t="s">
        <v>22</v>
      </c>
      <c r="I208" s="7" t="s">
        <v>22</v>
      </c>
      <c r="J208" s="25">
        <v>28.7806788</v>
      </c>
      <c r="K208" s="25">
        <v>137.32988589999999</v>
      </c>
      <c r="L208" s="8" t="s">
        <v>22</v>
      </c>
      <c r="M208" s="25">
        <v>1.9</v>
      </c>
      <c r="N208" s="25">
        <v>12.1</v>
      </c>
      <c r="O208" s="8">
        <f>Table1[[#This Row],[R1 Length (km)]]+Table1[[#This Row],[T1 Length (km)]]</f>
        <v>14</v>
      </c>
      <c r="P208" s="32">
        <v>25</v>
      </c>
      <c r="Q208" s="8">
        <f>(Table1[[#This Row],[Linear Features (km)]]*0.4)*100</f>
        <v>560</v>
      </c>
      <c r="R208" s="25">
        <v>75.33</v>
      </c>
      <c r="S208" s="10">
        <f>Table1[[#This Row],[ATG (ha)]]/Table1[[#This Row],[Linear Area (ha)]]</f>
        <v>0.13451785714285713</v>
      </c>
      <c r="T208" s="11" t="s">
        <v>22</v>
      </c>
      <c r="U208" s="11" t="s">
        <v>22</v>
      </c>
      <c r="V208" s="25">
        <v>75.33</v>
      </c>
      <c r="W208" s="25">
        <v>30.132000000000001</v>
      </c>
      <c r="X208" s="13">
        <v>199.51490616798401</v>
      </c>
      <c r="Y208" s="12">
        <f>Table1[[#This Row],[Raw Terrestrial Score]]/Table1[[#This Row],[Summed Raw Scores]]</f>
        <v>0.71882913519352731</v>
      </c>
      <c r="Z208" s="13">
        <v>78.040491074323697</v>
      </c>
      <c r="AA208" s="12">
        <f>Table1[[#This Row],[Raw Freshwater Score]]/Table1[[#This Row],[Summed Raw Scores]]</f>
        <v>0.28117086480647258</v>
      </c>
      <c r="AB208" s="12">
        <f>Table1[[#This Row],[Raw Terrestrial Score]]+Table1[[#This Row],[Raw Freshwater Score]]</f>
        <v>277.55539724230772</v>
      </c>
      <c r="AC208" s="14">
        <f>Table1[[#This Row],[Terrestrial % of Summed Score]]*Table1[[#This Row],[Scaled Summed Score]]</f>
        <v>3.1115737486296223E-2</v>
      </c>
      <c r="AD208" s="14">
        <f>Table1[[#This Row],[Freshwater % of Summed Score]]*Table1[[#This Row],[Scaled Summed Score]]</f>
        <v>1.2170957449794621E-2</v>
      </c>
      <c r="AE208" s="21">
        <f>Table1[[#This Row],[Summed Raw Scores]]/MAX(Table1[Summed Raw Scores])</f>
        <v>4.3286694936090851E-2</v>
      </c>
    </row>
    <row r="209" spans="1:31" x14ac:dyDescent="0.3">
      <c r="A209" s="7" t="s">
        <v>263</v>
      </c>
      <c r="B209" s="7" t="s">
        <v>58</v>
      </c>
      <c r="C209" s="7" t="s">
        <v>59</v>
      </c>
      <c r="D209" s="7"/>
      <c r="E209" s="25">
        <v>53.748677469999997</v>
      </c>
      <c r="F209" s="25">
        <v>-122.6734347</v>
      </c>
      <c r="G209" s="25">
        <v>226.8996923</v>
      </c>
      <c r="H209" s="7" t="s">
        <v>22</v>
      </c>
      <c r="I209" s="7" t="s">
        <v>22</v>
      </c>
      <c r="J209" s="25">
        <v>351.57893840000003</v>
      </c>
      <c r="K209" s="25">
        <v>120.639031</v>
      </c>
      <c r="L209" s="8" t="s">
        <v>22</v>
      </c>
      <c r="M209" s="25">
        <v>0.4</v>
      </c>
      <c r="N209" s="25">
        <v>13</v>
      </c>
      <c r="O209" s="8">
        <f>Table1[[#This Row],[R1 Length (km)]]+Table1[[#This Row],[T1 Length (km)]]</f>
        <v>13.4</v>
      </c>
      <c r="P209" s="32">
        <v>230</v>
      </c>
      <c r="Q209" s="8">
        <f>(Table1[[#This Row],[Linear Features (km)]]*0.4)*100</f>
        <v>536</v>
      </c>
      <c r="R209" s="25">
        <v>921.78</v>
      </c>
      <c r="S209" s="10">
        <f>Table1[[#This Row],[ATG (ha)]]/Table1[[#This Row],[Linear Area (ha)]]</f>
        <v>1.7197388059701493</v>
      </c>
      <c r="T209" s="11" t="s">
        <v>22</v>
      </c>
      <c r="U209" s="11" t="s">
        <v>22</v>
      </c>
      <c r="V209" s="25">
        <v>921.78</v>
      </c>
      <c r="W209" s="25">
        <v>368.71199999999999</v>
      </c>
      <c r="X209" s="13">
        <v>285.98496532440203</v>
      </c>
      <c r="Y209" s="12">
        <f>Table1[[#This Row],[Raw Terrestrial Score]]/Table1[[#This Row],[Summed Raw Scores]]</f>
        <v>0.70940475540919334</v>
      </c>
      <c r="Z209" s="13">
        <v>117.14873676002</v>
      </c>
      <c r="AA209" s="12">
        <f>Table1[[#This Row],[Raw Freshwater Score]]/Table1[[#This Row],[Summed Raw Scores]]</f>
        <v>0.29059524459080666</v>
      </c>
      <c r="AB209" s="12">
        <f>Table1[[#This Row],[Raw Terrestrial Score]]+Table1[[#This Row],[Raw Freshwater Score]]</f>
        <v>403.133702084422</v>
      </c>
      <c r="AC209" s="14">
        <f>Table1[[#This Row],[Terrestrial % of Summed Score]]*Table1[[#This Row],[Scaled Summed Score]]</f>
        <v>4.4601344716415872E-2</v>
      </c>
      <c r="AD209" s="14">
        <f>Table1[[#This Row],[Freshwater % of Summed Score]]*Table1[[#This Row],[Scaled Summed Score]]</f>
        <v>1.8270160410004194E-2</v>
      </c>
      <c r="AE209" s="21">
        <f>Table1[[#This Row],[Summed Raw Scores]]/MAX(Table1[Summed Raw Scores])</f>
        <v>6.2871505126420063E-2</v>
      </c>
    </row>
    <row r="210" spans="1:31" x14ac:dyDescent="0.3">
      <c r="A210" s="7" t="s">
        <v>72</v>
      </c>
      <c r="B210" s="7" t="s">
        <v>58</v>
      </c>
      <c r="C210" s="7" t="s">
        <v>59</v>
      </c>
      <c r="D210" s="7"/>
      <c r="E210" s="23">
        <v>53.762447399999999</v>
      </c>
      <c r="F210" s="23">
        <v>-122.5860143</v>
      </c>
      <c r="G210" s="23">
        <v>267.77353846199998</v>
      </c>
      <c r="H210" s="8" t="s">
        <v>22</v>
      </c>
      <c r="I210" s="8" t="s">
        <v>22</v>
      </c>
      <c r="J210" s="23">
        <v>417.37455832924564</v>
      </c>
      <c r="K210" s="23">
        <v>102.45902931533188</v>
      </c>
      <c r="L210" s="8" t="s">
        <v>22</v>
      </c>
      <c r="M210" s="23">
        <v>0.3</v>
      </c>
      <c r="N210" s="23">
        <v>10.3</v>
      </c>
      <c r="O210" s="8">
        <f>Table1[[#This Row],[R1 Length (km)]]+Table1[[#This Row],[T1 Length (km)]]</f>
        <v>10.600000000000001</v>
      </c>
      <c r="P210" s="13">
        <v>230</v>
      </c>
      <c r="Q210" s="8">
        <f>(Table1[[#This Row],[Linear Features (km)]]*0.4)*100</f>
        <v>424.00000000000011</v>
      </c>
      <c r="R210" s="23">
        <v>378.27000000000004</v>
      </c>
      <c r="S210" s="21">
        <f>Table1[[#This Row],[ATG (ha)]]/Table1[[#This Row],[Linear Area (ha)]]</f>
        <v>0.89214622641509422</v>
      </c>
      <c r="T210" s="11" t="s">
        <v>22</v>
      </c>
      <c r="U210" s="11" t="s">
        <v>22</v>
      </c>
      <c r="V210" s="23">
        <v>378.27000000000004</v>
      </c>
      <c r="W210" s="23">
        <v>151.30800000000002</v>
      </c>
      <c r="X210" s="13">
        <v>344.08267164230301</v>
      </c>
      <c r="Y210" s="12">
        <f>Table1[[#This Row],[Raw Terrestrial Score]]/Table1[[#This Row],[Summed Raw Scores]]</f>
        <v>0.69336940123985114</v>
      </c>
      <c r="Z210" s="13">
        <v>152.164597168565</v>
      </c>
      <c r="AA210" s="12">
        <f>Table1[[#This Row],[Raw Freshwater Score]]/Table1[[#This Row],[Summed Raw Scores]]</f>
        <v>0.30663059876014881</v>
      </c>
      <c r="AB210" s="12">
        <f>Table1[[#This Row],[Raw Terrestrial Score]]+Table1[[#This Row],[Raw Freshwater Score]]</f>
        <v>496.24726881086804</v>
      </c>
      <c r="AC210" s="14">
        <f>Table1[[#This Row],[Terrestrial % of Summed Score]]*Table1[[#This Row],[Scaled Summed Score]]</f>
        <v>5.3662086157066337E-2</v>
      </c>
      <c r="AD210" s="14">
        <f>Table1[[#This Row],[Freshwater % of Summed Score]]*Table1[[#This Row],[Scaled Summed Score]]</f>
        <v>2.373112741871343E-2</v>
      </c>
      <c r="AE210" s="21">
        <f>Table1[[#This Row],[Summed Raw Scores]]/MAX(Table1[Summed Raw Scores])</f>
        <v>7.7393213575779773E-2</v>
      </c>
    </row>
    <row r="211" spans="1:31" x14ac:dyDescent="0.3">
      <c r="A211" s="7" t="s">
        <v>329</v>
      </c>
      <c r="B211" s="7" t="s">
        <v>58</v>
      </c>
      <c r="C211" s="7" t="s">
        <v>59</v>
      </c>
      <c r="D211" s="7"/>
      <c r="E211" s="25">
        <v>53.776174099999999</v>
      </c>
      <c r="F211" s="25">
        <v>-122.4985475</v>
      </c>
      <c r="G211" s="25">
        <v>44.861538459999998</v>
      </c>
      <c r="H211" s="7" t="s">
        <v>22</v>
      </c>
      <c r="I211" s="7" t="s">
        <v>22</v>
      </c>
      <c r="J211" s="25">
        <v>71.358535660000001</v>
      </c>
      <c r="K211" s="25">
        <v>134.24201780000001</v>
      </c>
      <c r="L211" s="8" t="s">
        <v>22</v>
      </c>
      <c r="M211" s="25">
        <v>0</v>
      </c>
      <c r="N211" s="25">
        <v>16.2</v>
      </c>
      <c r="O211" s="8">
        <f>Table1[[#This Row],[R1 Length (km)]]+Table1[[#This Row],[T1 Length (km)]]</f>
        <v>16.2</v>
      </c>
      <c r="P211" s="32">
        <v>69</v>
      </c>
      <c r="Q211" s="8">
        <f>(Table1[[#This Row],[Linear Features (km)]]*0.4)*100</f>
        <v>648</v>
      </c>
      <c r="R211" s="25">
        <v>182.25</v>
      </c>
      <c r="S211" s="10">
        <f>Table1[[#This Row],[ATG (ha)]]/Table1[[#This Row],[Linear Area (ha)]]</f>
        <v>0.28125</v>
      </c>
      <c r="T211" s="11" t="s">
        <v>22</v>
      </c>
      <c r="U211" s="11" t="s">
        <v>22</v>
      </c>
      <c r="V211" s="25">
        <v>182.25</v>
      </c>
      <c r="W211" s="25">
        <v>72.900000000000006</v>
      </c>
      <c r="X211" s="13">
        <v>93.334972500801101</v>
      </c>
      <c r="Y211" s="12">
        <f>Table1[[#This Row],[Raw Terrestrial Score]]/Table1[[#This Row],[Summed Raw Scores]]</f>
        <v>0.67370191494879705</v>
      </c>
      <c r="Z211" s="13">
        <v>45.205486461520202</v>
      </c>
      <c r="AA211" s="12">
        <f>Table1[[#This Row],[Raw Freshwater Score]]/Table1[[#This Row],[Summed Raw Scores]]</f>
        <v>0.32629808505120289</v>
      </c>
      <c r="AB211" s="12">
        <f>Table1[[#This Row],[Raw Terrestrial Score]]+Table1[[#This Row],[Raw Freshwater Score]]</f>
        <v>138.54045896232131</v>
      </c>
      <c r="AC211" s="14">
        <f>Table1[[#This Row],[Terrestrial % of Summed Score]]*Table1[[#This Row],[Scaled Summed Score]]</f>
        <v>1.4556238220017451E-2</v>
      </c>
      <c r="AD211" s="14">
        <f>Table1[[#This Row],[Freshwater % of Summed Score]]*Table1[[#This Row],[Scaled Summed Score]]</f>
        <v>7.0501100729419936E-3</v>
      </c>
      <c r="AE211" s="21">
        <f>Table1[[#This Row],[Summed Raw Scores]]/MAX(Table1[Summed Raw Scores])</f>
        <v>2.1606348292959446E-2</v>
      </c>
    </row>
    <row r="212" spans="1:31" x14ac:dyDescent="0.3">
      <c r="A212" s="7" t="s">
        <v>261</v>
      </c>
      <c r="B212" s="7" t="s">
        <v>58</v>
      </c>
      <c r="C212" s="7" t="s">
        <v>59</v>
      </c>
      <c r="D212" s="7"/>
      <c r="E212" s="25">
        <v>52.123478200000001</v>
      </c>
      <c r="F212" s="25">
        <v>-122.2041897</v>
      </c>
      <c r="G212" s="25">
        <v>15.75138462</v>
      </c>
      <c r="H212" s="7" t="s">
        <v>22</v>
      </c>
      <c r="I212" s="7" t="s">
        <v>22</v>
      </c>
      <c r="J212" s="25">
        <v>26.907668229999999</v>
      </c>
      <c r="K212" s="25">
        <v>120.19274249999999</v>
      </c>
      <c r="L212" s="8" t="s">
        <v>22</v>
      </c>
      <c r="M212" s="25">
        <v>1.024264069</v>
      </c>
      <c r="N212" s="25">
        <v>4.6970562749999996</v>
      </c>
      <c r="O212" s="8">
        <f>Table1[[#This Row],[R1 Length (km)]]+Table1[[#This Row],[T1 Length (km)]]</f>
        <v>5.7213203439999996</v>
      </c>
      <c r="P212" s="32">
        <v>25</v>
      </c>
      <c r="Q212" s="8">
        <f>(Table1[[#This Row],[Linear Features (km)]]*0.4)*100</f>
        <v>228.85281375999998</v>
      </c>
      <c r="R212" s="25">
        <v>63.99</v>
      </c>
      <c r="S212" s="10">
        <f>Table1[[#This Row],[ATG (ha)]]/Table1[[#This Row],[Linear Area (ha)]]</f>
        <v>0.2796120307574933</v>
      </c>
      <c r="T212" s="11" t="s">
        <v>22</v>
      </c>
      <c r="U212" s="11" t="s">
        <v>22</v>
      </c>
      <c r="V212" s="25">
        <v>63.99</v>
      </c>
      <c r="W212" s="25">
        <v>25.596</v>
      </c>
      <c r="X212" s="13">
        <v>50.079380452632897</v>
      </c>
      <c r="Y212" s="12">
        <f>Table1[[#This Row],[Raw Terrestrial Score]]/Table1[[#This Row],[Summed Raw Scores]]</f>
        <v>0.54280014012533229</v>
      </c>
      <c r="Z212" s="13">
        <v>42.1817977428436</v>
      </c>
      <c r="AA212" s="12">
        <f>Table1[[#This Row],[Raw Freshwater Score]]/Table1[[#This Row],[Summed Raw Scores]]</f>
        <v>0.45719985987466766</v>
      </c>
      <c r="AB212" s="12">
        <f>Table1[[#This Row],[Raw Terrestrial Score]]+Table1[[#This Row],[Raw Freshwater Score]]</f>
        <v>92.261178195476504</v>
      </c>
      <c r="AC212" s="14">
        <f>Table1[[#This Row],[Terrestrial % of Summed Score]]*Table1[[#This Row],[Scaled Summed Score]]</f>
        <v>7.8102277447304443E-3</v>
      </c>
      <c r="AD212" s="14">
        <f>Table1[[#This Row],[Freshwater % of Summed Score]]*Table1[[#This Row],[Scaled Summed Score]]</f>
        <v>6.5785447838231891E-3</v>
      </c>
      <c r="AE212" s="21">
        <f>Table1[[#This Row],[Summed Raw Scores]]/MAX(Table1[Summed Raw Scores])</f>
        <v>1.4388772528553634E-2</v>
      </c>
    </row>
    <row r="213" spans="1:31" x14ac:dyDescent="0.3">
      <c r="A213" s="7" t="s">
        <v>370</v>
      </c>
      <c r="B213" s="7" t="s">
        <v>58</v>
      </c>
      <c r="C213" s="7" t="s">
        <v>25</v>
      </c>
      <c r="D213" s="7"/>
      <c r="E213" s="25">
        <v>51.32422571</v>
      </c>
      <c r="F213" s="25">
        <v>-122.0755568</v>
      </c>
      <c r="G213" s="25">
        <v>35.291076920000002</v>
      </c>
      <c r="H213" s="7" t="s">
        <v>22</v>
      </c>
      <c r="I213" s="7" t="s">
        <v>22</v>
      </c>
      <c r="J213" s="15">
        <v>61.747177309999998</v>
      </c>
      <c r="K213" s="15">
        <v>148.3183689</v>
      </c>
      <c r="L213" s="8" t="s">
        <v>22</v>
      </c>
      <c r="M213" s="25">
        <v>1.9</v>
      </c>
      <c r="N213" s="25">
        <v>48.5</v>
      </c>
      <c r="O213" s="8">
        <f>Table1[[#This Row],[R1 Length (km)]]+Table1[[#This Row],[T1 Length (km)]]</f>
        <v>50.4</v>
      </c>
      <c r="P213" s="32">
        <v>69</v>
      </c>
      <c r="Q213" s="8">
        <f>(Table1[[#This Row],[Linear Features (km)]]*0.4)*100</f>
        <v>2016</v>
      </c>
      <c r="R213" s="25">
        <v>143.37</v>
      </c>
      <c r="S213" s="10">
        <f>Table1[[#This Row],[ATG (ha)]]/Table1[[#This Row],[Linear Area (ha)]]</f>
        <v>7.1116071428571431E-2</v>
      </c>
      <c r="T213" s="11" t="s">
        <v>22</v>
      </c>
      <c r="U213" s="11" t="s">
        <v>22</v>
      </c>
      <c r="V213" s="25">
        <v>143.37</v>
      </c>
      <c r="W213" s="25">
        <v>57.347999999999999</v>
      </c>
      <c r="X213" s="13">
        <v>447.71070349216501</v>
      </c>
      <c r="Y213" s="12">
        <f>Table1[[#This Row],[Raw Terrestrial Score]]/Table1[[#This Row],[Summed Raw Scores]]</f>
        <v>0.64631612189565446</v>
      </c>
      <c r="Z213" s="13">
        <v>245.00094074010801</v>
      </c>
      <c r="AA213" s="12">
        <f>Table1[[#This Row],[Raw Freshwater Score]]/Table1[[#This Row],[Summed Raw Scores]]</f>
        <v>0.35368387810434554</v>
      </c>
      <c r="AB213" s="12">
        <f>Table1[[#This Row],[Raw Terrestrial Score]]+Table1[[#This Row],[Raw Freshwater Score]]</f>
        <v>692.71164423227299</v>
      </c>
      <c r="AC213" s="14">
        <f>Table1[[#This Row],[Terrestrial % of Summed Score]]*Table1[[#This Row],[Scaled Summed Score]]</f>
        <v>6.9823598583345775E-2</v>
      </c>
      <c r="AD213" s="14">
        <f>Table1[[#This Row],[Freshwater % of Summed Score]]*Table1[[#This Row],[Scaled Summed Score]]</f>
        <v>3.8209600988641006E-2</v>
      </c>
      <c r="AE213" s="21">
        <f>Table1[[#This Row],[Summed Raw Scores]]/MAX(Table1[Summed Raw Scores])</f>
        <v>0.10803319957198677</v>
      </c>
    </row>
    <row r="214" spans="1:31" x14ac:dyDescent="0.3">
      <c r="A214" s="7" t="s">
        <v>404</v>
      </c>
      <c r="B214" s="7" t="s">
        <v>58</v>
      </c>
      <c r="C214" s="7" t="s">
        <v>25</v>
      </c>
      <c r="D214" s="7"/>
      <c r="E214" s="25">
        <v>51.276840249999999</v>
      </c>
      <c r="F214" s="25">
        <v>-122.0519788</v>
      </c>
      <c r="G214" s="25">
        <v>22.530461540000001</v>
      </c>
      <c r="H214" s="7" t="s">
        <v>22</v>
      </c>
      <c r="I214" s="7" t="s">
        <v>22</v>
      </c>
      <c r="J214" s="25">
        <v>39.048009829999998</v>
      </c>
      <c r="K214" s="25">
        <v>181.35141490000001</v>
      </c>
      <c r="L214" s="8" t="s">
        <v>22</v>
      </c>
      <c r="M214" s="25">
        <v>3.8</v>
      </c>
      <c r="N214" s="25">
        <v>45.9</v>
      </c>
      <c r="O214" s="8">
        <f>Table1[[#This Row],[R1 Length (km)]]+Table1[[#This Row],[T1 Length (km)]]</f>
        <v>49.699999999999996</v>
      </c>
      <c r="P214" s="32">
        <v>69</v>
      </c>
      <c r="Q214" s="8">
        <f>(Table1[[#This Row],[Linear Features (km)]]*0.4)*100</f>
        <v>1988</v>
      </c>
      <c r="R214" s="25">
        <v>91.53</v>
      </c>
      <c r="S214" s="10">
        <f>Table1[[#This Row],[ATG (ha)]]/Table1[[#This Row],[Linear Area (ha)]]</f>
        <v>4.604124748490946E-2</v>
      </c>
      <c r="T214" s="11" t="s">
        <v>22</v>
      </c>
      <c r="U214" s="11" t="s">
        <v>22</v>
      </c>
      <c r="V214" s="25">
        <v>91.53</v>
      </c>
      <c r="W214" s="25">
        <v>36.612000000000002</v>
      </c>
      <c r="X214" s="13">
        <v>468.53999209403997</v>
      </c>
      <c r="Y214" s="12">
        <f>Table1[[#This Row],[Raw Terrestrial Score]]/Table1[[#This Row],[Summed Raw Scores]]</f>
        <v>0.69451678321703891</v>
      </c>
      <c r="Z214" s="13">
        <v>206.087322056293</v>
      </c>
      <c r="AA214" s="12">
        <f>Table1[[#This Row],[Raw Freshwater Score]]/Table1[[#This Row],[Summed Raw Scores]]</f>
        <v>0.30548321678296114</v>
      </c>
      <c r="AB214" s="12">
        <f>Table1[[#This Row],[Raw Terrestrial Score]]+Table1[[#This Row],[Raw Freshwater Score]]</f>
        <v>674.62731415033295</v>
      </c>
      <c r="AC214" s="14">
        <f>Table1[[#This Row],[Terrestrial % of Summed Score]]*Table1[[#This Row],[Scaled Summed Score]]</f>
        <v>7.3072071033903188E-2</v>
      </c>
      <c r="AD214" s="14">
        <f>Table1[[#This Row],[Freshwater % of Summed Score]]*Table1[[#This Row],[Scaled Summed Score]]</f>
        <v>3.2140751463242884E-2</v>
      </c>
      <c r="AE214" s="21">
        <f>Table1[[#This Row],[Summed Raw Scores]]/MAX(Table1[Summed Raw Scores])</f>
        <v>0.10521282249714607</v>
      </c>
    </row>
    <row r="215" spans="1:31" x14ac:dyDescent="0.3">
      <c r="A215" s="7" t="s">
        <v>361</v>
      </c>
      <c r="B215" s="7" t="s">
        <v>58</v>
      </c>
      <c r="C215" s="7" t="s">
        <v>25</v>
      </c>
      <c r="D215" s="7"/>
      <c r="E215" s="25">
        <v>51.216091339999998</v>
      </c>
      <c r="F215" s="25">
        <v>-122.1119056</v>
      </c>
      <c r="G215" s="25">
        <v>39.876923079999997</v>
      </c>
      <c r="H215" s="7" t="s">
        <v>22</v>
      </c>
      <c r="I215" s="7" t="s">
        <v>22</v>
      </c>
      <c r="J215" s="25">
        <v>69.346494949999993</v>
      </c>
      <c r="K215" s="25">
        <v>143.15071119999999</v>
      </c>
      <c r="L215" s="8" t="s">
        <v>22</v>
      </c>
      <c r="M215" s="25">
        <v>1.2</v>
      </c>
      <c r="N215" s="25">
        <v>46</v>
      </c>
      <c r="O215" s="8">
        <f>Table1[[#This Row],[R1 Length (km)]]+Table1[[#This Row],[T1 Length (km)]]</f>
        <v>47.2</v>
      </c>
      <c r="P215" s="32">
        <v>69</v>
      </c>
      <c r="Q215" s="8">
        <f>(Table1[[#This Row],[Linear Features (km)]]*0.4)*100</f>
        <v>1888.0000000000002</v>
      </c>
      <c r="R215" s="25">
        <v>162</v>
      </c>
      <c r="S215" s="10">
        <f>Table1[[#This Row],[ATG (ha)]]/Table1[[#This Row],[Linear Area (ha)]]</f>
        <v>8.5805084745762705E-2</v>
      </c>
      <c r="T215" s="11" t="s">
        <v>22</v>
      </c>
      <c r="U215" s="11" t="s">
        <v>22</v>
      </c>
      <c r="V215" s="25">
        <v>162</v>
      </c>
      <c r="W215" s="25">
        <v>64.8</v>
      </c>
      <c r="X215" s="13">
        <v>396.73649263381998</v>
      </c>
      <c r="Y215" s="12">
        <f>Table1[[#This Row],[Raw Terrestrial Score]]/Table1[[#This Row],[Summed Raw Scores]]</f>
        <v>0.59091179736463961</v>
      </c>
      <c r="Z215" s="13">
        <v>274.66065056622</v>
      </c>
      <c r="AA215" s="12">
        <f>Table1[[#This Row],[Raw Freshwater Score]]/Table1[[#This Row],[Summed Raw Scores]]</f>
        <v>0.40908820263536033</v>
      </c>
      <c r="AB215" s="12">
        <f>Table1[[#This Row],[Raw Terrestrial Score]]+Table1[[#This Row],[Raw Freshwater Score]]</f>
        <v>671.39714320003998</v>
      </c>
      <c r="AC215" s="14">
        <f>Table1[[#This Row],[Terrestrial % of Summed Score]]*Table1[[#This Row],[Scaled Summed Score]]</f>
        <v>6.1873815812208167E-2</v>
      </c>
      <c r="AD215" s="14">
        <f>Table1[[#This Row],[Freshwater % of Summed Score]]*Table1[[#This Row],[Scaled Summed Score]]</f>
        <v>4.2835239055462881E-2</v>
      </c>
      <c r="AE215" s="21">
        <f>Table1[[#This Row],[Summed Raw Scores]]/MAX(Table1[Summed Raw Scores])</f>
        <v>0.10470905486767106</v>
      </c>
    </row>
    <row r="216" spans="1:31" x14ac:dyDescent="0.3">
      <c r="A216" s="7" t="s">
        <v>358</v>
      </c>
      <c r="B216" s="7" t="s">
        <v>58</v>
      </c>
      <c r="C216" s="7" t="s">
        <v>25</v>
      </c>
      <c r="D216" s="7"/>
      <c r="E216" s="25">
        <v>51.187649880000002</v>
      </c>
      <c r="F216" s="25">
        <v>-121.64776999999999</v>
      </c>
      <c r="G216" s="25">
        <v>26.91692308</v>
      </c>
      <c r="H216" s="7" t="s">
        <v>22</v>
      </c>
      <c r="I216" s="7" t="s">
        <v>22</v>
      </c>
      <c r="J216" s="25">
        <v>45.858064759999998</v>
      </c>
      <c r="K216" s="25">
        <v>142.23050549999999</v>
      </c>
      <c r="L216" s="8" t="s">
        <v>22</v>
      </c>
      <c r="M216" s="25">
        <v>1.6</v>
      </c>
      <c r="N216" s="25">
        <v>13.4</v>
      </c>
      <c r="O216" s="8">
        <f>Table1[[#This Row],[R1 Length (km)]]+Table1[[#This Row],[T1 Length (km)]]</f>
        <v>15</v>
      </c>
      <c r="P216" s="32">
        <v>69</v>
      </c>
      <c r="Q216" s="8">
        <f>(Table1[[#This Row],[Linear Features (km)]]*0.4)*100</f>
        <v>600</v>
      </c>
      <c r="R216" s="25">
        <v>109.35</v>
      </c>
      <c r="S216" s="10">
        <f>Table1[[#This Row],[ATG (ha)]]/Table1[[#This Row],[Linear Area (ha)]]</f>
        <v>0.18225</v>
      </c>
      <c r="T216" s="11" t="s">
        <v>22</v>
      </c>
      <c r="U216" s="11" t="s">
        <v>22</v>
      </c>
      <c r="V216" s="25">
        <v>109.35</v>
      </c>
      <c r="W216" s="25">
        <v>43.74</v>
      </c>
      <c r="X216" s="13">
        <v>231.67986738681799</v>
      </c>
      <c r="Y216" s="12">
        <f>Table1[[#This Row],[Raw Terrestrial Score]]/Table1[[#This Row],[Summed Raw Scores]]</f>
        <v>0.61046310600129583</v>
      </c>
      <c r="Z216" s="13">
        <v>147.83506989479099</v>
      </c>
      <c r="AA216" s="12">
        <f>Table1[[#This Row],[Raw Freshwater Score]]/Table1[[#This Row],[Summed Raw Scores]]</f>
        <v>0.38953689399870423</v>
      </c>
      <c r="AB216" s="12">
        <f>Table1[[#This Row],[Raw Terrestrial Score]]+Table1[[#This Row],[Raw Freshwater Score]]</f>
        <v>379.51493728160898</v>
      </c>
      <c r="AC216" s="14">
        <f>Table1[[#This Row],[Terrestrial % of Summed Score]]*Table1[[#This Row],[Scaled Summed Score]]</f>
        <v>3.6132086934890659E-2</v>
      </c>
      <c r="AD216" s="14">
        <f>Table1[[#This Row],[Freshwater % of Summed Score]]*Table1[[#This Row],[Scaled Summed Score]]</f>
        <v>2.30559075232281E-2</v>
      </c>
      <c r="AE216" s="21">
        <f>Table1[[#This Row],[Summed Raw Scores]]/MAX(Table1[Summed Raw Scores])</f>
        <v>5.9187994458118759E-2</v>
      </c>
    </row>
    <row r="217" spans="1:31" x14ac:dyDescent="0.3">
      <c r="A217" s="7" t="s">
        <v>348</v>
      </c>
      <c r="B217" s="7" t="s">
        <v>58</v>
      </c>
      <c r="C217" s="7" t="s">
        <v>25</v>
      </c>
      <c r="D217" s="7"/>
      <c r="E217" s="25">
        <v>50.979295639999997</v>
      </c>
      <c r="F217" s="25">
        <v>-121.9945057</v>
      </c>
      <c r="G217" s="25">
        <v>57.622153849999997</v>
      </c>
      <c r="H217" s="7" t="s">
        <v>22</v>
      </c>
      <c r="I217" s="7" t="s">
        <v>22</v>
      </c>
      <c r="J217" s="25">
        <v>104.2061259</v>
      </c>
      <c r="K217" s="25">
        <v>140.81501650000001</v>
      </c>
      <c r="L217" s="8" t="s">
        <v>22</v>
      </c>
      <c r="M217" s="25">
        <v>0</v>
      </c>
      <c r="N217" s="25">
        <v>22.1</v>
      </c>
      <c r="O217" s="8">
        <f>Table1[[#This Row],[R1 Length (km)]]+Table1[[#This Row],[T1 Length (km)]]</f>
        <v>22.1</v>
      </c>
      <c r="P217" s="32">
        <v>230</v>
      </c>
      <c r="Q217" s="8">
        <f>(Table1[[#This Row],[Linear Features (km)]]*0.4)*100</f>
        <v>884.00000000000011</v>
      </c>
      <c r="R217" s="25">
        <v>234.09</v>
      </c>
      <c r="S217" s="10">
        <f>Table1[[#This Row],[ATG (ha)]]/Table1[[#This Row],[Linear Area (ha)]]</f>
        <v>0.2648076923076923</v>
      </c>
      <c r="T217" s="11" t="s">
        <v>22</v>
      </c>
      <c r="U217" s="11" t="s">
        <v>22</v>
      </c>
      <c r="V217" s="25">
        <v>234.09</v>
      </c>
      <c r="W217" s="25">
        <v>93.635999999999996</v>
      </c>
      <c r="X217" s="13">
        <v>233.85589897632599</v>
      </c>
      <c r="Y217" s="12">
        <f>Table1[[#This Row],[Raw Terrestrial Score]]/Table1[[#This Row],[Summed Raw Scores]]</f>
        <v>0.53651036351934001</v>
      </c>
      <c r="Z217" s="13">
        <v>202.02738469839099</v>
      </c>
      <c r="AA217" s="12">
        <f>Table1[[#This Row],[Raw Freshwater Score]]/Table1[[#This Row],[Summed Raw Scores]]</f>
        <v>0.46348963648066005</v>
      </c>
      <c r="AB217" s="12">
        <f>Table1[[#This Row],[Raw Terrestrial Score]]+Table1[[#This Row],[Raw Freshwater Score]]</f>
        <v>435.88328367471695</v>
      </c>
      <c r="AC217" s="14">
        <f>Table1[[#This Row],[Terrestrial % of Summed Score]]*Table1[[#This Row],[Scaled Summed Score]]</f>
        <v>3.6471454198226914E-2</v>
      </c>
      <c r="AD217" s="14">
        <f>Table1[[#This Row],[Freshwater % of Summed Score]]*Table1[[#This Row],[Scaled Summed Score]]</f>
        <v>3.1507575990464311E-2</v>
      </c>
      <c r="AE217" s="21">
        <f>Table1[[#This Row],[Summed Raw Scores]]/MAX(Table1[Summed Raw Scores])</f>
        <v>6.7979030188691225E-2</v>
      </c>
    </row>
    <row r="218" spans="1:31" x14ac:dyDescent="0.3">
      <c r="A218" s="7" t="s">
        <v>316</v>
      </c>
      <c r="B218" s="7" t="s">
        <v>58</v>
      </c>
      <c r="C218" s="7" t="s">
        <v>25</v>
      </c>
      <c r="D218" s="7"/>
      <c r="E218" s="25">
        <v>50.93194561</v>
      </c>
      <c r="F218" s="25">
        <v>-121.97114910000001</v>
      </c>
      <c r="G218" s="25">
        <v>12.162461540000001</v>
      </c>
      <c r="H218" s="7" t="s">
        <v>22</v>
      </c>
      <c r="I218" s="7" t="s">
        <v>22</v>
      </c>
      <c r="J218" s="25">
        <v>21.843487979999999</v>
      </c>
      <c r="K218" s="25">
        <v>131.2458772</v>
      </c>
      <c r="L218" s="8" t="s">
        <v>22</v>
      </c>
      <c r="M218" s="25">
        <v>0</v>
      </c>
      <c r="N218" s="25">
        <v>12.6</v>
      </c>
      <c r="O218" s="8">
        <f>Table1[[#This Row],[R1 Length (km)]]+Table1[[#This Row],[T1 Length (km)]]</f>
        <v>12.6</v>
      </c>
      <c r="P218" s="32">
        <v>25</v>
      </c>
      <c r="Q218" s="8">
        <f>(Table1[[#This Row],[Linear Features (km)]]*0.4)*100</f>
        <v>504</v>
      </c>
      <c r="R218" s="25">
        <v>49.41</v>
      </c>
      <c r="S218" s="10">
        <f>Table1[[#This Row],[ATG (ha)]]/Table1[[#This Row],[Linear Area (ha)]]</f>
        <v>9.8035714285714282E-2</v>
      </c>
      <c r="T218" s="11" t="s">
        <v>22</v>
      </c>
      <c r="U218" s="11" t="s">
        <v>22</v>
      </c>
      <c r="V218" s="25">
        <v>49.41</v>
      </c>
      <c r="W218" s="25">
        <v>19.763999999999999</v>
      </c>
      <c r="X218" s="13">
        <v>214.131968259811</v>
      </c>
      <c r="Y218" s="12">
        <f>Table1[[#This Row],[Raw Terrestrial Score]]/Table1[[#This Row],[Summed Raw Scores]]</f>
        <v>0.52315161244038122</v>
      </c>
      <c r="Z218" s="13">
        <v>195.17952609062201</v>
      </c>
      <c r="AA218" s="12">
        <f>Table1[[#This Row],[Raw Freshwater Score]]/Table1[[#This Row],[Summed Raw Scores]]</f>
        <v>0.47684838755961884</v>
      </c>
      <c r="AB218" s="12">
        <f>Table1[[#This Row],[Raw Terrestrial Score]]+Table1[[#This Row],[Raw Freshwater Score]]</f>
        <v>409.31149435043301</v>
      </c>
      <c r="AC218" s="14">
        <f>Table1[[#This Row],[Terrestrial % of Summed Score]]*Table1[[#This Row],[Scaled Summed Score]]</f>
        <v>3.339536999900302E-2</v>
      </c>
      <c r="AD218" s="14">
        <f>Table1[[#This Row],[Freshwater % of Summed Score]]*Table1[[#This Row],[Scaled Summed Score]]</f>
        <v>3.0439604805377964E-2</v>
      </c>
      <c r="AE218" s="21">
        <f>Table1[[#This Row],[Summed Raw Scores]]/MAX(Table1[Summed Raw Scores])</f>
        <v>6.3834974804380981E-2</v>
      </c>
    </row>
    <row r="219" spans="1:31" x14ac:dyDescent="0.3">
      <c r="A219" s="7" t="s">
        <v>73</v>
      </c>
      <c r="B219" s="7" t="s">
        <v>58</v>
      </c>
      <c r="C219" s="7" t="s">
        <v>25</v>
      </c>
      <c r="D219" s="7"/>
      <c r="E219" s="23">
        <v>51.032245750000001</v>
      </c>
      <c r="F219" s="23">
        <v>-121.66175560000001</v>
      </c>
      <c r="G219" s="23">
        <v>41.671384615400001</v>
      </c>
      <c r="H219" s="8" t="s">
        <v>22</v>
      </c>
      <c r="I219" s="8" t="s">
        <v>22</v>
      </c>
      <c r="J219" s="23">
        <v>74.167136563120138</v>
      </c>
      <c r="K219" s="23">
        <v>103.70208520210363</v>
      </c>
      <c r="L219" s="8" t="s">
        <v>22</v>
      </c>
      <c r="M219" s="23">
        <v>0.7</v>
      </c>
      <c r="N219" s="23">
        <v>8.9</v>
      </c>
      <c r="O219" s="8">
        <f>Table1[[#This Row],[R1 Length (km)]]+Table1[[#This Row],[T1 Length (km)]]</f>
        <v>9.6</v>
      </c>
      <c r="P219" s="13">
        <v>69</v>
      </c>
      <c r="Q219" s="8">
        <f>(Table1[[#This Row],[Linear Features (km)]]*0.4)*100</f>
        <v>384</v>
      </c>
      <c r="R219" s="23">
        <v>1554.39</v>
      </c>
      <c r="S219" s="21">
        <f>Table1[[#This Row],[ATG (ha)]]/Table1[[#This Row],[Linear Area (ha)]]</f>
        <v>4.047890625</v>
      </c>
      <c r="T219" s="11" t="s">
        <v>22</v>
      </c>
      <c r="U219" s="11" t="s">
        <v>22</v>
      </c>
      <c r="V219" s="23">
        <v>1554.39</v>
      </c>
      <c r="W219" s="23">
        <v>621.75600000000009</v>
      </c>
      <c r="X219" s="13">
        <v>346.58402907848398</v>
      </c>
      <c r="Y219" s="12">
        <f>Table1[[#This Row],[Raw Terrestrial Score]]/Table1[[#This Row],[Summed Raw Scores]]</f>
        <v>0.54063849769010042</v>
      </c>
      <c r="Z219" s="13">
        <v>294.48025058209902</v>
      </c>
      <c r="AA219" s="12">
        <f>Table1[[#This Row],[Raw Freshwater Score]]/Table1[[#This Row],[Summed Raw Scores]]</f>
        <v>0.45936150230989958</v>
      </c>
      <c r="AB219" s="12">
        <f>Table1[[#This Row],[Raw Terrestrial Score]]+Table1[[#This Row],[Raw Freshwater Score]]</f>
        <v>641.064279660583</v>
      </c>
      <c r="AC219" s="14">
        <f>Table1[[#This Row],[Terrestrial % of Summed Score]]*Table1[[#This Row],[Scaled Summed Score]]</f>
        <v>5.405219024922911E-2</v>
      </c>
      <c r="AD219" s="14">
        <f>Table1[[#This Row],[Freshwater % of Summed Score]]*Table1[[#This Row],[Scaled Summed Score]]</f>
        <v>4.5926243547419213E-2</v>
      </c>
      <c r="AE219" s="21">
        <f>Table1[[#This Row],[Summed Raw Scores]]/MAX(Table1[Summed Raw Scores])</f>
        <v>9.9978433796648322E-2</v>
      </c>
    </row>
    <row r="220" spans="1:31" x14ac:dyDescent="0.3">
      <c r="A220" s="7" t="s">
        <v>324</v>
      </c>
      <c r="B220" s="7" t="s">
        <v>58</v>
      </c>
      <c r="C220" s="7" t="s">
        <v>25</v>
      </c>
      <c r="D220" s="7"/>
      <c r="E220" s="25">
        <v>51.037081059999998</v>
      </c>
      <c r="F220" s="25">
        <v>-121.3055391</v>
      </c>
      <c r="G220" s="25">
        <v>18.343384619999998</v>
      </c>
      <c r="H220" s="7" t="s">
        <v>22</v>
      </c>
      <c r="I220" s="7" t="s">
        <v>22</v>
      </c>
      <c r="J220" s="25">
        <v>32.900329939999999</v>
      </c>
      <c r="K220" s="25">
        <v>132.88605899999999</v>
      </c>
      <c r="L220" s="8" t="s">
        <v>22</v>
      </c>
      <c r="M220" s="25">
        <v>0.6</v>
      </c>
      <c r="N220" s="25">
        <v>19.600000000000001</v>
      </c>
      <c r="O220" s="8">
        <f>Table1[[#This Row],[R1 Length (km)]]+Table1[[#This Row],[T1 Length (km)]]</f>
        <v>20.200000000000003</v>
      </c>
      <c r="P220" s="32">
        <v>25</v>
      </c>
      <c r="Q220" s="8">
        <f>(Table1[[#This Row],[Linear Features (km)]]*0.4)*100</f>
        <v>808.00000000000023</v>
      </c>
      <c r="R220" s="25">
        <v>74.52</v>
      </c>
      <c r="S220" s="10">
        <f>Table1[[#This Row],[ATG (ha)]]/Table1[[#This Row],[Linear Area (ha)]]</f>
        <v>9.2227722772277199E-2</v>
      </c>
      <c r="T220" s="11" t="s">
        <v>22</v>
      </c>
      <c r="U220" s="11" t="s">
        <v>22</v>
      </c>
      <c r="V220" s="25">
        <v>74.52</v>
      </c>
      <c r="W220" s="25">
        <v>29.808</v>
      </c>
      <c r="X220" s="13">
        <v>246.606472432613</v>
      </c>
      <c r="Y220" s="12">
        <f>Table1[[#This Row],[Raw Terrestrial Score]]/Table1[[#This Row],[Summed Raw Scores]]</f>
        <v>0.57336660758884639</v>
      </c>
      <c r="Z220" s="13">
        <v>183.49613411724599</v>
      </c>
      <c r="AA220" s="12">
        <f>Table1[[#This Row],[Raw Freshwater Score]]/Table1[[#This Row],[Summed Raw Scores]]</f>
        <v>0.42663339241115361</v>
      </c>
      <c r="AB220" s="12">
        <f>Table1[[#This Row],[Raw Terrestrial Score]]+Table1[[#This Row],[Raw Freshwater Score]]</f>
        <v>430.10260654985899</v>
      </c>
      <c r="AC220" s="14">
        <f>Table1[[#This Row],[Terrestrial % of Summed Score]]*Table1[[#This Row],[Scaled Summed Score]]</f>
        <v>3.8459994824517368E-2</v>
      </c>
      <c r="AD220" s="14">
        <f>Table1[[#This Row],[Freshwater % of Summed Score]]*Table1[[#This Row],[Scaled Summed Score]]</f>
        <v>2.861749855489569E-2</v>
      </c>
      <c r="AE220" s="21">
        <f>Table1[[#This Row],[Summed Raw Scores]]/MAX(Table1[Summed Raw Scores])</f>
        <v>6.7077493379413058E-2</v>
      </c>
    </row>
    <row r="221" spans="1:31" x14ac:dyDescent="0.3">
      <c r="A221" s="7" t="s">
        <v>321</v>
      </c>
      <c r="B221" s="7" t="s">
        <v>58</v>
      </c>
      <c r="C221" s="7" t="s">
        <v>25</v>
      </c>
      <c r="D221" s="7"/>
      <c r="E221" s="25">
        <v>50.950550130000003</v>
      </c>
      <c r="F221" s="25">
        <v>-121.53246660000001</v>
      </c>
      <c r="G221" s="25">
        <v>31.702153849999998</v>
      </c>
      <c r="H221" s="7" t="s">
        <v>22</v>
      </c>
      <c r="I221" s="7" t="s">
        <v>22</v>
      </c>
      <c r="J221" s="25">
        <v>54.989579589999998</v>
      </c>
      <c r="K221" s="25">
        <v>131.969009</v>
      </c>
      <c r="L221" s="8" t="s">
        <v>22</v>
      </c>
      <c r="M221" s="25">
        <v>0</v>
      </c>
      <c r="N221" s="25">
        <v>12.6</v>
      </c>
      <c r="O221" s="8">
        <f>Table1[[#This Row],[R1 Length (km)]]+Table1[[#This Row],[T1 Length (km)]]</f>
        <v>12.6</v>
      </c>
      <c r="P221" s="32">
        <v>69</v>
      </c>
      <c r="Q221" s="8">
        <f>(Table1[[#This Row],[Linear Features (km)]]*0.4)*100</f>
        <v>504</v>
      </c>
      <c r="R221" s="25">
        <v>128.79</v>
      </c>
      <c r="S221" s="10">
        <f>Table1[[#This Row],[ATG (ha)]]/Table1[[#This Row],[Linear Area (ha)]]</f>
        <v>0.25553571428571425</v>
      </c>
      <c r="T221" s="11" t="s">
        <v>22</v>
      </c>
      <c r="U221" s="11" t="s">
        <v>22</v>
      </c>
      <c r="V221" s="25">
        <v>128.79</v>
      </c>
      <c r="W221" s="25">
        <v>51.515999999999998</v>
      </c>
      <c r="X221" s="13">
        <v>106.570526838303</v>
      </c>
      <c r="Y221" s="12">
        <f>Table1[[#This Row],[Raw Terrestrial Score]]/Table1[[#This Row],[Summed Raw Scores]]</f>
        <v>0.56588517974584551</v>
      </c>
      <c r="Z221" s="13">
        <v>81.754827231168704</v>
      </c>
      <c r="AA221" s="12">
        <f>Table1[[#This Row],[Raw Freshwater Score]]/Table1[[#This Row],[Summed Raw Scores]]</f>
        <v>0.43411482025415449</v>
      </c>
      <c r="AB221" s="12">
        <f>Table1[[#This Row],[Raw Terrestrial Score]]+Table1[[#This Row],[Raw Freshwater Score]]</f>
        <v>188.3253540694717</v>
      </c>
      <c r="AC221" s="14">
        <f>Table1[[#This Row],[Terrestrial % of Summed Score]]*Table1[[#This Row],[Scaled Summed Score]]</f>
        <v>1.6620414988366628E-2</v>
      </c>
      <c r="AD221" s="14">
        <f>Table1[[#This Row],[Freshwater % of Summed Score]]*Table1[[#This Row],[Scaled Summed Score]]</f>
        <v>1.2750234011190685E-2</v>
      </c>
      <c r="AE221" s="21">
        <f>Table1[[#This Row],[Summed Raw Scores]]/MAX(Table1[Summed Raw Scores])</f>
        <v>2.9370648999557311E-2</v>
      </c>
    </row>
    <row r="222" spans="1:31" x14ac:dyDescent="0.3">
      <c r="A222" s="7" t="s">
        <v>343</v>
      </c>
      <c r="B222" s="7" t="s">
        <v>58</v>
      </c>
      <c r="C222" s="7" t="s">
        <v>25</v>
      </c>
      <c r="D222" s="7"/>
      <c r="E222" s="25">
        <v>50.695238660000001</v>
      </c>
      <c r="F222" s="25">
        <v>-121.85497719999999</v>
      </c>
      <c r="G222" s="25">
        <v>17.944615379999998</v>
      </c>
      <c r="H222" s="7" t="s">
        <v>22</v>
      </c>
      <c r="I222" s="7" t="s">
        <v>22</v>
      </c>
      <c r="J222" s="25">
        <v>30.266783100000001</v>
      </c>
      <c r="K222" s="25">
        <v>139.08714620000001</v>
      </c>
      <c r="L222" s="8" t="s">
        <v>22</v>
      </c>
      <c r="M222" s="25">
        <v>1.7</v>
      </c>
      <c r="N222" s="25">
        <v>21.6</v>
      </c>
      <c r="O222" s="8">
        <f>Table1[[#This Row],[R1 Length (km)]]+Table1[[#This Row],[T1 Length (km)]]</f>
        <v>23.3</v>
      </c>
      <c r="P222" s="32">
        <v>25</v>
      </c>
      <c r="Q222" s="8">
        <f>(Table1[[#This Row],[Linear Features (km)]]*0.4)*100</f>
        <v>932</v>
      </c>
      <c r="R222" s="25">
        <v>72.900000000000006</v>
      </c>
      <c r="S222" s="10">
        <f>Table1[[#This Row],[ATG (ha)]]/Table1[[#This Row],[Linear Area (ha)]]</f>
        <v>7.8218884120171681E-2</v>
      </c>
      <c r="T222" s="11" t="s">
        <v>22</v>
      </c>
      <c r="U222" s="11" t="s">
        <v>22</v>
      </c>
      <c r="V222" s="25">
        <v>72.900000000000006</v>
      </c>
      <c r="W222" s="25">
        <v>29.16</v>
      </c>
      <c r="X222" s="13">
        <v>261.19737092405597</v>
      </c>
      <c r="Y222" s="12">
        <f>Table1[[#This Row],[Raw Terrestrial Score]]/Table1[[#This Row],[Summed Raw Scores]]</f>
        <v>0.48480701144892585</v>
      </c>
      <c r="Z222" s="13">
        <v>277.56829202175101</v>
      </c>
      <c r="AA222" s="12">
        <f>Table1[[#This Row],[Raw Freshwater Score]]/Table1[[#This Row],[Summed Raw Scores]]</f>
        <v>0.51519298855107409</v>
      </c>
      <c r="AB222" s="12">
        <f>Table1[[#This Row],[Raw Terrestrial Score]]+Table1[[#This Row],[Raw Freshwater Score]]</f>
        <v>538.76566294580698</v>
      </c>
      <c r="AC222" s="14">
        <f>Table1[[#This Row],[Terrestrial % of Summed Score]]*Table1[[#This Row],[Scaled Summed Score]]</f>
        <v>4.0735546941744527E-2</v>
      </c>
      <c r="AD222" s="14">
        <f>Table1[[#This Row],[Freshwater % of Summed Score]]*Table1[[#This Row],[Scaled Summed Score]]</f>
        <v>4.3288705966643935E-2</v>
      </c>
      <c r="AE222" s="21">
        <f>Table1[[#This Row],[Summed Raw Scores]]/MAX(Table1[Summed Raw Scores])</f>
        <v>8.4024252908388469E-2</v>
      </c>
    </row>
    <row r="223" spans="1:31" x14ac:dyDescent="0.3">
      <c r="A223" s="7" t="s">
        <v>323</v>
      </c>
      <c r="B223" s="7" t="s">
        <v>58</v>
      </c>
      <c r="C223" s="7" t="s">
        <v>25</v>
      </c>
      <c r="D223" s="7"/>
      <c r="E223" s="25">
        <v>50.734773830000002</v>
      </c>
      <c r="F223" s="25">
        <v>-121.60668099999999</v>
      </c>
      <c r="G223" s="25">
        <v>34.69292308</v>
      </c>
      <c r="H223" s="7" t="s">
        <v>22</v>
      </c>
      <c r="I223" s="7" t="s">
        <v>22</v>
      </c>
      <c r="J223" s="25">
        <v>61.499762820000001</v>
      </c>
      <c r="K223" s="25">
        <v>132.71167399999999</v>
      </c>
      <c r="L223" s="8" t="s">
        <v>22</v>
      </c>
      <c r="M223" s="25">
        <v>0.9</v>
      </c>
      <c r="N223" s="25">
        <v>23.3</v>
      </c>
      <c r="O223" s="8">
        <f>Table1[[#This Row],[R1 Length (km)]]+Table1[[#This Row],[T1 Length (km)]]</f>
        <v>24.2</v>
      </c>
      <c r="P223" s="32">
        <v>69</v>
      </c>
      <c r="Q223" s="8">
        <f>(Table1[[#This Row],[Linear Features (km)]]*0.4)*100</f>
        <v>968</v>
      </c>
      <c r="R223" s="25">
        <v>140.94</v>
      </c>
      <c r="S223" s="10">
        <f>Table1[[#This Row],[ATG (ha)]]/Table1[[#This Row],[Linear Area (ha)]]</f>
        <v>0.14559917355371901</v>
      </c>
      <c r="T223" s="11" t="s">
        <v>22</v>
      </c>
      <c r="U223" s="11" t="s">
        <v>22</v>
      </c>
      <c r="V223" s="25">
        <v>140.94</v>
      </c>
      <c r="W223" s="25">
        <v>56.375999999999998</v>
      </c>
      <c r="X223" s="13">
        <v>238.970898300409</v>
      </c>
      <c r="Y223" s="12">
        <f>Table1[[#This Row],[Raw Terrestrial Score]]/Table1[[#This Row],[Summed Raw Scores]]</f>
        <v>0.47373055924011109</v>
      </c>
      <c r="Z223" s="13">
        <v>265.47386178374302</v>
      </c>
      <c r="AA223" s="12">
        <f>Table1[[#This Row],[Raw Freshwater Score]]/Table1[[#This Row],[Summed Raw Scores]]</f>
        <v>0.52626944075988891</v>
      </c>
      <c r="AB223" s="12">
        <f>Table1[[#This Row],[Raw Terrestrial Score]]+Table1[[#This Row],[Raw Freshwater Score]]</f>
        <v>504.44476008415199</v>
      </c>
      <c r="AC223" s="14">
        <f>Table1[[#This Row],[Terrestrial % of Summed Score]]*Table1[[#This Row],[Scaled Summed Score]]</f>
        <v>3.7269173923873605E-2</v>
      </c>
      <c r="AD223" s="14">
        <f>Table1[[#This Row],[Freshwater % of Summed Score]]*Table1[[#This Row],[Scaled Summed Score]]</f>
        <v>4.1402495439520084E-2</v>
      </c>
      <c r="AE223" s="21">
        <f>Table1[[#This Row],[Summed Raw Scores]]/MAX(Table1[Summed Raw Scores])</f>
        <v>7.867166936339369E-2</v>
      </c>
    </row>
    <row r="224" spans="1:31" x14ac:dyDescent="0.3">
      <c r="A224" s="7" t="s">
        <v>356</v>
      </c>
      <c r="B224" s="7" t="s">
        <v>58</v>
      </c>
      <c r="C224" s="7" t="s">
        <v>25</v>
      </c>
      <c r="D224" s="7"/>
      <c r="E224" s="25">
        <v>50.640031630000003</v>
      </c>
      <c r="F224" s="25">
        <v>-121.56089489999999</v>
      </c>
      <c r="G224" s="25">
        <v>29.508923079999999</v>
      </c>
      <c r="H224" s="7" t="s">
        <v>22</v>
      </c>
      <c r="I224" s="7" t="s">
        <v>22</v>
      </c>
      <c r="J224" s="25">
        <v>52.443283809999997</v>
      </c>
      <c r="K224" s="25">
        <v>142.02107760000001</v>
      </c>
      <c r="L224" s="8" t="s">
        <v>22</v>
      </c>
      <c r="M224" s="25">
        <v>2</v>
      </c>
      <c r="N224" s="25">
        <v>24.2</v>
      </c>
      <c r="O224" s="8">
        <f>Table1[[#This Row],[R1 Length (km)]]+Table1[[#This Row],[T1 Length (km)]]</f>
        <v>26.2</v>
      </c>
      <c r="P224" s="32">
        <v>69</v>
      </c>
      <c r="Q224" s="8">
        <f>(Table1[[#This Row],[Linear Features (km)]]*0.4)*100</f>
        <v>1048</v>
      </c>
      <c r="R224" s="25">
        <v>119.88</v>
      </c>
      <c r="S224" s="10">
        <f>Table1[[#This Row],[ATG (ha)]]/Table1[[#This Row],[Linear Area (ha)]]</f>
        <v>0.11438931297709923</v>
      </c>
      <c r="T224" s="11" t="s">
        <v>22</v>
      </c>
      <c r="U224" s="11" t="s">
        <v>22</v>
      </c>
      <c r="V224" s="25">
        <v>119.88</v>
      </c>
      <c r="W224" s="25">
        <v>47.951999999999998</v>
      </c>
      <c r="X224" s="13">
        <v>331.68056592345198</v>
      </c>
      <c r="Y224" s="12">
        <f>Table1[[#This Row],[Raw Terrestrial Score]]/Table1[[#This Row],[Summed Raw Scores]]</f>
        <v>0.62366319063051889</v>
      </c>
      <c r="Z224" s="13">
        <v>200.14586043357801</v>
      </c>
      <c r="AA224" s="12">
        <f>Table1[[#This Row],[Raw Freshwater Score]]/Table1[[#This Row],[Summed Raw Scores]]</f>
        <v>0.37633680936948116</v>
      </c>
      <c r="AB224" s="12">
        <f>Table1[[#This Row],[Raw Terrestrial Score]]+Table1[[#This Row],[Raw Freshwater Score]]</f>
        <v>531.82642635702996</v>
      </c>
      <c r="AC224" s="14">
        <f>Table1[[#This Row],[Terrestrial % of Summed Score]]*Table1[[#This Row],[Scaled Summed Score]]</f>
        <v>5.1727891498446948E-2</v>
      </c>
      <c r="AD224" s="14">
        <f>Table1[[#This Row],[Freshwater % of Summed Score]]*Table1[[#This Row],[Scaled Summed Score]]</f>
        <v>3.1214139193071713E-2</v>
      </c>
      <c r="AE224" s="21">
        <f>Table1[[#This Row],[Summed Raw Scores]]/MAX(Table1[Summed Raw Scores])</f>
        <v>8.2942030691518662E-2</v>
      </c>
    </row>
    <row r="225" spans="1:31" x14ac:dyDescent="0.3">
      <c r="A225" s="7" t="s">
        <v>318</v>
      </c>
      <c r="B225" s="7" t="s">
        <v>58</v>
      </c>
      <c r="C225" s="7" t="s">
        <v>32</v>
      </c>
      <c r="D225" s="7"/>
      <c r="E225" s="25">
        <v>50.283912119999997</v>
      </c>
      <c r="F225" s="25">
        <v>-122.8072698</v>
      </c>
      <c r="G225" s="25">
        <v>14.35569231</v>
      </c>
      <c r="H225" s="7" t="s">
        <v>22</v>
      </c>
      <c r="I225" s="7" t="s">
        <v>22</v>
      </c>
      <c r="J225" s="25">
        <v>23.476167419999999</v>
      </c>
      <c r="K225" s="25">
        <v>131.50983859999999</v>
      </c>
      <c r="L225" s="8" t="s">
        <v>22</v>
      </c>
      <c r="M225" s="25">
        <v>1.6</v>
      </c>
      <c r="N225" s="25">
        <v>4.7</v>
      </c>
      <c r="O225" s="8">
        <f>Table1[[#This Row],[R1 Length (km)]]+Table1[[#This Row],[T1 Length (km)]]</f>
        <v>6.3000000000000007</v>
      </c>
      <c r="P225" s="32">
        <v>25</v>
      </c>
      <c r="Q225" s="8">
        <f>(Table1[[#This Row],[Linear Features (km)]]*0.4)*100</f>
        <v>252.00000000000006</v>
      </c>
      <c r="R225" s="25">
        <v>58.32</v>
      </c>
      <c r="S225" s="10">
        <f>Table1[[#This Row],[ATG (ha)]]/Table1[[#This Row],[Linear Area (ha)]]</f>
        <v>0.23142857142857137</v>
      </c>
      <c r="T225" s="11" t="s">
        <v>22</v>
      </c>
      <c r="U225" s="11" t="s">
        <v>22</v>
      </c>
      <c r="V225" s="25">
        <v>58.32</v>
      </c>
      <c r="W225" s="25">
        <v>23.327999999999999</v>
      </c>
      <c r="X225" s="13">
        <v>211.200585961342</v>
      </c>
      <c r="Y225" s="12">
        <f>Table1[[#This Row],[Raw Terrestrial Score]]/Table1[[#This Row],[Summed Raw Scores]]</f>
        <v>0.54544792301715572</v>
      </c>
      <c r="Z225" s="13">
        <v>176.00518941879301</v>
      </c>
      <c r="AA225" s="12">
        <f>Table1[[#This Row],[Raw Freshwater Score]]/Table1[[#This Row],[Summed Raw Scores]]</f>
        <v>0.45455207698284417</v>
      </c>
      <c r="AB225" s="12">
        <f>Table1[[#This Row],[Raw Terrestrial Score]]+Table1[[#This Row],[Raw Freshwater Score]]</f>
        <v>387.20577538013504</v>
      </c>
      <c r="AC225" s="14">
        <f>Table1[[#This Row],[Terrestrial % of Summed Score]]*Table1[[#This Row],[Scaled Summed Score]]</f>
        <v>3.2938200538219269E-2</v>
      </c>
      <c r="AD225" s="14">
        <f>Table1[[#This Row],[Freshwater % of Summed Score]]*Table1[[#This Row],[Scaled Summed Score]]</f>
        <v>2.7449233620519427E-2</v>
      </c>
      <c r="AE225" s="21">
        <f>Table1[[#This Row],[Summed Raw Scores]]/MAX(Table1[Summed Raw Scores])</f>
        <v>6.03874341587387E-2</v>
      </c>
    </row>
    <row r="226" spans="1:31" x14ac:dyDescent="0.3">
      <c r="A226" s="7" t="s">
        <v>285</v>
      </c>
      <c r="B226" s="7" t="s">
        <v>58</v>
      </c>
      <c r="C226" s="7" t="s">
        <v>25</v>
      </c>
      <c r="D226" s="7"/>
      <c r="E226" s="25">
        <v>50.597232990000002</v>
      </c>
      <c r="F226" s="25">
        <v>-121.18471529999999</v>
      </c>
      <c r="G226" s="25">
        <v>36.287999999999997</v>
      </c>
      <c r="H226" s="7" t="s">
        <v>22</v>
      </c>
      <c r="I226" s="7" t="s">
        <v>22</v>
      </c>
      <c r="J226" s="25">
        <v>65.867304599999997</v>
      </c>
      <c r="K226" s="25">
        <v>125.0593253</v>
      </c>
      <c r="L226" s="8" t="s">
        <v>22</v>
      </c>
      <c r="M226" s="25">
        <v>0.6</v>
      </c>
      <c r="N226" s="25">
        <v>18.2</v>
      </c>
      <c r="O226" s="8">
        <f>Table1[[#This Row],[R1 Length (km)]]+Table1[[#This Row],[T1 Length (km)]]</f>
        <v>18.8</v>
      </c>
      <c r="P226" s="32">
        <v>69</v>
      </c>
      <c r="Q226" s="8">
        <f>(Table1[[#This Row],[Linear Features (km)]]*0.4)*100</f>
        <v>752</v>
      </c>
      <c r="R226" s="25">
        <v>147.41999999999999</v>
      </c>
      <c r="S226" s="10">
        <f>Table1[[#This Row],[ATG (ha)]]/Table1[[#This Row],[Linear Area (ha)]]</f>
        <v>0.19603723404255319</v>
      </c>
      <c r="T226" s="11" t="s">
        <v>22</v>
      </c>
      <c r="U226" s="11" t="s">
        <v>22</v>
      </c>
      <c r="V226" s="25">
        <v>147.41999999999999</v>
      </c>
      <c r="W226" s="25">
        <v>58.968000000000004</v>
      </c>
      <c r="X226" s="13">
        <v>393.38596367835999</v>
      </c>
      <c r="Y226" s="12">
        <f>Table1[[#This Row],[Raw Terrestrial Score]]/Table1[[#This Row],[Summed Raw Scores]]</f>
        <v>0.62776602457144048</v>
      </c>
      <c r="Z226" s="13">
        <v>233.258276820183</v>
      </c>
      <c r="AA226" s="12">
        <f>Table1[[#This Row],[Raw Freshwater Score]]/Table1[[#This Row],[Summed Raw Scores]]</f>
        <v>0.37223397542855952</v>
      </c>
      <c r="AB226" s="12">
        <f>Table1[[#This Row],[Raw Terrestrial Score]]+Table1[[#This Row],[Raw Freshwater Score]]</f>
        <v>626.64424049854301</v>
      </c>
      <c r="AC226" s="14">
        <f>Table1[[#This Row],[Terrestrial % of Summed Score]]*Table1[[#This Row],[Scaled Summed Score]]</f>
        <v>6.1351277514590706E-2</v>
      </c>
      <c r="AD226" s="14">
        <f>Table1[[#This Row],[Freshwater % of Summed Score]]*Table1[[#This Row],[Scaled Summed Score]]</f>
        <v>3.637825086578577E-2</v>
      </c>
      <c r="AE226" s="21">
        <f>Table1[[#This Row],[Summed Raw Scores]]/MAX(Table1[Summed Raw Scores])</f>
        <v>9.7729528380376476E-2</v>
      </c>
    </row>
    <row r="227" spans="1:31" x14ac:dyDescent="0.3">
      <c r="A227" s="7" t="s">
        <v>74</v>
      </c>
      <c r="B227" s="7" t="s">
        <v>58</v>
      </c>
      <c r="C227" s="7" t="s">
        <v>25</v>
      </c>
      <c r="D227" s="7"/>
      <c r="E227" s="23">
        <v>50.562687879999999</v>
      </c>
      <c r="F227" s="23">
        <v>-121.07955800000001</v>
      </c>
      <c r="G227" s="23">
        <v>52.238769230800003</v>
      </c>
      <c r="H227" s="8" t="s">
        <v>22</v>
      </c>
      <c r="I227" s="8" t="s">
        <v>22</v>
      </c>
      <c r="J227" s="23">
        <v>95.228300170561525</v>
      </c>
      <c r="K227" s="23">
        <v>101.3336327046222</v>
      </c>
      <c r="L227" s="8" t="s">
        <v>22</v>
      </c>
      <c r="M227" s="23">
        <v>0.3</v>
      </c>
      <c r="N227" s="23">
        <v>23.3</v>
      </c>
      <c r="O227" s="8">
        <f>Table1[[#This Row],[R1 Length (km)]]+Table1[[#This Row],[T1 Length (km)]]</f>
        <v>23.6</v>
      </c>
      <c r="P227" s="13">
        <v>69</v>
      </c>
      <c r="Q227" s="8">
        <f>(Table1[[#This Row],[Linear Features (km)]]*0.4)*100</f>
        <v>944.00000000000011</v>
      </c>
      <c r="R227" s="23">
        <v>1240.1099999999999</v>
      </c>
      <c r="S227" s="21">
        <f>Table1[[#This Row],[ATG (ha)]]/Table1[[#This Row],[Linear Area (ha)]]</f>
        <v>1.3136758474576269</v>
      </c>
      <c r="T227" s="11" t="s">
        <v>22</v>
      </c>
      <c r="U227" s="11" t="s">
        <v>22</v>
      </c>
      <c r="V227" s="23">
        <v>1240.1099999999999</v>
      </c>
      <c r="W227" s="23">
        <v>496.04399999999998</v>
      </c>
      <c r="X227" s="13">
        <v>531.24333198182296</v>
      </c>
      <c r="Y227" s="12">
        <f>Table1[[#This Row],[Raw Terrestrial Score]]/Table1[[#This Row],[Summed Raw Scores]]</f>
        <v>0.61551405569329909</v>
      </c>
      <c r="Z227" s="13">
        <v>331.84553994238399</v>
      </c>
      <c r="AA227" s="12">
        <f>Table1[[#This Row],[Raw Freshwater Score]]/Table1[[#This Row],[Summed Raw Scores]]</f>
        <v>0.38448594430670097</v>
      </c>
      <c r="AB227" s="12">
        <f>Table1[[#This Row],[Raw Terrestrial Score]]+Table1[[#This Row],[Raw Freshwater Score]]</f>
        <v>863.08887192420696</v>
      </c>
      <c r="AC227" s="14">
        <f>Table1[[#This Row],[Terrestrial % of Summed Score]]*Table1[[#This Row],[Scaled Summed Score]]</f>
        <v>8.2851093067572906E-2</v>
      </c>
      <c r="AD227" s="14">
        <f>Table1[[#This Row],[Freshwater % of Summed Score]]*Table1[[#This Row],[Scaled Summed Score]]</f>
        <v>5.1753620344294815E-2</v>
      </c>
      <c r="AE227" s="21">
        <f>Table1[[#This Row],[Summed Raw Scores]]/MAX(Table1[Summed Raw Scores])</f>
        <v>0.13460471341186772</v>
      </c>
    </row>
    <row r="228" spans="1:31" x14ac:dyDescent="0.3">
      <c r="A228" s="7" t="s">
        <v>351</v>
      </c>
      <c r="B228" s="7" t="s">
        <v>58</v>
      </c>
      <c r="C228" s="7" t="s">
        <v>32</v>
      </c>
      <c r="D228" s="7"/>
      <c r="E228" s="25">
        <v>50.148417080000002</v>
      </c>
      <c r="F228" s="25">
        <v>-123.0047582</v>
      </c>
      <c r="G228" s="25">
        <v>13.35876923</v>
      </c>
      <c r="H228" s="7" t="s">
        <v>22</v>
      </c>
      <c r="I228" s="7" t="s">
        <v>22</v>
      </c>
      <c r="J228" s="25">
        <v>20.810925000000001</v>
      </c>
      <c r="K228" s="25">
        <v>141.21929420000001</v>
      </c>
      <c r="L228" s="8" t="s">
        <v>22</v>
      </c>
      <c r="M228" s="25">
        <v>2.2000000000000002</v>
      </c>
      <c r="N228" s="25">
        <v>4.5999999999999996</v>
      </c>
      <c r="O228" s="8">
        <f>Table1[[#This Row],[R1 Length (km)]]+Table1[[#This Row],[T1 Length (km)]]</f>
        <v>6.8</v>
      </c>
      <c r="P228" s="32">
        <v>25</v>
      </c>
      <c r="Q228" s="8">
        <f>(Table1[[#This Row],[Linear Features (km)]]*0.4)*100</f>
        <v>272</v>
      </c>
      <c r="R228" s="25">
        <v>54.27</v>
      </c>
      <c r="S228" s="10">
        <f>Table1[[#This Row],[ATG (ha)]]/Table1[[#This Row],[Linear Area (ha)]]</f>
        <v>0.19952205882352941</v>
      </c>
      <c r="T228" s="11" t="s">
        <v>22</v>
      </c>
      <c r="U228" s="11" t="s">
        <v>22</v>
      </c>
      <c r="V228" s="25">
        <v>54.27</v>
      </c>
      <c r="W228" s="25">
        <v>21.707999999999998</v>
      </c>
      <c r="X228" s="13">
        <v>148.271313674748</v>
      </c>
      <c r="Y228" s="12">
        <f>Table1[[#This Row],[Raw Terrestrial Score]]/Table1[[#This Row],[Summed Raw Scores]]</f>
        <v>0.66944772654736917</v>
      </c>
      <c r="Z228" s="13">
        <v>73.211720466613798</v>
      </c>
      <c r="AA228" s="12">
        <f>Table1[[#This Row],[Raw Freshwater Score]]/Table1[[#This Row],[Summed Raw Scores]]</f>
        <v>0.33055227345263083</v>
      </c>
      <c r="AB228" s="12">
        <f>Table1[[#This Row],[Raw Terrestrial Score]]+Table1[[#This Row],[Raw Freshwater Score]]</f>
        <v>221.4830341413618</v>
      </c>
      <c r="AC228" s="14">
        <f>Table1[[#This Row],[Terrestrial % of Summed Score]]*Table1[[#This Row],[Scaled Summed Score]]</f>
        <v>2.3123942775319706E-2</v>
      </c>
      <c r="AD228" s="14">
        <f>Table1[[#This Row],[Freshwater % of Summed Score]]*Table1[[#This Row],[Scaled Summed Score]]</f>
        <v>1.1417877083535978E-2</v>
      </c>
      <c r="AE228" s="21">
        <f>Table1[[#This Row],[Summed Raw Scores]]/MAX(Table1[Summed Raw Scores])</f>
        <v>3.4541819858855682E-2</v>
      </c>
    </row>
    <row r="229" spans="1:31" x14ac:dyDescent="0.3">
      <c r="A229" s="7" t="s">
        <v>296</v>
      </c>
      <c r="B229" s="7" t="s">
        <v>58</v>
      </c>
      <c r="C229" s="7" t="s">
        <v>32</v>
      </c>
      <c r="D229" s="7"/>
      <c r="E229" s="25">
        <v>50.162190719999998</v>
      </c>
      <c r="F229" s="25">
        <v>-122.9231422</v>
      </c>
      <c r="G229" s="25">
        <v>18.542769230000001</v>
      </c>
      <c r="H229" s="7" t="s">
        <v>22</v>
      </c>
      <c r="I229" s="7" t="s">
        <v>22</v>
      </c>
      <c r="J229" s="25">
        <v>29.19247579</v>
      </c>
      <c r="K229" s="25">
        <v>126.9069901</v>
      </c>
      <c r="L229" s="8" t="s">
        <v>22</v>
      </c>
      <c r="M229" s="25">
        <v>0.3</v>
      </c>
      <c r="N229" s="25">
        <v>4.7</v>
      </c>
      <c r="O229" s="8">
        <f>Table1[[#This Row],[R1 Length (km)]]+Table1[[#This Row],[T1 Length (km)]]</f>
        <v>5</v>
      </c>
      <c r="P229" s="32">
        <v>25</v>
      </c>
      <c r="Q229" s="8">
        <f>(Table1[[#This Row],[Linear Features (km)]]*0.4)*100</f>
        <v>200</v>
      </c>
      <c r="R229" s="25">
        <v>75.33</v>
      </c>
      <c r="S229" s="10">
        <f>Table1[[#This Row],[ATG (ha)]]/Table1[[#This Row],[Linear Area (ha)]]</f>
        <v>0.37664999999999998</v>
      </c>
      <c r="T229" s="11" t="s">
        <v>22</v>
      </c>
      <c r="U229" s="11" t="s">
        <v>22</v>
      </c>
      <c r="V229" s="25">
        <v>75.33</v>
      </c>
      <c r="W229" s="25">
        <v>30.132000000000001</v>
      </c>
      <c r="X229" s="13">
        <v>73.964706897735596</v>
      </c>
      <c r="Y229" s="12">
        <f>Table1[[#This Row],[Raw Terrestrial Score]]/Table1[[#This Row],[Summed Raw Scores]]</f>
        <v>0.39177027417934168</v>
      </c>
      <c r="Z229" s="13">
        <v>114.831411063671</v>
      </c>
      <c r="AA229" s="12">
        <f>Table1[[#This Row],[Raw Freshwater Score]]/Table1[[#This Row],[Summed Raw Scores]]</f>
        <v>0.60822972582065837</v>
      </c>
      <c r="AB229" s="12">
        <f>Table1[[#This Row],[Raw Terrestrial Score]]+Table1[[#This Row],[Raw Freshwater Score]]</f>
        <v>188.79611796140659</v>
      </c>
      <c r="AC229" s="14">
        <f>Table1[[#This Row],[Terrestrial % of Summed Score]]*Table1[[#This Row],[Scaled Summed Score]]</f>
        <v>1.153531055540801E-2</v>
      </c>
      <c r="AD229" s="14">
        <f>Table1[[#This Row],[Freshwater % of Summed Score]]*Table1[[#This Row],[Scaled Summed Score]]</f>
        <v>1.7908757347833322E-2</v>
      </c>
      <c r="AE229" s="21">
        <f>Table1[[#This Row],[Summed Raw Scores]]/MAX(Table1[Summed Raw Scores])</f>
        <v>2.944406790324133E-2</v>
      </c>
    </row>
    <row r="230" spans="1:31" x14ac:dyDescent="0.3">
      <c r="A230" s="7" t="s">
        <v>262</v>
      </c>
      <c r="B230" s="7" t="s">
        <v>58</v>
      </c>
      <c r="C230" s="7" t="s">
        <v>25</v>
      </c>
      <c r="D230" s="7"/>
      <c r="E230" s="25">
        <v>50.489513270000003</v>
      </c>
      <c r="F230" s="25">
        <v>-121.2223437</v>
      </c>
      <c r="G230" s="25">
        <v>14.555076919999999</v>
      </c>
      <c r="H230" s="7" t="s">
        <v>22</v>
      </c>
      <c r="I230" s="7" t="s">
        <v>22</v>
      </c>
      <c r="J230" s="25">
        <v>27.31813395</v>
      </c>
      <c r="K230" s="25">
        <v>120.35928749999999</v>
      </c>
      <c r="L230" s="8" t="s">
        <v>22</v>
      </c>
      <c r="M230" s="25">
        <v>1.6</v>
      </c>
      <c r="N230" s="25">
        <v>10.6</v>
      </c>
      <c r="O230" s="8">
        <f>Table1[[#This Row],[R1 Length (km)]]+Table1[[#This Row],[T1 Length (km)]]</f>
        <v>12.2</v>
      </c>
      <c r="P230" s="32">
        <v>25</v>
      </c>
      <c r="Q230" s="8">
        <f>(Table1[[#This Row],[Linear Features (km)]]*0.4)*100</f>
        <v>488</v>
      </c>
      <c r="R230" s="25">
        <v>59.13</v>
      </c>
      <c r="S230" s="10">
        <f>Table1[[#This Row],[ATG (ha)]]/Table1[[#This Row],[Linear Area (ha)]]</f>
        <v>0.12116803278688525</v>
      </c>
      <c r="T230" s="11" t="s">
        <v>22</v>
      </c>
      <c r="U230" s="11" t="s">
        <v>22</v>
      </c>
      <c r="V230" s="25">
        <v>59.13</v>
      </c>
      <c r="W230" s="25">
        <v>23.652000000000001</v>
      </c>
      <c r="X230" s="13">
        <v>255.65901696681999</v>
      </c>
      <c r="Y230" s="12">
        <f>Table1[[#This Row],[Raw Terrestrial Score]]/Table1[[#This Row],[Summed Raw Scores]]</f>
        <v>0.65177828746209709</v>
      </c>
      <c r="Z230" s="13">
        <v>136.589423775673</v>
      </c>
      <c r="AA230" s="12">
        <f>Table1[[#This Row],[Raw Freshwater Score]]/Table1[[#This Row],[Summed Raw Scores]]</f>
        <v>0.34822171253790279</v>
      </c>
      <c r="AB230" s="12">
        <f>Table1[[#This Row],[Raw Terrestrial Score]]+Table1[[#This Row],[Raw Freshwater Score]]</f>
        <v>392.24844074249302</v>
      </c>
      <c r="AC230" s="14">
        <f>Table1[[#This Row],[Terrestrial % of Summed Score]]*Table1[[#This Row],[Scaled Summed Score]]</f>
        <v>3.987180211611005E-2</v>
      </c>
      <c r="AD230" s="14">
        <f>Table1[[#This Row],[Freshwater % of Summed Score]]*Table1[[#This Row],[Scaled Summed Score]]</f>
        <v>2.1302070783773431E-2</v>
      </c>
      <c r="AE230" s="21">
        <f>Table1[[#This Row],[Summed Raw Scores]]/MAX(Table1[Summed Raw Scores])</f>
        <v>6.1173872899883491E-2</v>
      </c>
    </row>
    <row r="231" spans="1:31" x14ac:dyDescent="0.3">
      <c r="A231" s="7" t="s">
        <v>260</v>
      </c>
      <c r="B231" s="7" t="s">
        <v>58</v>
      </c>
      <c r="C231" s="7" t="s">
        <v>25</v>
      </c>
      <c r="D231" s="7"/>
      <c r="E231" s="25">
        <v>50.502409409999999</v>
      </c>
      <c r="F231" s="25">
        <v>-121.1397796</v>
      </c>
      <c r="G231" s="25">
        <v>16.947692310000001</v>
      </c>
      <c r="H231" s="7" t="s">
        <v>22</v>
      </c>
      <c r="I231" s="7" t="s">
        <v>22</v>
      </c>
      <c r="J231" s="25">
        <v>31.72636803</v>
      </c>
      <c r="K231" s="25">
        <v>118.9972654</v>
      </c>
      <c r="L231" s="8" t="s">
        <v>22</v>
      </c>
      <c r="M231" s="25">
        <v>0</v>
      </c>
      <c r="N231" s="25">
        <v>16.3</v>
      </c>
      <c r="O231" s="8">
        <f>Table1[[#This Row],[R1 Length (km)]]+Table1[[#This Row],[T1 Length (km)]]</f>
        <v>16.3</v>
      </c>
      <c r="P231" s="32">
        <v>25</v>
      </c>
      <c r="Q231" s="8">
        <f>(Table1[[#This Row],[Linear Features (km)]]*0.4)*100</f>
        <v>652</v>
      </c>
      <c r="R231" s="25">
        <v>68.849999999999994</v>
      </c>
      <c r="S231" s="10">
        <f>Table1[[#This Row],[ATG (ha)]]/Table1[[#This Row],[Linear Area (ha)]]</f>
        <v>0.10559815950920244</v>
      </c>
      <c r="T231" s="11" t="s">
        <v>22</v>
      </c>
      <c r="U231" s="11" t="s">
        <v>22</v>
      </c>
      <c r="V231" s="25">
        <v>68.849999999999994</v>
      </c>
      <c r="W231" s="25">
        <v>27.54</v>
      </c>
      <c r="X231" s="13">
        <v>241.872942745686</v>
      </c>
      <c r="Y231" s="12">
        <f>Table1[[#This Row],[Raw Terrestrial Score]]/Table1[[#This Row],[Summed Raw Scores]]</f>
        <v>0.62764895142546584</v>
      </c>
      <c r="Z231" s="13">
        <v>143.49047130346301</v>
      </c>
      <c r="AA231" s="12">
        <f>Table1[[#This Row],[Raw Freshwater Score]]/Table1[[#This Row],[Summed Raw Scores]]</f>
        <v>0.37235104857453416</v>
      </c>
      <c r="AB231" s="12">
        <f>Table1[[#This Row],[Raw Terrestrial Score]]+Table1[[#This Row],[Raw Freshwater Score]]</f>
        <v>385.36341404914901</v>
      </c>
      <c r="AC231" s="14">
        <f>Table1[[#This Row],[Terrestrial % of Summed Score]]*Table1[[#This Row],[Scaled Summed Score]]</f>
        <v>3.7721767942371531E-2</v>
      </c>
      <c r="AD231" s="14">
        <f>Table1[[#This Row],[Freshwater % of Summed Score]]*Table1[[#This Row],[Scaled Summed Score]]</f>
        <v>2.2378337150930839E-2</v>
      </c>
      <c r="AE231" s="21">
        <f>Table1[[#This Row],[Summed Raw Scores]]/MAX(Table1[Summed Raw Scores])</f>
        <v>6.0100105093302367E-2</v>
      </c>
    </row>
    <row r="232" spans="1:31" x14ac:dyDescent="0.3">
      <c r="A232" s="7" t="s">
        <v>308</v>
      </c>
      <c r="B232" s="7" t="s">
        <v>58</v>
      </c>
      <c r="C232" s="7" t="s">
        <v>25</v>
      </c>
      <c r="D232" s="7"/>
      <c r="E232" s="25">
        <v>50.528079050000002</v>
      </c>
      <c r="F232" s="25">
        <v>-120.9745344</v>
      </c>
      <c r="G232" s="25">
        <v>32.89846154</v>
      </c>
      <c r="H232" s="7" t="s">
        <v>22</v>
      </c>
      <c r="I232" s="7" t="s">
        <v>22</v>
      </c>
      <c r="J232" s="25">
        <v>58.781529769999999</v>
      </c>
      <c r="K232" s="25">
        <v>130.1876705</v>
      </c>
      <c r="L232" s="8" t="s">
        <v>22</v>
      </c>
      <c r="M232" s="25">
        <v>0</v>
      </c>
      <c r="N232" s="25">
        <v>18</v>
      </c>
      <c r="O232" s="8">
        <f>Table1[[#This Row],[R1 Length (km)]]+Table1[[#This Row],[T1 Length (km)]]</f>
        <v>18</v>
      </c>
      <c r="P232" s="32">
        <v>69</v>
      </c>
      <c r="Q232" s="8">
        <f>(Table1[[#This Row],[Linear Features (km)]]*0.4)*100</f>
        <v>720</v>
      </c>
      <c r="R232" s="25">
        <v>133.65</v>
      </c>
      <c r="S232" s="10">
        <f>Table1[[#This Row],[ATG (ha)]]/Table1[[#This Row],[Linear Area (ha)]]</f>
        <v>0.18562500000000001</v>
      </c>
      <c r="T232" s="11" t="s">
        <v>22</v>
      </c>
      <c r="U232" s="11" t="s">
        <v>22</v>
      </c>
      <c r="V232" s="25">
        <v>133.65</v>
      </c>
      <c r="W232" s="25">
        <v>53.46</v>
      </c>
      <c r="X232" s="13">
        <v>310.68141525983799</v>
      </c>
      <c r="Y232" s="12">
        <f>Table1[[#This Row],[Raw Terrestrial Score]]/Table1[[#This Row],[Summed Raw Scores]]</f>
        <v>0.60066755684772655</v>
      </c>
      <c r="Z232" s="13">
        <v>206.54547958076</v>
      </c>
      <c r="AA232" s="12">
        <f>Table1[[#This Row],[Raw Freshwater Score]]/Table1[[#This Row],[Summed Raw Scores]]</f>
        <v>0.3993324431522734</v>
      </c>
      <c r="AB232" s="12">
        <f>Table1[[#This Row],[Raw Terrestrial Score]]+Table1[[#This Row],[Raw Freshwater Score]]</f>
        <v>517.22689484059799</v>
      </c>
      <c r="AC232" s="14">
        <f>Table1[[#This Row],[Terrestrial % of Summed Score]]*Table1[[#This Row],[Scaled Summed Score]]</f>
        <v>4.8452927877763619E-2</v>
      </c>
      <c r="AD232" s="14">
        <f>Table1[[#This Row],[Freshwater % of Summed Score]]*Table1[[#This Row],[Scaled Summed Score]]</f>
        <v>3.2212204316227629E-2</v>
      </c>
      <c r="AE232" s="21">
        <f>Table1[[#This Row],[Summed Raw Scores]]/MAX(Table1[Summed Raw Scores])</f>
        <v>8.0665132193991254E-2</v>
      </c>
    </row>
    <row r="233" spans="1:31" x14ac:dyDescent="0.3">
      <c r="A233" s="7" t="s">
        <v>322</v>
      </c>
      <c r="B233" s="7" t="s">
        <v>58</v>
      </c>
      <c r="C233" s="7" t="s">
        <v>21</v>
      </c>
      <c r="D233" s="7"/>
      <c r="E233" s="25">
        <v>49.729584860000003</v>
      </c>
      <c r="F233" s="25">
        <v>-125.086574</v>
      </c>
      <c r="G233" s="25">
        <v>17.34646154</v>
      </c>
      <c r="H233" s="7" t="s">
        <v>22</v>
      </c>
      <c r="I233" s="7" t="s">
        <v>22</v>
      </c>
      <c r="J233" s="25">
        <v>27.262485869999999</v>
      </c>
      <c r="K233" s="25">
        <v>132.28778019999999</v>
      </c>
      <c r="L233" s="8" t="s">
        <v>22</v>
      </c>
      <c r="M233" s="25">
        <v>0.6</v>
      </c>
      <c r="N233" s="25">
        <v>9.1</v>
      </c>
      <c r="O233" s="8">
        <f>Table1[[#This Row],[R1 Length (km)]]+Table1[[#This Row],[T1 Length (km)]]</f>
        <v>9.6999999999999993</v>
      </c>
      <c r="P233" s="32">
        <v>25</v>
      </c>
      <c r="Q233" s="8">
        <f>(Table1[[#This Row],[Linear Features (km)]]*0.4)*100</f>
        <v>388</v>
      </c>
      <c r="R233" s="25">
        <v>70.47</v>
      </c>
      <c r="S233" s="10">
        <f>Table1[[#This Row],[ATG (ha)]]/Table1[[#This Row],[Linear Area (ha)]]</f>
        <v>0.18162371134020619</v>
      </c>
      <c r="T233" s="11" t="s">
        <v>22</v>
      </c>
      <c r="U233" s="11" t="s">
        <v>22</v>
      </c>
      <c r="V233" s="25">
        <v>70.47</v>
      </c>
      <c r="W233" s="25">
        <v>28.187999999999999</v>
      </c>
      <c r="X233" s="13">
        <v>140.678605057299</v>
      </c>
      <c r="Y233" s="12">
        <f>Table1[[#This Row],[Raw Terrestrial Score]]/Table1[[#This Row],[Summed Raw Scores]]</f>
        <v>0.49753123296980867</v>
      </c>
      <c r="Z233" s="13">
        <v>142.07470917701701</v>
      </c>
      <c r="AA233" s="12">
        <f>Table1[[#This Row],[Raw Freshwater Score]]/Table1[[#This Row],[Summed Raw Scores]]</f>
        <v>0.50246876703019139</v>
      </c>
      <c r="AB233" s="12">
        <f>Table1[[#This Row],[Raw Terrestrial Score]]+Table1[[#This Row],[Raw Freshwater Score]]</f>
        <v>282.75331423431601</v>
      </c>
      <c r="AC233" s="14">
        <f>Table1[[#This Row],[Terrestrial % of Summed Score]]*Table1[[#This Row],[Scaled Summed Score]]</f>
        <v>2.1939807049883901E-2</v>
      </c>
      <c r="AD233" s="14">
        <f>Table1[[#This Row],[Freshwater % of Summed Score]]*Table1[[#This Row],[Scaled Summed Score]]</f>
        <v>2.2157539198960057E-2</v>
      </c>
      <c r="AE233" s="21">
        <f>Table1[[#This Row],[Summed Raw Scores]]/MAX(Table1[Summed Raw Scores])</f>
        <v>4.4097346248843955E-2</v>
      </c>
    </row>
    <row r="234" spans="1:31" x14ac:dyDescent="0.3">
      <c r="A234" s="7" t="s">
        <v>75</v>
      </c>
      <c r="B234" s="7" t="s">
        <v>58</v>
      </c>
      <c r="C234" s="7" t="s">
        <v>25</v>
      </c>
      <c r="D234" s="7"/>
      <c r="E234" s="23">
        <v>50.423871550000001</v>
      </c>
      <c r="F234" s="23">
        <v>-120.6602656</v>
      </c>
      <c r="G234" s="23">
        <v>81.149534614999993</v>
      </c>
      <c r="H234" s="8" t="s">
        <v>22</v>
      </c>
      <c r="I234" s="8" t="s">
        <v>22</v>
      </c>
      <c r="J234" s="23">
        <v>146.89395982694825</v>
      </c>
      <c r="K234" s="23">
        <v>96.656117097630755</v>
      </c>
      <c r="L234" s="8" t="s">
        <v>22</v>
      </c>
      <c r="M234" s="23">
        <v>0.7</v>
      </c>
      <c r="N234" s="23">
        <v>11.2</v>
      </c>
      <c r="O234" s="8">
        <f>Table1[[#This Row],[R1 Length (km)]]+Table1[[#This Row],[T1 Length (km)]]</f>
        <v>11.899999999999999</v>
      </c>
      <c r="P234" s="13">
        <v>130</v>
      </c>
      <c r="Q234" s="8">
        <f>(Table1[[#This Row],[Linear Features (km)]]*0.4)*100</f>
        <v>476</v>
      </c>
      <c r="R234" s="23">
        <v>1314.63</v>
      </c>
      <c r="S234" s="21">
        <f>Table1[[#This Row],[ATG (ha)]]/Table1[[#This Row],[Linear Area (ha)]]</f>
        <v>2.7618277310924371</v>
      </c>
      <c r="T234" s="11" t="s">
        <v>22</v>
      </c>
      <c r="U234" s="11" t="s">
        <v>22</v>
      </c>
      <c r="V234" s="23">
        <v>1314.63</v>
      </c>
      <c r="W234" s="23">
        <v>525.85200000000009</v>
      </c>
      <c r="X234" s="13">
        <v>328.062357366085</v>
      </c>
      <c r="Y234" s="12">
        <f>Table1[[#This Row],[Raw Terrestrial Score]]/Table1[[#This Row],[Summed Raw Scores]]</f>
        <v>0.55220639286927298</v>
      </c>
      <c r="Z234" s="13">
        <v>266.031375706196</v>
      </c>
      <c r="AA234" s="12">
        <f>Table1[[#This Row],[Raw Freshwater Score]]/Table1[[#This Row],[Summed Raw Scores]]</f>
        <v>0.44779360713072702</v>
      </c>
      <c r="AB234" s="12">
        <f>Table1[[#This Row],[Raw Terrestrial Score]]+Table1[[#This Row],[Raw Freshwater Score]]</f>
        <v>594.093733072281</v>
      </c>
      <c r="AC234" s="14">
        <f>Table1[[#This Row],[Terrestrial % of Summed Score]]*Table1[[#This Row],[Scaled Summed Score]]</f>
        <v>5.1163606704874125E-2</v>
      </c>
      <c r="AD234" s="14">
        <f>Table1[[#This Row],[Freshwater % of Summed Score]]*Table1[[#This Row],[Scaled Summed Score]]</f>
        <v>4.1489443613915621E-2</v>
      </c>
      <c r="AE234" s="21">
        <f>Table1[[#This Row],[Summed Raw Scores]]/MAX(Table1[Summed Raw Scores])</f>
        <v>9.2653050318789745E-2</v>
      </c>
    </row>
    <row r="235" spans="1:31" x14ac:dyDescent="0.3">
      <c r="A235" s="7" t="s">
        <v>270</v>
      </c>
      <c r="B235" s="7" t="s">
        <v>58</v>
      </c>
      <c r="C235" s="7" t="s">
        <v>25</v>
      </c>
      <c r="D235" s="7"/>
      <c r="E235" s="25">
        <v>50.325599130000001</v>
      </c>
      <c r="F235" s="25">
        <v>-120.9680393</v>
      </c>
      <c r="G235" s="25">
        <v>38.481230770000003</v>
      </c>
      <c r="H235" s="7" t="s">
        <v>22</v>
      </c>
      <c r="I235" s="7" t="s">
        <v>22</v>
      </c>
      <c r="J235" s="25">
        <v>69.679875870000004</v>
      </c>
      <c r="K235" s="25">
        <v>121.99408529999999</v>
      </c>
      <c r="L235" s="8" t="s">
        <v>22</v>
      </c>
      <c r="M235" s="25">
        <v>0.3</v>
      </c>
      <c r="N235" s="25">
        <v>14.9</v>
      </c>
      <c r="O235" s="8">
        <f>Table1[[#This Row],[R1 Length (km)]]+Table1[[#This Row],[T1 Length (km)]]</f>
        <v>15.200000000000001</v>
      </c>
      <c r="P235" s="32">
        <v>69</v>
      </c>
      <c r="Q235" s="8">
        <f>(Table1[[#This Row],[Linear Features (km)]]*0.4)*100</f>
        <v>608.00000000000011</v>
      </c>
      <c r="R235" s="25">
        <v>156.33000000000001</v>
      </c>
      <c r="S235" s="10">
        <f>Table1[[#This Row],[ATG (ha)]]/Table1[[#This Row],[Linear Area (ha)]]</f>
        <v>0.25712171052631577</v>
      </c>
      <c r="T235" s="11" t="s">
        <v>22</v>
      </c>
      <c r="U235" s="11" t="s">
        <v>22</v>
      </c>
      <c r="V235" s="25">
        <v>156.33000000000001</v>
      </c>
      <c r="W235" s="25">
        <v>62.531999999999996</v>
      </c>
      <c r="X235" s="13">
        <v>129.94546353817</v>
      </c>
      <c r="Y235" s="12">
        <f>Table1[[#This Row],[Raw Terrestrial Score]]/Table1[[#This Row],[Summed Raw Scores]]</f>
        <v>0.50221605900466471</v>
      </c>
      <c r="Z235" s="13">
        <v>128.79867896437599</v>
      </c>
      <c r="AA235" s="12">
        <f>Table1[[#This Row],[Raw Freshwater Score]]/Table1[[#This Row],[Summed Raw Scores]]</f>
        <v>0.49778394099533541</v>
      </c>
      <c r="AB235" s="12">
        <f>Table1[[#This Row],[Raw Terrestrial Score]]+Table1[[#This Row],[Raw Freshwater Score]]</f>
        <v>258.74414250254597</v>
      </c>
      <c r="AC235" s="14">
        <f>Table1[[#This Row],[Terrestrial % of Summed Score]]*Table1[[#This Row],[Scaled Summed Score]]</f>
        <v>2.0265898967891795E-2</v>
      </c>
      <c r="AD235" s="14">
        <f>Table1[[#This Row],[Freshwater % of Summed Score]]*Table1[[#This Row],[Scaled Summed Score]]</f>
        <v>2.0087049936323875E-2</v>
      </c>
      <c r="AE235" s="21">
        <f>Table1[[#This Row],[Summed Raw Scores]]/MAX(Table1[Summed Raw Scores])</f>
        <v>4.0352948904215667E-2</v>
      </c>
    </row>
    <row r="236" spans="1:31" x14ac:dyDescent="0.3">
      <c r="A236" s="7" t="s">
        <v>290</v>
      </c>
      <c r="B236" s="7" t="s">
        <v>58</v>
      </c>
      <c r="C236" s="7" t="s">
        <v>25</v>
      </c>
      <c r="D236" s="7"/>
      <c r="E236" s="25">
        <v>50.389009139999999</v>
      </c>
      <c r="F236" s="25">
        <v>-120.5557767</v>
      </c>
      <c r="G236" s="25">
        <v>34.094769229999997</v>
      </c>
      <c r="H236" s="7" t="s">
        <v>22</v>
      </c>
      <c r="I236" s="7" t="s">
        <v>22</v>
      </c>
      <c r="J236" s="25">
        <v>62.07381333</v>
      </c>
      <c r="K236" s="25">
        <v>126.33030100000001</v>
      </c>
      <c r="L236" s="8" t="s">
        <v>22</v>
      </c>
      <c r="M236" s="25">
        <v>0</v>
      </c>
      <c r="N236" s="25">
        <v>18.399999999999999</v>
      </c>
      <c r="O236" s="8">
        <f>Table1[[#This Row],[R1 Length (km)]]+Table1[[#This Row],[T1 Length (km)]]</f>
        <v>18.399999999999999</v>
      </c>
      <c r="P236" s="32">
        <v>69</v>
      </c>
      <c r="Q236" s="8">
        <f>(Table1[[#This Row],[Linear Features (km)]]*0.4)*100</f>
        <v>736</v>
      </c>
      <c r="R236" s="25">
        <v>138.51</v>
      </c>
      <c r="S236" s="10">
        <f>Table1[[#This Row],[ATG (ha)]]/Table1[[#This Row],[Linear Area (ha)]]</f>
        <v>0.18819293478260868</v>
      </c>
      <c r="T236" s="11" t="s">
        <v>22</v>
      </c>
      <c r="U236" s="11" t="s">
        <v>22</v>
      </c>
      <c r="V236" s="25">
        <v>138.51</v>
      </c>
      <c r="W236" s="25">
        <v>55.404000000000003</v>
      </c>
      <c r="X236" s="13">
        <v>186.16895073652299</v>
      </c>
      <c r="Y236" s="12">
        <f>Table1[[#This Row],[Raw Terrestrial Score]]/Table1[[#This Row],[Summed Raw Scores]]</f>
        <v>0.53105783870190315</v>
      </c>
      <c r="Z236" s="13">
        <v>164.39352507889299</v>
      </c>
      <c r="AA236" s="12">
        <f>Table1[[#This Row],[Raw Freshwater Score]]/Table1[[#This Row],[Summed Raw Scores]]</f>
        <v>0.46894216129809696</v>
      </c>
      <c r="AB236" s="12">
        <f>Table1[[#This Row],[Raw Terrestrial Score]]+Table1[[#This Row],[Raw Freshwater Score]]</f>
        <v>350.56247581541595</v>
      </c>
      <c r="AC236" s="14">
        <f>Table1[[#This Row],[Terrestrial % of Summed Score]]*Table1[[#This Row],[Scaled Summed Score]]</f>
        <v>2.9034342899369927E-2</v>
      </c>
      <c r="AD236" s="14">
        <f>Table1[[#This Row],[Freshwater % of Summed Score]]*Table1[[#This Row],[Scaled Summed Score]]</f>
        <v>2.5638313793430869E-2</v>
      </c>
      <c r="AE236" s="21">
        <f>Table1[[#This Row],[Summed Raw Scores]]/MAX(Table1[Summed Raw Scores])</f>
        <v>5.4672656692800789E-2</v>
      </c>
    </row>
    <row r="237" spans="1:31" x14ac:dyDescent="0.3">
      <c r="A237" s="7" t="s">
        <v>279</v>
      </c>
      <c r="B237" s="7" t="s">
        <v>58</v>
      </c>
      <c r="C237" s="7" t="s">
        <v>25</v>
      </c>
      <c r="D237" s="7"/>
      <c r="E237" s="25">
        <v>50.391478509999999</v>
      </c>
      <c r="F237" s="25">
        <v>-120.20369340000001</v>
      </c>
      <c r="G237" s="25">
        <v>72.376615380000004</v>
      </c>
      <c r="H237" s="7" t="s">
        <v>22</v>
      </c>
      <c r="I237" s="7" t="s">
        <v>22</v>
      </c>
      <c r="J237" s="25">
        <v>128.86836529999999</v>
      </c>
      <c r="K237" s="25">
        <v>123.8964933</v>
      </c>
      <c r="L237" s="8" t="s">
        <v>22</v>
      </c>
      <c r="M237" s="25">
        <v>0</v>
      </c>
      <c r="N237" s="25">
        <v>29.3</v>
      </c>
      <c r="O237" s="8">
        <f>Table1[[#This Row],[R1 Length (km)]]+Table1[[#This Row],[T1 Length (km)]]</f>
        <v>29.3</v>
      </c>
      <c r="P237" s="32">
        <v>130</v>
      </c>
      <c r="Q237" s="8">
        <f>(Table1[[#This Row],[Linear Features (km)]]*0.4)*100</f>
        <v>1172</v>
      </c>
      <c r="R237" s="25">
        <v>294.02999999999997</v>
      </c>
      <c r="S237" s="10">
        <f>Table1[[#This Row],[ATG (ha)]]/Table1[[#This Row],[Linear Area (ha)]]</f>
        <v>0.25087883959044366</v>
      </c>
      <c r="T237" s="11" t="s">
        <v>22</v>
      </c>
      <c r="U237" s="11" t="s">
        <v>22</v>
      </c>
      <c r="V237" s="25">
        <v>294.02999999999997</v>
      </c>
      <c r="W237" s="25">
        <v>117.61199999999999</v>
      </c>
      <c r="X237" s="13">
        <v>350.80949902534502</v>
      </c>
      <c r="Y237" s="12">
        <f>Table1[[#This Row],[Raw Terrestrial Score]]/Table1[[#This Row],[Summed Raw Scores]]</f>
        <v>0.66445827394454682</v>
      </c>
      <c r="Z237" s="13">
        <v>177.153674557805</v>
      </c>
      <c r="AA237" s="12">
        <f>Table1[[#This Row],[Raw Freshwater Score]]/Table1[[#This Row],[Summed Raw Scores]]</f>
        <v>0.33554172605545318</v>
      </c>
      <c r="AB237" s="12">
        <f>Table1[[#This Row],[Raw Terrestrial Score]]+Table1[[#This Row],[Raw Freshwater Score]]</f>
        <v>527.96317358315002</v>
      </c>
      <c r="AC237" s="14">
        <f>Table1[[#This Row],[Terrestrial % of Summed Score]]*Table1[[#This Row],[Scaled Summed Score]]</f>
        <v>5.4711181680736798E-2</v>
      </c>
      <c r="AD237" s="14">
        <f>Table1[[#This Row],[Freshwater % of Summed Score]]*Table1[[#This Row],[Scaled Summed Score]]</f>
        <v>2.76283478670626E-2</v>
      </c>
      <c r="AE237" s="21">
        <f>Table1[[#This Row],[Summed Raw Scores]]/MAX(Table1[Summed Raw Scores])</f>
        <v>8.2339529547799398E-2</v>
      </c>
    </row>
    <row r="238" spans="1:31" x14ac:dyDescent="0.3">
      <c r="A238" s="7" t="s">
        <v>315</v>
      </c>
      <c r="B238" s="7" t="s">
        <v>58</v>
      </c>
      <c r="C238" s="7" t="s">
        <v>56</v>
      </c>
      <c r="D238" s="7"/>
      <c r="E238" s="25">
        <v>50.45139563</v>
      </c>
      <c r="F238" s="25">
        <v>-120.1425618</v>
      </c>
      <c r="G238" s="25">
        <v>36.287999999999997</v>
      </c>
      <c r="H238" s="7" t="s">
        <v>22</v>
      </c>
      <c r="I238" s="7" t="s">
        <v>22</v>
      </c>
      <c r="J238" s="15">
        <v>64.451252929999995</v>
      </c>
      <c r="K238" s="15">
        <v>131.1148455</v>
      </c>
      <c r="L238" s="8" t="s">
        <v>22</v>
      </c>
      <c r="M238" s="25">
        <v>0</v>
      </c>
      <c r="N238" s="25">
        <v>25.3</v>
      </c>
      <c r="O238" s="8">
        <f>Table1[[#This Row],[R1 Length (km)]]+Table1[[#This Row],[T1 Length (km)]]</f>
        <v>25.3</v>
      </c>
      <c r="P238" s="32">
        <v>69</v>
      </c>
      <c r="Q238" s="8">
        <f>(Table1[[#This Row],[Linear Features (km)]]*0.4)*100</f>
        <v>1012.0000000000001</v>
      </c>
      <c r="R238" s="25">
        <v>147.41999999999999</v>
      </c>
      <c r="S238" s="10">
        <f>Table1[[#This Row],[ATG (ha)]]/Table1[[#This Row],[Linear Area (ha)]]</f>
        <v>0.14567193675889326</v>
      </c>
      <c r="T238" s="11" t="s">
        <v>22</v>
      </c>
      <c r="U238" s="11" t="s">
        <v>22</v>
      </c>
      <c r="V238" s="25">
        <v>147.41999999999999</v>
      </c>
      <c r="W238" s="25">
        <v>58.968000000000004</v>
      </c>
      <c r="X238" s="13">
        <v>194.02028760220901</v>
      </c>
      <c r="Y238" s="12">
        <f>Table1[[#This Row],[Raw Terrestrial Score]]/Table1[[#This Row],[Summed Raw Scores]]</f>
        <v>0.49722270970764282</v>
      </c>
      <c r="Z238" s="13">
        <v>196.18772947788199</v>
      </c>
      <c r="AA238" s="12">
        <f>Table1[[#This Row],[Raw Freshwater Score]]/Table1[[#This Row],[Summed Raw Scores]]</f>
        <v>0.50277729029235718</v>
      </c>
      <c r="AB238" s="12">
        <f>Table1[[#This Row],[Raw Terrestrial Score]]+Table1[[#This Row],[Raw Freshwater Score]]</f>
        <v>390.208017080091</v>
      </c>
      <c r="AC238" s="14">
        <f>Table1[[#This Row],[Terrestrial % of Summed Score]]*Table1[[#This Row],[Scaled Summed Score]]</f>
        <v>3.0258813499193057E-2</v>
      </c>
      <c r="AD238" s="14">
        <f>Table1[[#This Row],[Freshwater % of Summed Score]]*Table1[[#This Row],[Scaled Summed Score]]</f>
        <v>3.0596841136904807E-2</v>
      </c>
      <c r="AE238" s="21">
        <f>Table1[[#This Row],[Summed Raw Scores]]/MAX(Table1[Summed Raw Scores])</f>
        <v>6.0855654636097864E-2</v>
      </c>
    </row>
    <row r="239" spans="1:31" x14ac:dyDescent="0.3">
      <c r="A239" s="7" t="s">
        <v>288</v>
      </c>
      <c r="B239" s="7" t="s">
        <v>58</v>
      </c>
      <c r="C239" s="7" t="s">
        <v>56</v>
      </c>
      <c r="D239" s="7"/>
      <c r="E239" s="25">
        <v>50.463749759999999</v>
      </c>
      <c r="F239" s="25">
        <v>-120.0598056</v>
      </c>
      <c r="G239" s="25">
        <v>38.880000000000003</v>
      </c>
      <c r="H239" s="7" t="s">
        <v>22</v>
      </c>
      <c r="I239" s="7" t="s">
        <v>22</v>
      </c>
      <c r="J239" s="25">
        <v>68.928608819999994</v>
      </c>
      <c r="K239" s="25">
        <v>125.7170799</v>
      </c>
      <c r="L239" s="8" t="s">
        <v>22</v>
      </c>
      <c r="M239" s="25">
        <v>0.3</v>
      </c>
      <c r="N239" s="25">
        <v>18.399999999999999</v>
      </c>
      <c r="O239" s="8">
        <f>Table1[[#This Row],[R1 Length (km)]]+Table1[[#This Row],[T1 Length (km)]]</f>
        <v>18.7</v>
      </c>
      <c r="P239" s="32">
        <v>69</v>
      </c>
      <c r="Q239" s="8">
        <f>(Table1[[#This Row],[Linear Features (km)]]*0.4)*100</f>
        <v>748</v>
      </c>
      <c r="R239" s="25">
        <v>157.94999999999999</v>
      </c>
      <c r="S239" s="10">
        <f>Table1[[#This Row],[ATG (ha)]]/Table1[[#This Row],[Linear Area (ha)]]</f>
        <v>0.21116310160427806</v>
      </c>
      <c r="T239" s="11" t="s">
        <v>22</v>
      </c>
      <c r="U239" s="11" t="s">
        <v>22</v>
      </c>
      <c r="V239" s="25">
        <v>157.94999999999999</v>
      </c>
      <c r="W239" s="25">
        <v>63.18</v>
      </c>
      <c r="X239" s="13">
        <v>151.15079900249799</v>
      </c>
      <c r="Y239" s="12">
        <f>Table1[[#This Row],[Raw Terrestrial Score]]/Table1[[#This Row],[Summed Raw Scores]]</f>
        <v>0.5256065365600433</v>
      </c>
      <c r="Z239" s="13">
        <v>136.42324829101599</v>
      </c>
      <c r="AA239" s="12">
        <f>Table1[[#This Row],[Raw Freshwater Score]]/Table1[[#This Row],[Summed Raw Scores]]</f>
        <v>0.47439346343995664</v>
      </c>
      <c r="AB239" s="12">
        <f>Table1[[#This Row],[Raw Terrestrial Score]]+Table1[[#This Row],[Raw Freshwater Score]]</f>
        <v>287.57404729351401</v>
      </c>
      <c r="AC239" s="14">
        <f>Table1[[#This Row],[Terrestrial % of Summed Score]]*Table1[[#This Row],[Scaled Summed Score]]</f>
        <v>2.3573018542513126E-2</v>
      </c>
      <c r="AD239" s="14">
        <f>Table1[[#This Row],[Freshwater % of Summed Score]]*Table1[[#This Row],[Scaled Summed Score]]</f>
        <v>2.1276154560988095E-2</v>
      </c>
      <c r="AE239" s="21">
        <f>Table1[[#This Row],[Summed Raw Scores]]/MAX(Table1[Summed Raw Scores])</f>
        <v>4.4849173103501221E-2</v>
      </c>
    </row>
    <row r="240" spans="1:31" x14ac:dyDescent="0.3">
      <c r="A240" s="7" t="s">
        <v>398</v>
      </c>
      <c r="B240" s="7" t="s">
        <v>58</v>
      </c>
      <c r="C240" s="7" t="s">
        <v>87</v>
      </c>
      <c r="D240" s="7"/>
      <c r="E240" s="25">
        <v>50.525427020000002</v>
      </c>
      <c r="F240" s="25">
        <v>-119.2924826</v>
      </c>
      <c r="G240" s="25">
        <v>22.530461540000001</v>
      </c>
      <c r="H240" s="7" t="s">
        <v>22</v>
      </c>
      <c r="I240" s="7" t="s">
        <v>22</v>
      </c>
      <c r="J240" s="25">
        <v>36.923587259999998</v>
      </c>
      <c r="K240" s="25">
        <v>161.30847990000001</v>
      </c>
      <c r="L240" s="8" t="s">
        <v>22</v>
      </c>
      <c r="M240" s="25">
        <v>0.6</v>
      </c>
      <c r="N240" s="25">
        <v>19.399999999999999</v>
      </c>
      <c r="O240" s="8">
        <f>Table1[[#This Row],[R1 Length (km)]]+Table1[[#This Row],[T1 Length (km)]]</f>
        <v>20</v>
      </c>
      <c r="P240" s="32">
        <v>69</v>
      </c>
      <c r="Q240" s="8">
        <f>(Table1[[#This Row],[Linear Features (km)]]*0.4)*100</f>
        <v>800</v>
      </c>
      <c r="R240" s="25">
        <v>91.53</v>
      </c>
      <c r="S240" s="10">
        <f>Table1[[#This Row],[ATG (ha)]]/Table1[[#This Row],[Linear Area (ha)]]</f>
        <v>0.1144125</v>
      </c>
      <c r="T240" s="11" t="s">
        <v>22</v>
      </c>
      <c r="U240" s="11" t="s">
        <v>22</v>
      </c>
      <c r="V240" s="25">
        <v>91.53</v>
      </c>
      <c r="W240" s="25">
        <v>36.612000000000002</v>
      </c>
      <c r="X240" s="13">
        <v>61.966637909412398</v>
      </c>
      <c r="Y240" s="12">
        <f>Table1[[#This Row],[Raw Terrestrial Score]]/Table1[[#This Row],[Summed Raw Scores]]</f>
        <v>0.38244906506890031</v>
      </c>
      <c r="Z240" s="13">
        <v>100.05922009144</v>
      </c>
      <c r="AA240" s="12">
        <f>Table1[[#This Row],[Raw Freshwater Score]]/Table1[[#This Row],[Summed Raw Scores]]</f>
        <v>0.61755093493109969</v>
      </c>
      <c r="AB240" s="12">
        <f>Table1[[#This Row],[Raw Terrestrial Score]]+Table1[[#This Row],[Raw Freshwater Score]]</f>
        <v>162.02585800085239</v>
      </c>
      <c r="AC240" s="14">
        <f>Table1[[#This Row],[Terrestrial % of Summed Score]]*Table1[[#This Row],[Scaled Summed Score]]</f>
        <v>9.6641282354824627E-3</v>
      </c>
      <c r="AD240" s="14">
        <f>Table1[[#This Row],[Freshwater % of Summed Score]]*Table1[[#This Row],[Scaled Summed Score]]</f>
        <v>1.5604931407117046E-2</v>
      </c>
      <c r="AE240" s="21">
        <f>Table1[[#This Row],[Summed Raw Scores]]/MAX(Table1[Summed Raw Scores])</f>
        <v>2.5269059642599508E-2</v>
      </c>
    </row>
    <row r="241" spans="1:31" x14ac:dyDescent="0.3">
      <c r="A241" s="7" t="s">
        <v>310</v>
      </c>
      <c r="B241" s="7" t="s">
        <v>58</v>
      </c>
      <c r="C241" s="7" t="s">
        <v>87</v>
      </c>
      <c r="D241" s="7"/>
      <c r="E241" s="25">
        <v>50.56109129</v>
      </c>
      <c r="F241" s="25">
        <v>-119.0431987</v>
      </c>
      <c r="G241" s="25">
        <v>57.42276923</v>
      </c>
      <c r="H241" s="7" t="s">
        <v>22</v>
      </c>
      <c r="I241" s="7" t="s">
        <v>22</v>
      </c>
      <c r="J241" s="25">
        <v>93.220541979999993</v>
      </c>
      <c r="K241" s="25">
        <v>130.41452709999999</v>
      </c>
      <c r="L241" s="8" t="s">
        <v>22</v>
      </c>
      <c r="M241" s="25">
        <v>0.3</v>
      </c>
      <c r="N241" s="25">
        <v>7.6</v>
      </c>
      <c r="O241" s="8">
        <f>Table1[[#This Row],[R1 Length (km)]]+Table1[[#This Row],[T1 Length (km)]]</f>
        <v>7.8999999999999995</v>
      </c>
      <c r="P241" s="32">
        <v>130</v>
      </c>
      <c r="Q241" s="8">
        <f>(Table1[[#This Row],[Linear Features (km)]]*0.4)*100</f>
        <v>316</v>
      </c>
      <c r="R241" s="25">
        <v>233.28</v>
      </c>
      <c r="S241" s="10">
        <f>Table1[[#This Row],[ATG (ha)]]/Table1[[#This Row],[Linear Area (ha)]]</f>
        <v>0.73822784810126585</v>
      </c>
      <c r="T241" s="11" t="s">
        <v>22</v>
      </c>
      <c r="U241" s="11" t="s">
        <v>22</v>
      </c>
      <c r="V241" s="25">
        <v>233.28</v>
      </c>
      <c r="W241" s="25">
        <v>93.311999999999998</v>
      </c>
      <c r="X241" s="13">
        <v>45.793206050991998</v>
      </c>
      <c r="Y241" s="12">
        <f>Table1[[#This Row],[Raw Terrestrial Score]]/Table1[[#This Row],[Summed Raw Scores]]</f>
        <v>0.33977053046080558</v>
      </c>
      <c r="Z241" s="13">
        <v>88.983656406402602</v>
      </c>
      <c r="AA241" s="12">
        <f>Table1[[#This Row],[Raw Freshwater Score]]/Table1[[#This Row],[Summed Raw Scores]]</f>
        <v>0.66022946953919437</v>
      </c>
      <c r="AB241" s="12">
        <f>Table1[[#This Row],[Raw Terrestrial Score]]+Table1[[#This Row],[Raw Freshwater Score]]</f>
        <v>134.7768624573946</v>
      </c>
      <c r="AC241" s="14">
        <f>Table1[[#This Row],[Terrestrial % of Summed Score]]*Table1[[#This Row],[Scaled Summed Score]]</f>
        <v>7.1417690312263471E-3</v>
      </c>
      <c r="AD241" s="14">
        <f>Table1[[#This Row],[Freshwater % of Summed Score]]*Table1[[#This Row],[Scaled Summed Score]]</f>
        <v>1.3877620206387919E-2</v>
      </c>
      <c r="AE241" s="21">
        <f>Table1[[#This Row],[Summed Raw Scores]]/MAX(Table1[Summed Raw Scores])</f>
        <v>2.1019389237614268E-2</v>
      </c>
    </row>
    <row r="242" spans="1:31" x14ac:dyDescent="0.3">
      <c r="A242" s="7" t="s">
        <v>76</v>
      </c>
      <c r="B242" s="7" t="s">
        <v>58</v>
      </c>
      <c r="C242" s="7" t="s">
        <v>25</v>
      </c>
      <c r="D242" s="7" t="s">
        <v>250</v>
      </c>
      <c r="E242" s="23">
        <v>50.259122259999998</v>
      </c>
      <c r="F242" s="23">
        <v>-120.4079589</v>
      </c>
      <c r="G242" s="23">
        <v>120.82707692300001</v>
      </c>
      <c r="H242" s="8" t="s">
        <v>22</v>
      </c>
      <c r="I242" s="8" t="s">
        <v>22</v>
      </c>
      <c r="J242" s="23">
        <v>214.05467944246581</v>
      </c>
      <c r="K242" s="23">
        <v>94.085193713019265</v>
      </c>
      <c r="L242" s="8" t="s">
        <v>22</v>
      </c>
      <c r="M242" s="23">
        <v>1.4</v>
      </c>
      <c r="N242" s="23">
        <v>9.4</v>
      </c>
      <c r="O242" s="8">
        <f>Table1[[#This Row],[R1 Length (km)]]+Table1[[#This Row],[T1 Length (km)]]</f>
        <v>10.8</v>
      </c>
      <c r="P242" s="13">
        <v>130</v>
      </c>
      <c r="Q242" s="8">
        <f>(Table1[[#This Row],[Linear Features (km)]]*0.4)*100</f>
        <v>432</v>
      </c>
      <c r="R242" s="23">
        <v>212.22</v>
      </c>
      <c r="S242" s="21">
        <f>Table1[[#This Row],[ATG (ha)]]/Table1[[#This Row],[Linear Area (ha)]]</f>
        <v>0.49125000000000002</v>
      </c>
      <c r="T242" s="11" t="s">
        <v>22</v>
      </c>
      <c r="U242" s="11" t="s">
        <v>22</v>
      </c>
      <c r="V242" s="23">
        <v>212.22</v>
      </c>
      <c r="W242" s="23">
        <v>84.888000000000005</v>
      </c>
      <c r="X242" s="13">
        <v>354.77502822875999</v>
      </c>
      <c r="Y242" s="12">
        <f>Table1[[#This Row],[Raw Terrestrial Score]]/Table1[[#This Row],[Summed Raw Scores]]</f>
        <v>0.77627067195747523</v>
      </c>
      <c r="Z242" s="13">
        <v>102.249874353409</v>
      </c>
      <c r="AA242" s="12">
        <f>Table1[[#This Row],[Raw Freshwater Score]]/Table1[[#This Row],[Summed Raw Scores]]</f>
        <v>0.22372932804252474</v>
      </c>
      <c r="AB242" s="12">
        <f>Table1[[#This Row],[Raw Terrestrial Score]]+Table1[[#This Row],[Raw Freshwater Score]]</f>
        <v>457.02490258216898</v>
      </c>
      <c r="AC242" s="14">
        <f>Table1[[#This Row],[Terrestrial % of Summed Score]]*Table1[[#This Row],[Scaled Summed Score]]</f>
        <v>5.5329633545099309E-2</v>
      </c>
      <c r="AD242" s="14">
        <f>Table1[[#This Row],[Freshwater % of Summed Score]]*Table1[[#This Row],[Scaled Summed Score]]</f>
        <v>1.5946579177942111E-2</v>
      </c>
      <c r="AE242" s="21">
        <f>Table1[[#This Row],[Summed Raw Scores]]/MAX(Table1[Summed Raw Scores])</f>
        <v>7.1276212723041424E-2</v>
      </c>
    </row>
    <row r="243" spans="1:31" x14ac:dyDescent="0.3">
      <c r="A243" s="7" t="s">
        <v>77</v>
      </c>
      <c r="B243" s="7" t="s">
        <v>58</v>
      </c>
      <c r="C243" s="7" t="s">
        <v>25</v>
      </c>
      <c r="D243" s="7" t="s">
        <v>250</v>
      </c>
      <c r="E243" s="23">
        <v>50.271603509999998</v>
      </c>
      <c r="F243" s="23">
        <v>-120.3255542</v>
      </c>
      <c r="G243" s="23">
        <v>109.063384615</v>
      </c>
      <c r="H243" s="8" t="s">
        <v>22</v>
      </c>
      <c r="I243" s="8" t="s">
        <v>22</v>
      </c>
      <c r="J243" s="23">
        <v>193.898406513547</v>
      </c>
      <c r="K243" s="23">
        <v>94.756406942562222</v>
      </c>
      <c r="L243" s="8" t="s">
        <v>22</v>
      </c>
      <c r="M243" s="23">
        <v>0.6</v>
      </c>
      <c r="N243" s="23">
        <v>12.1</v>
      </c>
      <c r="O243" s="8">
        <f>Table1[[#This Row],[R1 Length (km)]]+Table1[[#This Row],[T1 Length (km)]]</f>
        <v>12.7</v>
      </c>
      <c r="P243" s="13">
        <v>130</v>
      </c>
      <c r="Q243" s="8">
        <f>(Table1[[#This Row],[Linear Features (km)]]*0.4)*100</f>
        <v>508</v>
      </c>
      <c r="R243" s="23">
        <v>220.32</v>
      </c>
      <c r="S243" s="21">
        <f>Table1[[#This Row],[ATG (ha)]]/Table1[[#This Row],[Linear Area (ha)]]</f>
        <v>0.43370078740157481</v>
      </c>
      <c r="T243" s="11" t="s">
        <v>22</v>
      </c>
      <c r="U243" s="11" t="s">
        <v>22</v>
      </c>
      <c r="V243" s="23">
        <v>220.32</v>
      </c>
      <c r="W243" s="23">
        <v>88.128</v>
      </c>
      <c r="X243" s="13">
        <v>320.58259010314902</v>
      </c>
      <c r="Y243" s="12">
        <f>Table1[[#This Row],[Raw Terrestrial Score]]/Table1[[#This Row],[Summed Raw Scores]]</f>
        <v>0.72511518994140944</v>
      </c>
      <c r="Z243" s="13">
        <v>121.530048757792</v>
      </c>
      <c r="AA243" s="12">
        <f>Table1[[#This Row],[Raw Freshwater Score]]/Table1[[#This Row],[Summed Raw Scores]]</f>
        <v>0.2748848100585905</v>
      </c>
      <c r="AB243" s="12">
        <f>Table1[[#This Row],[Raw Terrestrial Score]]+Table1[[#This Row],[Raw Freshwater Score]]</f>
        <v>442.11263886094105</v>
      </c>
      <c r="AC243" s="14">
        <f>Table1[[#This Row],[Terrestrial % of Summed Score]]*Table1[[#This Row],[Scaled Summed Score]]</f>
        <v>4.9997084969319448E-2</v>
      </c>
      <c r="AD243" s="14">
        <f>Table1[[#This Row],[Freshwater % of Summed Score]]*Table1[[#This Row],[Scaled Summed Score]]</f>
        <v>1.89534564934229E-2</v>
      </c>
      <c r="AE243" s="21">
        <f>Table1[[#This Row],[Summed Raw Scores]]/MAX(Table1[Summed Raw Scores])</f>
        <v>6.8950541462742349E-2</v>
      </c>
    </row>
    <row r="244" spans="1:31" x14ac:dyDescent="0.3">
      <c r="A244" s="7" t="s">
        <v>380</v>
      </c>
      <c r="B244" s="7" t="s">
        <v>58</v>
      </c>
      <c r="C244" s="7" t="s">
        <v>56</v>
      </c>
      <c r="D244" s="7"/>
      <c r="E244" s="25">
        <v>50.343959480000002</v>
      </c>
      <c r="F244" s="25">
        <v>-120.18214399999999</v>
      </c>
      <c r="G244" s="25">
        <v>24.524307690000001</v>
      </c>
      <c r="H244" s="7" t="s">
        <v>22</v>
      </c>
      <c r="I244" s="7" t="s">
        <v>22</v>
      </c>
      <c r="J244" s="25">
        <v>43.596539389999997</v>
      </c>
      <c r="K244" s="25">
        <v>153.91789869999999</v>
      </c>
      <c r="L244" s="8" t="s">
        <v>22</v>
      </c>
      <c r="M244" s="25">
        <v>0.3</v>
      </c>
      <c r="N244" s="25">
        <v>31.7</v>
      </c>
      <c r="O244" s="8">
        <f>Table1[[#This Row],[R1 Length (km)]]+Table1[[#This Row],[T1 Length (km)]]</f>
        <v>32</v>
      </c>
      <c r="P244" s="32">
        <v>69</v>
      </c>
      <c r="Q244" s="8">
        <f>(Table1[[#This Row],[Linear Features (km)]]*0.4)*100</f>
        <v>1280</v>
      </c>
      <c r="R244" s="25">
        <v>99.63</v>
      </c>
      <c r="S244" s="10">
        <f>Table1[[#This Row],[ATG (ha)]]/Table1[[#This Row],[Linear Area (ha)]]</f>
        <v>7.7835937499999994E-2</v>
      </c>
      <c r="T244" s="11" t="s">
        <v>22</v>
      </c>
      <c r="U244" s="11" t="s">
        <v>22</v>
      </c>
      <c r="V244" s="25">
        <v>99.63</v>
      </c>
      <c r="W244" s="25">
        <v>39.851999999999997</v>
      </c>
      <c r="X244" s="13">
        <v>244.25737605523301</v>
      </c>
      <c r="Y244" s="12">
        <f>Table1[[#This Row],[Raw Terrestrial Score]]/Table1[[#This Row],[Summed Raw Scores]]</f>
        <v>0.48120035169259356</v>
      </c>
      <c r="Z244" s="13">
        <v>263.34278507530701</v>
      </c>
      <c r="AA244" s="12">
        <f>Table1[[#This Row],[Raw Freshwater Score]]/Table1[[#This Row],[Summed Raw Scores]]</f>
        <v>0.51879964830740644</v>
      </c>
      <c r="AB244" s="12">
        <f>Table1[[#This Row],[Raw Terrestrial Score]]+Table1[[#This Row],[Raw Freshwater Score]]</f>
        <v>507.60016113054002</v>
      </c>
      <c r="AC244" s="14">
        <f>Table1[[#This Row],[Terrestrial % of Summed Score]]*Table1[[#This Row],[Scaled Summed Score]]</f>
        <v>3.8093636903635895E-2</v>
      </c>
      <c r="AD244" s="14">
        <f>Table1[[#This Row],[Freshwater % of Summed Score]]*Table1[[#This Row],[Scaled Summed Score]]</f>
        <v>4.1070139202603002E-2</v>
      </c>
      <c r="AE244" s="21">
        <f>Table1[[#This Row],[Summed Raw Scores]]/MAX(Table1[Summed Raw Scores])</f>
        <v>7.9163776106238898E-2</v>
      </c>
    </row>
    <row r="245" spans="1:31" x14ac:dyDescent="0.3">
      <c r="A245" s="7" t="s">
        <v>78</v>
      </c>
      <c r="B245" s="7" t="s">
        <v>58</v>
      </c>
      <c r="C245" s="7" t="s">
        <v>25</v>
      </c>
      <c r="D245" s="7" t="s">
        <v>250</v>
      </c>
      <c r="E245" s="23">
        <v>50.19913579</v>
      </c>
      <c r="F245" s="23">
        <v>-120.46858469999999</v>
      </c>
      <c r="G245" s="23">
        <v>94.7076923077</v>
      </c>
      <c r="H245" s="8" t="s">
        <v>22</v>
      </c>
      <c r="I245" s="8" t="s">
        <v>22</v>
      </c>
      <c r="J245" s="23">
        <v>167.4049309600608</v>
      </c>
      <c r="K245" s="23">
        <v>95.403752700978643</v>
      </c>
      <c r="L245" s="8" t="s">
        <v>22</v>
      </c>
      <c r="M245" s="23">
        <v>0.3</v>
      </c>
      <c r="N245" s="23">
        <v>6.4</v>
      </c>
      <c r="O245" s="8">
        <f>Table1[[#This Row],[R1 Length (km)]]+Table1[[#This Row],[T1 Length (km)]]</f>
        <v>6.7</v>
      </c>
      <c r="P245" s="13">
        <v>130</v>
      </c>
      <c r="Q245" s="8">
        <f>(Table1[[#This Row],[Linear Features (km)]]*0.4)*100</f>
        <v>268</v>
      </c>
      <c r="R245" s="23">
        <v>332.1</v>
      </c>
      <c r="S245" s="21">
        <f>Table1[[#This Row],[ATG (ha)]]/Table1[[#This Row],[Linear Area (ha)]]</f>
        <v>1.2391791044776119</v>
      </c>
      <c r="T245" s="11" t="s">
        <v>22</v>
      </c>
      <c r="U245" s="11" t="s">
        <v>22</v>
      </c>
      <c r="V245" s="23">
        <v>332.1</v>
      </c>
      <c r="W245" s="23">
        <v>132.84</v>
      </c>
      <c r="X245" s="13">
        <v>332.33701229095499</v>
      </c>
      <c r="Y245" s="12">
        <f>Table1[[#This Row],[Raw Terrestrial Score]]/Table1[[#This Row],[Summed Raw Scores]]</f>
        <v>0.69690460772020668</v>
      </c>
      <c r="Z245" s="13">
        <v>144.53888809680899</v>
      </c>
      <c r="AA245" s="12">
        <f>Table1[[#This Row],[Raw Freshwater Score]]/Table1[[#This Row],[Summed Raw Scores]]</f>
        <v>0.30309539227979337</v>
      </c>
      <c r="AB245" s="12">
        <f>Table1[[#This Row],[Raw Terrestrial Score]]+Table1[[#This Row],[Raw Freshwater Score]]</f>
        <v>476.87590038776398</v>
      </c>
      <c r="AC245" s="14">
        <f>Table1[[#This Row],[Terrestrial % of Summed Score]]*Table1[[#This Row],[Scaled Summed Score]]</f>
        <v>5.1830268875843806E-2</v>
      </c>
      <c r="AD245" s="14">
        <f>Table1[[#This Row],[Freshwater % of Summed Score]]*Table1[[#This Row],[Scaled Summed Score]]</f>
        <v>2.254184504287006E-2</v>
      </c>
      <c r="AE245" s="21">
        <f>Table1[[#This Row],[Summed Raw Scores]]/MAX(Table1[Summed Raw Scores])</f>
        <v>7.4372113918713859E-2</v>
      </c>
    </row>
    <row r="246" spans="1:31" x14ac:dyDescent="0.3">
      <c r="A246" s="7" t="s">
        <v>79</v>
      </c>
      <c r="B246" s="7" t="s">
        <v>58</v>
      </c>
      <c r="C246" s="7" t="s">
        <v>25</v>
      </c>
      <c r="D246" s="7"/>
      <c r="E246" s="23">
        <v>50.139135750000001</v>
      </c>
      <c r="F246" s="23">
        <v>-120.52907759999999</v>
      </c>
      <c r="G246" s="23">
        <v>80.750769230800003</v>
      </c>
      <c r="H246" s="8" t="s">
        <v>22</v>
      </c>
      <c r="I246" s="8" t="s">
        <v>22</v>
      </c>
      <c r="J246" s="23">
        <v>143.20395404186112</v>
      </c>
      <c r="K246" s="23">
        <v>99.189509910556936</v>
      </c>
      <c r="L246" s="8" t="s">
        <v>22</v>
      </c>
      <c r="M246" s="23">
        <v>1.4</v>
      </c>
      <c r="N246" s="23">
        <v>11.8</v>
      </c>
      <c r="O246" s="8">
        <f>Table1[[#This Row],[R1 Length (km)]]+Table1[[#This Row],[T1 Length (km)]]</f>
        <v>13.200000000000001</v>
      </c>
      <c r="P246" s="13">
        <v>130</v>
      </c>
      <c r="Q246" s="8">
        <f>(Table1[[#This Row],[Linear Features (km)]]*0.4)*100</f>
        <v>528.00000000000011</v>
      </c>
      <c r="R246" s="23">
        <v>1087.83</v>
      </c>
      <c r="S246" s="21">
        <f>Table1[[#This Row],[ATG (ha)]]/Table1[[#This Row],[Linear Area (ha)]]</f>
        <v>2.0602840909090903</v>
      </c>
      <c r="T246" s="11" t="s">
        <v>22</v>
      </c>
      <c r="U246" s="11" t="s">
        <v>22</v>
      </c>
      <c r="V246" s="23">
        <v>1087.83</v>
      </c>
      <c r="W246" s="23">
        <v>435.13200000000001</v>
      </c>
      <c r="X246" s="13">
        <v>681.813486218452</v>
      </c>
      <c r="Y246" s="12">
        <f>Table1[[#This Row],[Raw Terrestrial Score]]/Table1[[#This Row],[Summed Raw Scores]]</f>
        <v>0.67967312177342576</v>
      </c>
      <c r="Z246" s="13">
        <v>321.33562234044098</v>
      </c>
      <c r="AA246" s="12">
        <f>Table1[[#This Row],[Raw Freshwater Score]]/Table1[[#This Row],[Summed Raw Scores]]</f>
        <v>0.32032687822657419</v>
      </c>
      <c r="AB246" s="12">
        <f>Table1[[#This Row],[Raw Terrestrial Score]]+Table1[[#This Row],[Raw Freshwater Score]]</f>
        <v>1003.149108558893</v>
      </c>
      <c r="AC246" s="14">
        <f>Table1[[#This Row],[Terrestrial % of Summed Score]]*Table1[[#This Row],[Scaled Summed Score]]</f>
        <v>0.10633355601975657</v>
      </c>
      <c r="AD246" s="14">
        <f>Table1[[#This Row],[Freshwater % of Summed Score]]*Table1[[#This Row],[Scaled Summed Score]]</f>
        <v>5.011452558498234E-2</v>
      </c>
      <c r="AE246" s="21">
        <f>Table1[[#This Row],[Summed Raw Scores]]/MAX(Table1[Summed Raw Scores])</f>
        <v>0.15644808160473891</v>
      </c>
    </row>
    <row r="247" spans="1:31" x14ac:dyDescent="0.3">
      <c r="A247" s="7" t="s">
        <v>273</v>
      </c>
      <c r="B247" s="7" t="s">
        <v>58</v>
      </c>
      <c r="C247" s="7" t="s">
        <v>25</v>
      </c>
      <c r="D247" s="7"/>
      <c r="E247" s="25">
        <v>50.211645599999997</v>
      </c>
      <c r="F247" s="25">
        <v>-120.3862843</v>
      </c>
      <c r="G247" s="25">
        <v>18.742153850000001</v>
      </c>
      <c r="H247" s="7" t="s">
        <v>22</v>
      </c>
      <c r="I247" s="7" t="s">
        <v>22</v>
      </c>
      <c r="J247" s="25">
        <v>32.841897879999998</v>
      </c>
      <c r="K247" s="25">
        <v>122.6430184</v>
      </c>
      <c r="L247" s="8" t="s">
        <v>22</v>
      </c>
      <c r="M247" s="25">
        <v>2.8</v>
      </c>
      <c r="N247" s="25">
        <v>3.6</v>
      </c>
      <c r="O247" s="8">
        <f>Table1[[#This Row],[R1 Length (km)]]+Table1[[#This Row],[T1 Length (km)]]</f>
        <v>6.4</v>
      </c>
      <c r="P247" s="32">
        <v>25</v>
      </c>
      <c r="Q247" s="8">
        <f>(Table1[[#This Row],[Linear Features (km)]]*0.4)*100</f>
        <v>256.00000000000006</v>
      </c>
      <c r="R247" s="25">
        <v>76.14</v>
      </c>
      <c r="S247" s="10">
        <f>Table1[[#This Row],[ATG (ha)]]/Table1[[#This Row],[Linear Area (ha)]]</f>
        <v>0.29742187499999995</v>
      </c>
      <c r="T247" s="11" t="s">
        <v>22</v>
      </c>
      <c r="U247" s="11" t="s">
        <v>22</v>
      </c>
      <c r="V247" s="25">
        <v>76.14</v>
      </c>
      <c r="W247" s="25">
        <v>30.456</v>
      </c>
      <c r="X247" s="13">
        <v>157.16487598419201</v>
      </c>
      <c r="Y247" s="12">
        <f>Table1[[#This Row],[Raw Terrestrial Score]]/Table1[[#This Row],[Summed Raw Scores]]</f>
        <v>0.75221473813255579</v>
      </c>
      <c r="Z247" s="13">
        <v>51.771306753158598</v>
      </c>
      <c r="AA247" s="12">
        <f>Table1[[#This Row],[Raw Freshwater Score]]/Table1[[#This Row],[Summed Raw Scores]]</f>
        <v>0.24778526186744421</v>
      </c>
      <c r="AB247" s="12">
        <f>Table1[[#This Row],[Raw Terrestrial Score]]+Table1[[#This Row],[Raw Freshwater Score]]</f>
        <v>208.93618273735061</v>
      </c>
      <c r="AC247" s="14">
        <f>Table1[[#This Row],[Terrestrial % of Summed Score]]*Table1[[#This Row],[Scaled Summed Score]]</f>
        <v>2.451095568304542E-2</v>
      </c>
      <c r="AD247" s="14">
        <f>Table1[[#This Row],[Freshwater % of Summed Score]]*Table1[[#This Row],[Scaled Summed Score]]</f>
        <v>8.0740954207074583E-3</v>
      </c>
      <c r="AE247" s="21">
        <f>Table1[[#This Row],[Summed Raw Scores]]/MAX(Table1[Summed Raw Scores])</f>
        <v>3.2585051103752878E-2</v>
      </c>
    </row>
    <row r="248" spans="1:31" x14ac:dyDescent="0.3">
      <c r="A248" s="7" t="s">
        <v>80</v>
      </c>
      <c r="B248" s="7" t="s">
        <v>58</v>
      </c>
      <c r="C248" s="7" t="s">
        <v>25</v>
      </c>
      <c r="D248" s="7"/>
      <c r="E248" s="23">
        <v>50.224114569999998</v>
      </c>
      <c r="F248" s="23">
        <v>-120.3039462</v>
      </c>
      <c r="G248" s="23">
        <v>54.631384615400002</v>
      </c>
      <c r="H248" s="8" t="s">
        <v>22</v>
      </c>
      <c r="I248" s="8" t="s">
        <v>22</v>
      </c>
      <c r="J248" s="23">
        <v>96.373479993960956</v>
      </c>
      <c r="K248" s="23">
        <v>104.50362561373343</v>
      </c>
      <c r="L248" s="8" t="s">
        <v>22</v>
      </c>
      <c r="M248" s="23">
        <v>0.3</v>
      </c>
      <c r="N248" s="23">
        <v>7.9</v>
      </c>
      <c r="O248" s="8">
        <f>Table1[[#This Row],[R1 Length (km)]]+Table1[[#This Row],[T1 Length (km)]]</f>
        <v>8.2000000000000011</v>
      </c>
      <c r="P248" s="13">
        <v>130</v>
      </c>
      <c r="Q248" s="8">
        <f>(Table1[[#This Row],[Linear Features (km)]]*0.4)*100</f>
        <v>328.00000000000006</v>
      </c>
      <c r="R248" s="23">
        <v>1395.63</v>
      </c>
      <c r="S248" s="21">
        <f>Table1[[#This Row],[ATG (ha)]]/Table1[[#This Row],[Linear Area (ha)]]</f>
        <v>4.2549695121951219</v>
      </c>
      <c r="T248" s="11" t="s">
        <v>22</v>
      </c>
      <c r="U248" s="11" t="s">
        <v>22</v>
      </c>
      <c r="V248" s="23">
        <v>1395.63</v>
      </c>
      <c r="W248" s="23">
        <v>558.25200000000007</v>
      </c>
      <c r="X248" s="13">
        <v>690.94665598869301</v>
      </c>
      <c r="Y248" s="12">
        <f>Table1[[#This Row],[Raw Terrestrial Score]]/Table1[[#This Row],[Summed Raw Scores]]</f>
        <v>0.76444576432982436</v>
      </c>
      <c r="Z248" s="13">
        <v>212.90642061829601</v>
      </c>
      <c r="AA248" s="12">
        <f>Table1[[#This Row],[Raw Freshwater Score]]/Table1[[#This Row],[Summed Raw Scores]]</f>
        <v>0.23555423567017564</v>
      </c>
      <c r="AB248" s="12">
        <f>Table1[[#This Row],[Raw Terrestrial Score]]+Table1[[#This Row],[Raw Freshwater Score]]</f>
        <v>903.85307660698902</v>
      </c>
      <c r="AC248" s="14">
        <f>Table1[[#This Row],[Terrestrial % of Summed Score]]*Table1[[#This Row],[Scaled Summed Score]]</f>
        <v>0.10775793737775556</v>
      </c>
      <c r="AD248" s="14">
        <f>Table1[[#This Row],[Freshwater % of Summed Score]]*Table1[[#This Row],[Scaled Summed Score]]</f>
        <v>3.3204237319130851E-2</v>
      </c>
      <c r="AE248" s="21">
        <f>Table1[[#This Row],[Summed Raw Scores]]/MAX(Table1[Summed Raw Scores])</f>
        <v>0.14096217469688641</v>
      </c>
    </row>
    <row r="249" spans="1:31" x14ac:dyDescent="0.3">
      <c r="A249" s="7" t="s">
        <v>377</v>
      </c>
      <c r="B249" s="7" t="s">
        <v>58</v>
      </c>
      <c r="C249" s="7" t="s">
        <v>87</v>
      </c>
      <c r="D249" s="7"/>
      <c r="E249" s="25">
        <v>50.310949569999998</v>
      </c>
      <c r="F249" s="25">
        <v>-119.3749413</v>
      </c>
      <c r="G249" s="25">
        <v>24.324923080000001</v>
      </c>
      <c r="H249" s="7" t="s">
        <v>22</v>
      </c>
      <c r="I249" s="7" t="s">
        <v>22</v>
      </c>
      <c r="J249" s="25">
        <v>40.523809929999999</v>
      </c>
      <c r="K249" s="25">
        <v>152.45944030000001</v>
      </c>
      <c r="L249" s="8" t="s">
        <v>22</v>
      </c>
      <c r="M249" s="25">
        <v>0</v>
      </c>
      <c r="N249" s="25">
        <v>13.3</v>
      </c>
      <c r="O249" s="8">
        <f>Table1[[#This Row],[R1 Length (km)]]+Table1[[#This Row],[T1 Length (km)]]</f>
        <v>13.3</v>
      </c>
      <c r="P249" s="32">
        <v>69</v>
      </c>
      <c r="Q249" s="8">
        <f>(Table1[[#This Row],[Linear Features (km)]]*0.4)*100</f>
        <v>532</v>
      </c>
      <c r="R249" s="25">
        <v>98.82</v>
      </c>
      <c r="S249" s="10">
        <f>Table1[[#This Row],[ATG (ha)]]/Table1[[#This Row],[Linear Area (ha)]]</f>
        <v>0.18575187969924811</v>
      </c>
      <c r="T249" s="11" t="s">
        <v>22</v>
      </c>
      <c r="U249" s="11" t="s">
        <v>22</v>
      </c>
      <c r="V249" s="25">
        <v>98.82</v>
      </c>
      <c r="W249" s="25">
        <v>39.527999999999999</v>
      </c>
      <c r="X249" s="13">
        <v>319.65843772888201</v>
      </c>
      <c r="Y249" s="12">
        <f>Table1[[#This Row],[Raw Terrestrial Score]]/Table1[[#This Row],[Summed Raw Scores]]</f>
        <v>0.89285970937226899</v>
      </c>
      <c r="Z249" s="13">
        <v>38.357983410358401</v>
      </c>
      <c r="AA249" s="12">
        <f>Table1[[#This Row],[Raw Freshwater Score]]/Table1[[#This Row],[Summed Raw Scores]]</f>
        <v>0.10714029062773114</v>
      </c>
      <c r="AB249" s="12">
        <f>Table1[[#This Row],[Raw Terrestrial Score]]+Table1[[#This Row],[Raw Freshwater Score]]</f>
        <v>358.01642113924038</v>
      </c>
      <c r="AC249" s="14">
        <f>Table1[[#This Row],[Terrestrial % of Summed Score]]*Table1[[#This Row],[Scaled Summed Score]]</f>
        <v>4.985295697794611E-2</v>
      </c>
      <c r="AD249" s="14">
        <f>Table1[[#This Row],[Freshwater % of Summed Score]]*Table1[[#This Row],[Scaled Summed Score]]</f>
        <v>5.9821943393818643E-3</v>
      </c>
      <c r="AE249" s="21">
        <f>Table1[[#This Row],[Summed Raw Scores]]/MAX(Table1[Summed Raw Scores])</f>
        <v>5.5835151317327969E-2</v>
      </c>
    </row>
    <row r="250" spans="1:31" x14ac:dyDescent="0.3">
      <c r="A250" s="7" t="s">
        <v>382</v>
      </c>
      <c r="B250" s="7" t="s">
        <v>58</v>
      </c>
      <c r="C250" s="7" t="s">
        <v>87</v>
      </c>
      <c r="D250" s="7"/>
      <c r="E250" s="25">
        <v>50.382118050000003</v>
      </c>
      <c r="F250" s="25">
        <v>-118.8781165</v>
      </c>
      <c r="G250" s="25">
        <v>12.56123077</v>
      </c>
      <c r="H250" s="7" t="s">
        <v>22</v>
      </c>
      <c r="I250" s="7" t="s">
        <v>22</v>
      </c>
      <c r="J250" s="25">
        <v>20.334816409999998</v>
      </c>
      <c r="K250" s="25">
        <v>155.25047180000001</v>
      </c>
      <c r="L250" s="8" t="s">
        <v>22</v>
      </c>
      <c r="M250" s="25">
        <v>0.3</v>
      </c>
      <c r="N250" s="25">
        <v>21.8</v>
      </c>
      <c r="O250" s="8">
        <f>Table1[[#This Row],[R1 Length (km)]]+Table1[[#This Row],[T1 Length (km)]]</f>
        <v>22.1</v>
      </c>
      <c r="P250" s="32">
        <v>25</v>
      </c>
      <c r="Q250" s="8">
        <f>(Table1[[#This Row],[Linear Features (km)]]*0.4)*100</f>
        <v>884.00000000000011</v>
      </c>
      <c r="R250" s="25">
        <v>51.03</v>
      </c>
      <c r="S250" s="10">
        <f>Table1[[#This Row],[ATG (ha)]]/Table1[[#This Row],[Linear Area (ha)]]</f>
        <v>5.7726244343891397E-2</v>
      </c>
      <c r="T250" s="11" t="s">
        <v>22</v>
      </c>
      <c r="U250" s="11" t="s">
        <v>22</v>
      </c>
      <c r="V250" s="25">
        <v>51.03</v>
      </c>
      <c r="W250" s="25">
        <v>20.411999999999999</v>
      </c>
      <c r="X250" s="13">
        <v>206.819200485945</v>
      </c>
      <c r="Y250" s="12">
        <f>Table1[[#This Row],[Raw Terrestrial Score]]/Table1[[#This Row],[Summed Raw Scores]]</f>
        <v>0.34706021987453428</v>
      </c>
      <c r="Z250" s="13">
        <v>389.098132133484</v>
      </c>
      <c r="AA250" s="12">
        <f>Table1[[#This Row],[Raw Freshwater Score]]/Table1[[#This Row],[Summed Raw Scores]]</f>
        <v>0.65293978012546572</v>
      </c>
      <c r="AB250" s="12">
        <f>Table1[[#This Row],[Raw Terrestrial Score]]+Table1[[#This Row],[Raw Freshwater Score]]</f>
        <v>595.91733261942898</v>
      </c>
      <c r="AC250" s="14">
        <f>Table1[[#This Row],[Terrestrial % of Summed Score]]*Table1[[#This Row],[Scaled Summed Score]]</f>
        <v>3.2254892995453817E-2</v>
      </c>
      <c r="AD250" s="14">
        <f>Table1[[#This Row],[Freshwater % of Summed Score]]*Table1[[#This Row],[Scaled Summed Score]]</f>
        <v>6.0682560358071645E-2</v>
      </c>
      <c r="AE250" s="21">
        <f>Table1[[#This Row],[Summed Raw Scores]]/MAX(Table1[Summed Raw Scores])</f>
        <v>9.2937453353525462E-2</v>
      </c>
    </row>
    <row r="251" spans="1:31" x14ac:dyDescent="0.3">
      <c r="A251" s="7" t="s">
        <v>391</v>
      </c>
      <c r="B251" s="7" t="s">
        <v>58</v>
      </c>
      <c r="C251" s="7" t="s">
        <v>21</v>
      </c>
      <c r="D251" s="7"/>
      <c r="E251" s="25">
        <v>49.340927229999998</v>
      </c>
      <c r="F251" s="25">
        <v>-124.96400010000001</v>
      </c>
      <c r="G251" s="25">
        <v>22.530461540000001</v>
      </c>
      <c r="H251" s="7" t="s">
        <v>22</v>
      </c>
      <c r="I251" s="7" t="s">
        <v>22</v>
      </c>
      <c r="J251" s="25">
        <v>34.200908179999999</v>
      </c>
      <c r="K251" s="25">
        <v>158.91281029999999</v>
      </c>
      <c r="L251" s="8" t="s">
        <v>22</v>
      </c>
      <c r="M251" s="25">
        <v>1.7</v>
      </c>
      <c r="N251" s="25">
        <v>2.8</v>
      </c>
      <c r="O251" s="8">
        <f>Table1[[#This Row],[R1 Length (km)]]+Table1[[#This Row],[T1 Length (km)]]</f>
        <v>4.5</v>
      </c>
      <c r="P251" s="32">
        <v>69</v>
      </c>
      <c r="Q251" s="8">
        <f>(Table1[[#This Row],[Linear Features (km)]]*0.4)*100</f>
        <v>180</v>
      </c>
      <c r="R251" s="25">
        <v>91.53</v>
      </c>
      <c r="S251" s="10">
        <f>Table1[[#This Row],[ATG (ha)]]/Table1[[#This Row],[Linear Area (ha)]]</f>
        <v>0.50849999999999995</v>
      </c>
      <c r="T251" s="11" t="s">
        <v>22</v>
      </c>
      <c r="U251" s="11" t="s">
        <v>22</v>
      </c>
      <c r="V251" s="25">
        <v>91.53</v>
      </c>
      <c r="W251" s="25">
        <v>36.612000000000002</v>
      </c>
      <c r="X251" s="13">
        <v>96.412982150912299</v>
      </c>
      <c r="Y251" s="12">
        <f>Table1[[#This Row],[Raw Terrestrial Score]]/Table1[[#This Row],[Summed Raw Scores]]</f>
        <v>0.53530360440166813</v>
      </c>
      <c r="Z251" s="13">
        <v>83.6959903240204</v>
      </c>
      <c r="AA251" s="12">
        <f>Table1[[#This Row],[Raw Freshwater Score]]/Table1[[#This Row],[Summed Raw Scores]]</f>
        <v>0.46469639559833192</v>
      </c>
      <c r="AB251" s="12">
        <f>Table1[[#This Row],[Raw Terrestrial Score]]+Table1[[#This Row],[Raw Freshwater Score]]</f>
        <v>180.1089724749327</v>
      </c>
      <c r="AC251" s="14">
        <f>Table1[[#This Row],[Terrestrial % of Summed Score]]*Table1[[#This Row],[Scaled Summed Score]]</f>
        <v>1.5036275236261783E-2</v>
      </c>
      <c r="AD251" s="14">
        <f>Table1[[#This Row],[Freshwater % of Summed Score]]*Table1[[#This Row],[Scaled Summed Score]]</f>
        <v>1.305297189867667E-2</v>
      </c>
      <c r="AE251" s="21">
        <f>Table1[[#This Row],[Summed Raw Scores]]/MAX(Table1[Summed Raw Scores])</f>
        <v>2.8089247134938451E-2</v>
      </c>
    </row>
    <row r="252" spans="1:31" x14ac:dyDescent="0.3">
      <c r="A252" s="7" t="s">
        <v>367</v>
      </c>
      <c r="B252" s="7" t="s">
        <v>58</v>
      </c>
      <c r="C252" s="7" t="s">
        <v>21</v>
      </c>
      <c r="D252" s="7"/>
      <c r="E252" s="25">
        <v>49.294201639999997</v>
      </c>
      <c r="F252" s="25">
        <v>-124.938819</v>
      </c>
      <c r="G252" s="25">
        <v>13.757538459999999</v>
      </c>
      <c r="H252" s="7" t="s">
        <v>22</v>
      </c>
      <c r="I252" s="7" t="s">
        <v>22</v>
      </c>
      <c r="J252" s="25">
        <v>21.000400800000001</v>
      </c>
      <c r="K252" s="25">
        <v>146.74781540000001</v>
      </c>
      <c r="L252" s="8" t="s">
        <v>22</v>
      </c>
      <c r="M252" s="25">
        <v>0</v>
      </c>
      <c r="N252" s="25">
        <v>3.1</v>
      </c>
      <c r="O252" s="8">
        <f>Table1[[#This Row],[R1 Length (km)]]+Table1[[#This Row],[T1 Length (km)]]</f>
        <v>3.1</v>
      </c>
      <c r="P252" s="32">
        <v>25</v>
      </c>
      <c r="Q252" s="8">
        <f>(Table1[[#This Row],[Linear Features (km)]]*0.4)*100</f>
        <v>124.00000000000003</v>
      </c>
      <c r="R252" s="25">
        <v>55.89</v>
      </c>
      <c r="S252" s="10">
        <f>Table1[[#This Row],[ATG (ha)]]/Table1[[#This Row],[Linear Area (ha)]]</f>
        <v>0.45072580645161281</v>
      </c>
      <c r="T252" s="11" t="s">
        <v>22</v>
      </c>
      <c r="U252" s="11" t="s">
        <v>22</v>
      </c>
      <c r="V252" s="25">
        <v>55.89</v>
      </c>
      <c r="W252" s="25">
        <v>22.356000000000002</v>
      </c>
      <c r="X252" s="13">
        <v>91.617657467722907</v>
      </c>
      <c r="Y252" s="12">
        <f>Table1[[#This Row],[Raw Terrestrial Score]]/Table1[[#This Row],[Summed Raw Scores]]</f>
        <v>0.65416398285307076</v>
      </c>
      <c r="Z252" s="13">
        <v>48.435387134552002</v>
      </c>
      <c r="AA252" s="12">
        <f>Table1[[#This Row],[Raw Freshwater Score]]/Table1[[#This Row],[Summed Raw Scores]]</f>
        <v>0.34583601714692935</v>
      </c>
      <c r="AB252" s="12">
        <f>Table1[[#This Row],[Raw Terrestrial Score]]+Table1[[#This Row],[Raw Freshwater Score]]</f>
        <v>140.05304460227489</v>
      </c>
      <c r="AC252" s="14">
        <f>Table1[[#This Row],[Terrestrial % of Summed Score]]*Table1[[#This Row],[Scaled Summed Score]]</f>
        <v>1.4288410994589289E-2</v>
      </c>
      <c r="AD252" s="14">
        <f>Table1[[#This Row],[Freshwater % of Summed Score]]*Table1[[#This Row],[Scaled Summed Score]]</f>
        <v>7.5538355507980244E-3</v>
      </c>
      <c r="AE252" s="21">
        <f>Table1[[#This Row],[Summed Raw Scores]]/MAX(Table1[Summed Raw Scores])</f>
        <v>2.1842246545387311E-2</v>
      </c>
    </row>
    <row r="253" spans="1:31" x14ac:dyDescent="0.3">
      <c r="A253" s="7" t="s">
        <v>325</v>
      </c>
      <c r="B253" s="7" t="s">
        <v>58</v>
      </c>
      <c r="C253" s="7" t="s">
        <v>25</v>
      </c>
      <c r="D253" s="7"/>
      <c r="E253" s="25">
        <v>50.015678680000001</v>
      </c>
      <c r="F253" s="25">
        <v>-120.9993331</v>
      </c>
      <c r="G253" s="25">
        <v>29.508923079999999</v>
      </c>
      <c r="H253" s="7" t="s">
        <v>22</v>
      </c>
      <c r="I253" s="7" t="s">
        <v>22</v>
      </c>
      <c r="J253" s="15">
        <v>53.844024699999999</v>
      </c>
      <c r="K253" s="15">
        <v>132.96401069999999</v>
      </c>
      <c r="L253" s="8" t="s">
        <v>22</v>
      </c>
      <c r="M253" s="25">
        <v>0</v>
      </c>
      <c r="N253" s="25">
        <v>20.6</v>
      </c>
      <c r="O253" s="8">
        <f>Table1[[#This Row],[R1 Length (km)]]+Table1[[#This Row],[T1 Length (km)]]</f>
        <v>20.6</v>
      </c>
      <c r="P253" s="32">
        <v>69</v>
      </c>
      <c r="Q253" s="8">
        <f>(Table1[[#This Row],[Linear Features (km)]]*0.4)*100</f>
        <v>824</v>
      </c>
      <c r="R253" s="25">
        <v>119.88</v>
      </c>
      <c r="S253" s="10">
        <f>Table1[[#This Row],[ATG (ha)]]/Table1[[#This Row],[Linear Area (ha)]]</f>
        <v>0.14548543689320387</v>
      </c>
      <c r="T253" s="11" t="s">
        <v>22</v>
      </c>
      <c r="U253" s="11" t="s">
        <v>22</v>
      </c>
      <c r="V253" s="25">
        <v>119.88</v>
      </c>
      <c r="W253" s="25">
        <v>47.951999999999998</v>
      </c>
      <c r="X253" s="13">
        <v>361.54985255002998</v>
      </c>
      <c r="Y253" s="12">
        <f>Table1[[#This Row],[Raw Terrestrial Score]]/Table1[[#This Row],[Summed Raw Scores]]</f>
        <v>0.47647222956718588</v>
      </c>
      <c r="Z253" s="13">
        <v>397.25586605071999</v>
      </c>
      <c r="AA253" s="12">
        <f>Table1[[#This Row],[Raw Freshwater Score]]/Table1[[#This Row],[Summed Raw Scores]]</f>
        <v>0.52352777043281418</v>
      </c>
      <c r="AB253" s="12">
        <f>Table1[[#This Row],[Raw Terrestrial Score]]+Table1[[#This Row],[Raw Freshwater Score]]</f>
        <v>758.80571860074997</v>
      </c>
      <c r="AC253" s="14">
        <f>Table1[[#This Row],[Terrestrial % of Summed Score]]*Table1[[#This Row],[Scaled Summed Score]]</f>
        <v>5.6386214525163646E-2</v>
      </c>
      <c r="AD253" s="14">
        <f>Table1[[#This Row],[Freshwater % of Summed Score]]*Table1[[#This Row],[Scaled Summed Score]]</f>
        <v>6.195481570944901E-2</v>
      </c>
      <c r="AE253" s="21">
        <f>Table1[[#This Row],[Summed Raw Scores]]/MAX(Table1[Summed Raw Scores])</f>
        <v>0.11834103023461265</v>
      </c>
    </row>
    <row r="254" spans="1:31" x14ac:dyDescent="0.3">
      <c r="A254" s="7" t="s">
        <v>287</v>
      </c>
      <c r="B254" s="7" t="s">
        <v>58</v>
      </c>
      <c r="C254" s="7" t="s">
        <v>25</v>
      </c>
      <c r="D254" s="7"/>
      <c r="E254" s="25">
        <v>50.028448560000001</v>
      </c>
      <c r="F254" s="25">
        <v>-120.9174301</v>
      </c>
      <c r="G254" s="25">
        <v>36.686769230000003</v>
      </c>
      <c r="H254" s="7" t="s">
        <v>22</v>
      </c>
      <c r="I254" s="7" t="s">
        <v>22</v>
      </c>
      <c r="J254" s="15">
        <v>65.428473449999998</v>
      </c>
      <c r="K254" s="15">
        <v>125.39183389999999</v>
      </c>
      <c r="L254" s="8" t="s">
        <v>22</v>
      </c>
      <c r="M254" s="25">
        <v>1.1000000000000001</v>
      </c>
      <c r="N254" s="25">
        <v>14.8</v>
      </c>
      <c r="O254" s="8">
        <f>Table1[[#This Row],[R1 Length (km)]]+Table1[[#This Row],[T1 Length (km)]]</f>
        <v>15.9</v>
      </c>
      <c r="P254" s="32">
        <v>69</v>
      </c>
      <c r="Q254" s="8">
        <f>(Table1[[#This Row],[Linear Features (km)]]*0.4)*100</f>
        <v>636</v>
      </c>
      <c r="R254" s="25">
        <v>149.04</v>
      </c>
      <c r="S254" s="10">
        <f>Table1[[#This Row],[ATG (ha)]]/Table1[[#This Row],[Linear Area (ha)]]</f>
        <v>0.23433962264150943</v>
      </c>
      <c r="T254" s="11" t="s">
        <v>22</v>
      </c>
      <c r="U254" s="11" t="s">
        <v>22</v>
      </c>
      <c r="V254" s="25">
        <v>149.04</v>
      </c>
      <c r="W254" s="25">
        <v>59.616</v>
      </c>
      <c r="X254" s="13">
        <v>264.78988707065599</v>
      </c>
      <c r="Y254" s="12">
        <f>Table1[[#This Row],[Raw Terrestrial Score]]/Table1[[#This Row],[Summed Raw Scores]]</f>
        <v>0.4524514482217028</v>
      </c>
      <c r="Z254" s="13">
        <v>320.44392776489298</v>
      </c>
      <c r="AA254" s="12">
        <f>Table1[[#This Row],[Raw Freshwater Score]]/Table1[[#This Row],[Summed Raw Scores]]</f>
        <v>0.5475485517782972</v>
      </c>
      <c r="AB254" s="12">
        <f>Table1[[#This Row],[Raw Terrestrial Score]]+Table1[[#This Row],[Raw Freshwater Score]]</f>
        <v>585.23381483554897</v>
      </c>
      <c r="AC254" s="14">
        <f>Table1[[#This Row],[Terrestrial % of Summed Score]]*Table1[[#This Row],[Scaled Summed Score]]</f>
        <v>4.1295824825136204E-2</v>
      </c>
      <c r="AD254" s="14">
        <f>Table1[[#This Row],[Freshwater % of Summed Score]]*Table1[[#This Row],[Scaled Summed Score]]</f>
        <v>4.9975459613102804E-2</v>
      </c>
      <c r="AE254" s="21">
        <f>Table1[[#This Row],[Summed Raw Scores]]/MAX(Table1[Summed Raw Scores])</f>
        <v>9.1271284438239009E-2</v>
      </c>
    </row>
    <row r="255" spans="1:31" x14ac:dyDescent="0.3">
      <c r="A255" s="7" t="s">
        <v>81</v>
      </c>
      <c r="B255" s="7" t="s">
        <v>58</v>
      </c>
      <c r="C255" s="7" t="s">
        <v>25</v>
      </c>
      <c r="D255" s="7"/>
      <c r="E255" s="23">
        <v>49.968308450000002</v>
      </c>
      <c r="F255" s="23">
        <v>-120.9772438</v>
      </c>
      <c r="G255" s="23">
        <v>54.232615384600003</v>
      </c>
      <c r="H255" s="8" t="s">
        <v>22</v>
      </c>
      <c r="I255" s="8" t="s">
        <v>22</v>
      </c>
      <c r="J255" s="23">
        <v>98.156171299313655</v>
      </c>
      <c r="K255" s="23">
        <v>101.42689224013247</v>
      </c>
      <c r="L255" s="8" t="s">
        <v>22</v>
      </c>
      <c r="M255" s="23">
        <v>1.6</v>
      </c>
      <c r="N255" s="23">
        <v>23.6</v>
      </c>
      <c r="O255" s="8">
        <f>Table1[[#This Row],[R1 Length (km)]]+Table1[[#This Row],[T1 Length (km)]]</f>
        <v>25.200000000000003</v>
      </c>
      <c r="P255" s="13">
        <v>69</v>
      </c>
      <c r="Q255" s="8">
        <f>(Table1[[#This Row],[Linear Features (km)]]*0.4)*100</f>
        <v>1008.0000000000002</v>
      </c>
      <c r="R255" s="23">
        <v>374.21999999999997</v>
      </c>
      <c r="S255" s="21">
        <f>Table1[[#This Row],[ATG (ha)]]/Table1[[#This Row],[Linear Area (ha)]]</f>
        <v>0.37124999999999991</v>
      </c>
      <c r="T255" s="11" t="s">
        <v>22</v>
      </c>
      <c r="U255" s="11" t="s">
        <v>22</v>
      </c>
      <c r="V255" s="23">
        <v>374.21999999999997</v>
      </c>
      <c r="W255" s="23">
        <v>149.68799999999999</v>
      </c>
      <c r="X255" s="13">
        <v>438.26003682613401</v>
      </c>
      <c r="Y255" s="12">
        <f>Table1[[#This Row],[Raw Terrestrial Score]]/Table1[[#This Row],[Summed Raw Scores]]</f>
        <v>0.39991629579758714</v>
      </c>
      <c r="Z255" s="13">
        <v>657.61937952041603</v>
      </c>
      <c r="AA255" s="12">
        <f>Table1[[#This Row],[Raw Freshwater Score]]/Table1[[#This Row],[Summed Raw Scores]]</f>
        <v>0.60008370420241297</v>
      </c>
      <c r="AB255" s="12">
        <f>Table1[[#This Row],[Raw Terrestrial Score]]+Table1[[#This Row],[Raw Freshwater Score]]</f>
        <v>1095.87941634655</v>
      </c>
      <c r="AC255" s="14">
        <f>Table1[[#This Row],[Terrestrial % of Summed Score]]*Table1[[#This Row],[Scaled Summed Score]]</f>
        <v>6.8349701375870361E-2</v>
      </c>
      <c r="AD255" s="14">
        <f>Table1[[#This Row],[Freshwater % of Summed Score]]*Table1[[#This Row],[Scaled Summed Score]]</f>
        <v>0.10256031678069097</v>
      </c>
      <c r="AE255" s="21">
        <f>Table1[[#This Row],[Summed Raw Scores]]/MAX(Table1[Summed Raw Scores])</f>
        <v>0.17091001815656132</v>
      </c>
    </row>
    <row r="256" spans="1:31" x14ac:dyDescent="0.3">
      <c r="A256" s="7" t="s">
        <v>294</v>
      </c>
      <c r="B256" s="7" t="s">
        <v>58</v>
      </c>
      <c r="C256" s="7" t="s">
        <v>25</v>
      </c>
      <c r="D256" s="7"/>
      <c r="E256" s="25">
        <v>49.981065890000004</v>
      </c>
      <c r="F256" s="25">
        <v>-120.8954063</v>
      </c>
      <c r="G256" s="25">
        <v>37.085538460000002</v>
      </c>
      <c r="H256" s="7" t="s">
        <v>22</v>
      </c>
      <c r="I256" s="7" t="s">
        <v>22</v>
      </c>
      <c r="J256" s="25">
        <v>66.144052349999995</v>
      </c>
      <c r="K256" s="25">
        <v>126.900064</v>
      </c>
      <c r="L256" s="8" t="s">
        <v>22</v>
      </c>
      <c r="M256" s="25">
        <v>0.4</v>
      </c>
      <c r="N256" s="25">
        <v>19.3</v>
      </c>
      <c r="O256" s="8">
        <f>Table1[[#This Row],[R1 Length (km)]]+Table1[[#This Row],[T1 Length (km)]]</f>
        <v>19.7</v>
      </c>
      <c r="P256" s="32">
        <v>69</v>
      </c>
      <c r="Q256" s="8">
        <f>(Table1[[#This Row],[Linear Features (km)]]*0.4)*100</f>
        <v>788</v>
      </c>
      <c r="R256" s="25">
        <v>150.66</v>
      </c>
      <c r="S256" s="10">
        <f>Table1[[#This Row],[ATG (ha)]]/Table1[[#This Row],[Linear Area (ha)]]</f>
        <v>0.19119289340101522</v>
      </c>
      <c r="T256" s="11" t="s">
        <v>22</v>
      </c>
      <c r="U256" s="11" t="s">
        <v>22</v>
      </c>
      <c r="V256" s="25">
        <v>150.66</v>
      </c>
      <c r="W256" s="25">
        <v>60.264000000000003</v>
      </c>
      <c r="X256" s="13">
        <v>638.99348115920998</v>
      </c>
      <c r="Y256" s="12">
        <f>Table1[[#This Row],[Raw Terrestrial Score]]/Table1[[#This Row],[Summed Raw Scores]]</f>
        <v>0.4216370451136871</v>
      </c>
      <c r="Z256" s="13">
        <v>876.51254129409801</v>
      </c>
      <c r="AA256" s="12">
        <f>Table1[[#This Row],[Raw Freshwater Score]]/Table1[[#This Row],[Summed Raw Scores]]</f>
        <v>0.57836295488631284</v>
      </c>
      <c r="AB256" s="12">
        <f>Table1[[#This Row],[Raw Terrestrial Score]]+Table1[[#This Row],[Raw Freshwater Score]]</f>
        <v>1515.5060224533081</v>
      </c>
      <c r="AC256" s="14">
        <f>Table1[[#This Row],[Terrestrial % of Summed Score]]*Table1[[#This Row],[Scaled Summed Score]]</f>
        <v>9.9655478365431122E-2</v>
      </c>
      <c r="AD256" s="14">
        <f>Table1[[#This Row],[Freshwater % of Summed Score]]*Table1[[#This Row],[Scaled Summed Score]]</f>
        <v>0.13669822802808737</v>
      </c>
      <c r="AE256" s="21">
        <f>Table1[[#This Row],[Summed Raw Scores]]/MAX(Table1[Summed Raw Scores])</f>
        <v>0.23635370639351852</v>
      </c>
    </row>
    <row r="257" spans="1:31" x14ac:dyDescent="0.3">
      <c r="A257" s="7" t="s">
        <v>289</v>
      </c>
      <c r="B257" s="7" t="s">
        <v>58</v>
      </c>
      <c r="C257" s="7" t="s">
        <v>25</v>
      </c>
      <c r="D257" s="7"/>
      <c r="E257" s="25">
        <v>50.041177879999999</v>
      </c>
      <c r="F257" s="25">
        <v>-120.835489</v>
      </c>
      <c r="G257" s="25">
        <v>31.103999999999999</v>
      </c>
      <c r="H257" s="7" t="s">
        <v>22</v>
      </c>
      <c r="I257" s="7" t="s">
        <v>22</v>
      </c>
      <c r="J257" s="25">
        <v>56.131852899999998</v>
      </c>
      <c r="K257" s="25">
        <v>126.13844570000001</v>
      </c>
      <c r="L257" s="8" t="s">
        <v>22</v>
      </c>
      <c r="M257" s="25">
        <v>0.3</v>
      </c>
      <c r="N257" s="25">
        <v>10.6</v>
      </c>
      <c r="O257" s="8">
        <f>Table1[[#This Row],[R1 Length (km)]]+Table1[[#This Row],[T1 Length (km)]]</f>
        <v>10.9</v>
      </c>
      <c r="P257" s="32">
        <v>69</v>
      </c>
      <c r="Q257" s="8">
        <f>(Table1[[#This Row],[Linear Features (km)]]*0.4)*100</f>
        <v>436.00000000000006</v>
      </c>
      <c r="R257" s="25">
        <v>126.36</v>
      </c>
      <c r="S257" s="10">
        <f>Table1[[#This Row],[ATG (ha)]]/Table1[[#This Row],[Linear Area (ha)]]</f>
        <v>0.28981651376146783</v>
      </c>
      <c r="T257" s="11" t="s">
        <v>22</v>
      </c>
      <c r="U257" s="11" t="s">
        <v>22</v>
      </c>
      <c r="V257" s="25">
        <v>126.36</v>
      </c>
      <c r="W257" s="25">
        <v>50.543999999999997</v>
      </c>
      <c r="X257" s="13">
        <v>308.03270578384399</v>
      </c>
      <c r="Y257" s="12">
        <f>Table1[[#This Row],[Raw Terrestrial Score]]/Table1[[#This Row],[Summed Raw Scores]]</f>
        <v>0.50870592275719884</v>
      </c>
      <c r="Z257" s="13">
        <v>297.48944759368902</v>
      </c>
      <c r="AA257" s="12">
        <f>Table1[[#This Row],[Raw Freshwater Score]]/Table1[[#This Row],[Summed Raw Scores]]</f>
        <v>0.49129407724280127</v>
      </c>
      <c r="AB257" s="12">
        <f>Table1[[#This Row],[Raw Terrestrial Score]]+Table1[[#This Row],[Raw Freshwater Score]]</f>
        <v>605.52215337753296</v>
      </c>
      <c r="AC257" s="14">
        <f>Table1[[#This Row],[Terrestrial % of Summed Score]]*Table1[[#This Row],[Scaled Summed Score]]</f>
        <v>4.8039843209978936E-2</v>
      </c>
      <c r="AD257" s="14">
        <f>Table1[[#This Row],[Freshwater % of Summed Score]]*Table1[[#This Row],[Scaled Summed Score]]</f>
        <v>4.6395548754010377E-2</v>
      </c>
      <c r="AE257" s="21">
        <f>Table1[[#This Row],[Summed Raw Scores]]/MAX(Table1[Summed Raw Scores])</f>
        <v>9.4435391963989299E-2</v>
      </c>
    </row>
    <row r="258" spans="1:31" x14ac:dyDescent="0.3">
      <c r="A258" s="7" t="s">
        <v>82</v>
      </c>
      <c r="B258" s="7" t="s">
        <v>58</v>
      </c>
      <c r="C258" s="7" t="s">
        <v>25</v>
      </c>
      <c r="D258" s="7"/>
      <c r="E258" s="23">
        <v>50.031690019999999</v>
      </c>
      <c r="F258" s="23">
        <v>-120.5676775</v>
      </c>
      <c r="G258" s="23">
        <v>81.747692307700007</v>
      </c>
      <c r="H258" s="8" t="s">
        <v>22</v>
      </c>
      <c r="I258" s="8" t="s">
        <v>22</v>
      </c>
      <c r="J258" s="23">
        <v>146.55825003643776</v>
      </c>
      <c r="K258" s="23">
        <v>101.60956461488067</v>
      </c>
      <c r="L258" s="8" t="s">
        <v>22</v>
      </c>
      <c r="M258" s="23">
        <v>3.7</v>
      </c>
      <c r="N258" s="23">
        <v>22.1</v>
      </c>
      <c r="O258" s="8">
        <f>Table1[[#This Row],[R1 Length (km)]]+Table1[[#This Row],[T1 Length (km)]]</f>
        <v>25.8</v>
      </c>
      <c r="P258" s="13">
        <v>130</v>
      </c>
      <c r="Q258" s="8">
        <f>(Table1[[#This Row],[Linear Features (km)]]*0.4)*100</f>
        <v>1032</v>
      </c>
      <c r="R258" s="23">
        <v>1180.98</v>
      </c>
      <c r="S258" s="21">
        <f>Table1[[#This Row],[ATG (ha)]]/Table1[[#This Row],[Linear Area (ha)]]</f>
        <v>1.1443604651162791</v>
      </c>
      <c r="T258" s="11" t="s">
        <v>22</v>
      </c>
      <c r="U258" s="11" t="s">
        <v>22</v>
      </c>
      <c r="V258" s="23">
        <v>1180.98</v>
      </c>
      <c r="W258" s="23">
        <v>472.39200000000005</v>
      </c>
      <c r="X258" s="13">
        <v>892.49239373207104</v>
      </c>
      <c r="Y258" s="12">
        <f>Table1[[#This Row],[Raw Terrestrial Score]]/Table1[[#This Row],[Summed Raw Scores]]</f>
        <v>0.70067291201466886</v>
      </c>
      <c r="Z258" s="13">
        <v>381.27226653695101</v>
      </c>
      <c r="AA258" s="12">
        <f>Table1[[#This Row],[Raw Freshwater Score]]/Table1[[#This Row],[Summed Raw Scores]]</f>
        <v>0.29932708798533114</v>
      </c>
      <c r="AB258" s="12">
        <f>Table1[[#This Row],[Raw Terrestrial Score]]+Table1[[#This Row],[Raw Freshwater Score]]</f>
        <v>1273.764660269022</v>
      </c>
      <c r="AC258" s="14">
        <f>Table1[[#This Row],[Terrestrial % of Summed Score]]*Table1[[#This Row],[Scaled Summed Score]]</f>
        <v>0.13919039717514384</v>
      </c>
      <c r="AD258" s="14">
        <f>Table1[[#This Row],[Freshwater % of Summed Score]]*Table1[[#This Row],[Scaled Summed Score]]</f>
        <v>5.9462062179856653E-2</v>
      </c>
      <c r="AE258" s="21">
        <f>Table1[[#This Row],[Summed Raw Scores]]/MAX(Table1[Summed Raw Scores])</f>
        <v>0.1986524593550005</v>
      </c>
    </row>
    <row r="259" spans="1:31" x14ac:dyDescent="0.3">
      <c r="A259" s="7" t="s">
        <v>83</v>
      </c>
      <c r="B259" s="7" t="s">
        <v>58</v>
      </c>
      <c r="C259" s="7" t="s">
        <v>25</v>
      </c>
      <c r="D259" s="7"/>
      <c r="E259" s="23">
        <v>50.104214900000002</v>
      </c>
      <c r="F259" s="23">
        <v>-120.4252154</v>
      </c>
      <c r="G259" s="23">
        <v>87.928615384599993</v>
      </c>
      <c r="H259" s="8" t="s">
        <v>22</v>
      </c>
      <c r="I259" s="8" t="s">
        <v>22</v>
      </c>
      <c r="J259" s="23">
        <v>157.00427919694422</v>
      </c>
      <c r="K259" s="23">
        <v>97.074474887304504</v>
      </c>
      <c r="L259" s="8" t="s">
        <v>22</v>
      </c>
      <c r="M259" s="23">
        <v>2.4</v>
      </c>
      <c r="N259" s="23">
        <v>9.4</v>
      </c>
      <c r="O259" s="8">
        <f>Table1[[#This Row],[R1 Length (km)]]+Table1[[#This Row],[T1 Length (km)]]</f>
        <v>11.8</v>
      </c>
      <c r="P259" s="13">
        <v>130</v>
      </c>
      <c r="Q259" s="8">
        <f>(Table1[[#This Row],[Linear Features (km)]]*0.4)*100</f>
        <v>472.00000000000006</v>
      </c>
      <c r="R259" s="23">
        <v>877.2299999999999</v>
      </c>
      <c r="S259" s="21">
        <f>Table1[[#This Row],[ATG (ha)]]/Table1[[#This Row],[Linear Area (ha)]]</f>
        <v>1.85853813559322</v>
      </c>
      <c r="T259" s="11" t="s">
        <v>22</v>
      </c>
      <c r="U259" s="11" t="s">
        <v>22</v>
      </c>
      <c r="V259" s="23">
        <v>877.2299999999999</v>
      </c>
      <c r="W259" s="23">
        <v>350.892</v>
      </c>
      <c r="X259" s="13">
        <v>705.96900606155396</v>
      </c>
      <c r="Y259" s="12">
        <f>Table1[[#This Row],[Raw Terrestrial Score]]/Table1[[#This Row],[Summed Raw Scores]]</f>
        <v>0.68535648026105478</v>
      </c>
      <c r="Z259" s="13">
        <v>324.10662084817898</v>
      </c>
      <c r="AA259" s="12">
        <f>Table1[[#This Row],[Raw Freshwater Score]]/Table1[[#This Row],[Summed Raw Scores]]</f>
        <v>0.31464351973894533</v>
      </c>
      <c r="AB259" s="12">
        <f>Table1[[#This Row],[Raw Terrestrial Score]]+Table1[[#This Row],[Raw Freshwater Score]]</f>
        <v>1030.0756269097328</v>
      </c>
      <c r="AC259" s="14">
        <f>Table1[[#This Row],[Terrestrial % of Summed Score]]*Table1[[#This Row],[Scaled Summed Score]]</f>
        <v>0.11010077737037659</v>
      </c>
      <c r="AD259" s="14">
        <f>Table1[[#This Row],[Freshwater % of Summed Score]]*Table1[[#This Row],[Scaled Summed Score]]</f>
        <v>5.0546682077936812E-2</v>
      </c>
      <c r="AE259" s="21">
        <f>Table1[[#This Row],[Summed Raw Scores]]/MAX(Table1[Summed Raw Scores])</f>
        <v>0.16064745944831338</v>
      </c>
    </row>
    <row r="260" spans="1:31" x14ac:dyDescent="0.3">
      <c r="A260" s="7" t="s">
        <v>84</v>
      </c>
      <c r="B260" s="7" t="s">
        <v>58</v>
      </c>
      <c r="C260" s="7" t="s">
        <v>25</v>
      </c>
      <c r="D260" s="7"/>
      <c r="E260" s="23">
        <v>50.044244480000003</v>
      </c>
      <c r="F260" s="23">
        <v>-120.485651</v>
      </c>
      <c r="G260" s="23">
        <v>122.023384615</v>
      </c>
      <c r="H260" s="8" t="s">
        <v>22</v>
      </c>
      <c r="I260" s="8" t="s">
        <v>22</v>
      </c>
      <c r="J260" s="23">
        <v>217.64253245828661</v>
      </c>
      <c r="K260" s="23">
        <v>95.003592068529755</v>
      </c>
      <c r="L260" s="8" t="s">
        <v>22</v>
      </c>
      <c r="M260" s="23">
        <v>2.6</v>
      </c>
      <c r="N260" s="23">
        <v>18</v>
      </c>
      <c r="O260" s="8">
        <f>Table1[[#This Row],[R1 Length (km)]]+Table1[[#This Row],[T1 Length (km)]]</f>
        <v>20.6</v>
      </c>
      <c r="P260" s="13">
        <v>130</v>
      </c>
      <c r="Q260" s="8">
        <f>(Table1[[#This Row],[Linear Features (km)]]*0.4)*100</f>
        <v>824</v>
      </c>
      <c r="R260" s="23">
        <v>1018.17</v>
      </c>
      <c r="S260" s="21">
        <f>Table1[[#This Row],[ATG (ha)]]/Table1[[#This Row],[Linear Area (ha)]]</f>
        <v>1.235643203883495</v>
      </c>
      <c r="T260" s="11" t="s">
        <v>22</v>
      </c>
      <c r="U260" s="11" t="s">
        <v>22</v>
      </c>
      <c r="V260" s="23">
        <v>1018.17</v>
      </c>
      <c r="W260" s="23">
        <v>407.26800000000003</v>
      </c>
      <c r="X260" s="13">
        <v>847.24206542968795</v>
      </c>
      <c r="Y260" s="12">
        <f>Table1[[#This Row],[Raw Terrestrial Score]]/Table1[[#This Row],[Summed Raw Scores]]</f>
        <v>0.6940621751532402</v>
      </c>
      <c r="Z260" s="13">
        <v>373.458465099335</v>
      </c>
      <c r="AA260" s="12">
        <f>Table1[[#This Row],[Raw Freshwater Score]]/Table1[[#This Row],[Summed Raw Scores]]</f>
        <v>0.3059378248467598</v>
      </c>
      <c r="AB260" s="12">
        <f>Table1[[#This Row],[Raw Terrestrial Score]]+Table1[[#This Row],[Raw Freshwater Score]]</f>
        <v>1220.7005305290229</v>
      </c>
      <c r="AC260" s="14">
        <f>Table1[[#This Row],[Terrestrial % of Summed Score]]*Table1[[#This Row],[Scaled Summed Score]]</f>
        <v>0.13213329370518964</v>
      </c>
      <c r="AD260" s="14">
        <f>Table1[[#This Row],[Freshwater % of Summed Score]]*Table1[[#This Row],[Scaled Summed Score]]</f>
        <v>5.8243445491145719E-2</v>
      </c>
      <c r="AE260" s="21">
        <f>Table1[[#This Row],[Summed Raw Scores]]/MAX(Table1[Summed Raw Scores])</f>
        <v>0.19037673919633535</v>
      </c>
    </row>
    <row r="261" spans="1:31" x14ac:dyDescent="0.3">
      <c r="A261" s="7" t="s">
        <v>85</v>
      </c>
      <c r="B261" s="7" t="s">
        <v>58</v>
      </c>
      <c r="C261" s="7" t="s">
        <v>25</v>
      </c>
      <c r="D261" s="7" t="s">
        <v>250</v>
      </c>
      <c r="E261" s="23">
        <v>50.069231299999998</v>
      </c>
      <c r="F261" s="23">
        <v>-120.3214856</v>
      </c>
      <c r="G261" s="23">
        <v>177.45230769200001</v>
      </c>
      <c r="H261" s="8" t="s">
        <v>22</v>
      </c>
      <c r="I261" s="8" t="s">
        <v>22</v>
      </c>
      <c r="J261" s="23">
        <v>316.16702664000769</v>
      </c>
      <c r="K261" s="23">
        <v>93.790560276161614</v>
      </c>
      <c r="L261" s="8" t="s">
        <v>22</v>
      </c>
      <c r="M261" s="23">
        <v>1.6</v>
      </c>
      <c r="N261" s="23">
        <v>14.5</v>
      </c>
      <c r="O261" s="8">
        <f>Table1[[#This Row],[R1 Length (km)]]+Table1[[#This Row],[T1 Length (km)]]</f>
        <v>16.100000000000001</v>
      </c>
      <c r="P261" s="13">
        <v>230</v>
      </c>
      <c r="Q261" s="8">
        <f>(Table1[[#This Row],[Linear Features (km)]]*0.4)*100</f>
        <v>644.00000000000011</v>
      </c>
      <c r="R261" s="23">
        <v>2385.4500000000003</v>
      </c>
      <c r="S261" s="21">
        <f>Table1[[#This Row],[ATG (ha)]]/Table1[[#This Row],[Linear Area (ha)]]</f>
        <v>3.7041149068322978</v>
      </c>
      <c r="T261" s="11" t="s">
        <v>22</v>
      </c>
      <c r="U261" s="11" t="s">
        <v>22</v>
      </c>
      <c r="V261" s="23">
        <v>2385.4500000000003</v>
      </c>
      <c r="W261" s="23">
        <v>954.18000000000018</v>
      </c>
      <c r="X261" s="13">
        <v>1347.0408968925501</v>
      </c>
      <c r="Y261" s="12">
        <f>Table1[[#This Row],[Raw Terrestrial Score]]/Table1[[#This Row],[Summed Raw Scores]]</f>
        <v>0.71658930610509664</v>
      </c>
      <c r="Z261" s="13">
        <v>532.75396665930703</v>
      </c>
      <c r="AA261" s="12">
        <f>Table1[[#This Row],[Raw Freshwater Score]]/Table1[[#This Row],[Summed Raw Scores]]</f>
        <v>0.28341069389490336</v>
      </c>
      <c r="AB261" s="12">
        <f>Table1[[#This Row],[Raw Terrestrial Score]]+Table1[[#This Row],[Raw Freshwater Score]]</f>
        <v>1879.7948635518571</v>
      </c>
      <c r="AC261" s="14">
        <f>Table1[[#This Row],[Terrestrial % of Summed Score]]*Table1[[#This Row],[Scaled Summed Score]]</f>
        <v>0.21008039818199581</v>
      </c>
      <c r="AD261" s="14">
        <f>Table1[[#This Row],[Freshwater % of Summed Score]]*Table1[[#This Row],[Scaled Summed Score]]</f>
        <v>8.3086687053832334E-2</v>
      </c>
      <c r="AE261" s="21">
        <f>Table1[[#This Row],[Summed Raw Scores]]/MAX(Table1[Summed Raw Scores])</f>
        <v>0.29316708523582813</v>
      </c>
    </row>
    <row r="262" spans="1:31" x14ac:dyDescent="0.3">
      <c r="A262" s="7" t="s">
        <v>86</v>
      </c>
      <c r="B262" s="7" t="s">
        <v>58</v>
      </c>
      <c r="C262" s="7" t="s">
        <v>87</v>
      </c>
      <c r="D262" s="7"/>
      <c r="E262" s="23">
        <v>50.239561190000003</v>
      </c>
      <c r="F262" s="23">
        <v>-119.16819150000001</v>
      </c>
      <c r="G262" s="23">
        <v>110.259692308</v>
      </c>
      <c r="H262" s="8" t="s">
        <v>22</v>
      </c>
      <c r="I262" s="8" t="s">
        <v>22</v>
      </c>
      <c r="J262" s="23">
        <v>183.89581588506243</v>
      </c>
      <c r="K262" s="23">
        <v>99.61543341729832</v>
      </c>
      <c r="L262" s="8" t="s">
        <v>22</v>
      </c>
      <c r="M262" s="23">
        <v>2</v>
      </c>
      <c r="N262" s="23">
        <v>4.9000000000000004</v>
      </c>
      <c r="O262" s="8">
        <f>Table1[[#This Row],[R1 Length (km)]]+Table1[[#This Row],[T1 Length (km)]]</f>
        <v>6.9</v>
      </c>
      <c r="P262" s="13">
        <v>130</v>
      </c>
      <c r="Q262" s="8">
        <f>(Table1[[#This Row],[Linear Features (km)]]*0.4)*100</f>
        <v>276</v>
      </c>
      <c r="R262" s="23">
        <v>567</v>
      </c>
      <c r="S262" s="21">
        <f>Table1[[#This Row],[ATG (ha)]]/Table1[[#This Row],[Linear Area (ha)]]</f>
        <v>2.0543478260869565</v>
      </c>
      <c r="T262" s="11" t="s">
        <v>22</v>
      </c>
      <c r="U262" s="11" t="s">
        <v>22</v>
      </c>
      <c r="V262" s="23">
        <v>567</v>
      </c>
      <c r="W262" s="23">
        <v>226.8</v>
      </c>
      <c r="X262" s="13">
        <v>316.082641124725</v>
      </c>
      <c r="Y262" s="12">
        <f>Table1[[#This Row],[Raw Terrestrial Score]]/Table1[[#This Row],[Summed Raw Scores]]</f>
        <v>0.99842103305643015</v>
      </c>
      <c r="Z262" s="13">
        <v>0.49987332522869099</v>
      </c>
      <c r="AA262" s="12">
        <f>Table1[[#This Row],[Raw Freshwater Score]]/Table1[[#This Row],[Summed Raw Scores]]</f>
        <v>1.5789669435698176E-3</v>
      </c>
      <c r="AB262" s="12">
        <f>Table1[[#This Row],[Raw Terrestrial Score]]+Table1[[#This Row],[Raw Freshwater Score]]</f>
        <v>316.58251444995369</v>
      </c>
      <c r="AC262" s="14">
        <f>Table1[[#This Row],[Terrestrial % of Summed Score]]*Table1[[#This Row],[Scaled Summed Score]]</f>
        <v>4.9295286623503222E-2</v>
      </c>
      <c r="AD262" s="14">
        <f>Table1[[#This Row],[Freshwater % of Summed Score]]*Table1[[#This Row],[Scaled Summed Score]]</f>
        <v>7.7958722297782134E-5</v>
      </c>
      <c r="AE262" s="21">
        <f>Table1[[#This Row],[Summed Raw Scores]]/MAX(Table1[Summed Raw Scores])</f>
        <v>4.9373245345801009E-2</v>
      </c>
    </row>
    <row r="263" spans="1:31" x14ac:dyDescent="0.3">
      <c r="A263" s="7" t="s">
        <v>291</v>
      </c>
      <c r="B263" s="7" t="s">
        <v>58</v>
      </c>
      <c r="C263" s="7" t="s">
        <v>87</v>
      </c>
      <c r="D263" s="7"/>
      <c r="E263" s="25">
        <v>50.251419759999997</v>
      </c>
      <c r="F263" s="25">
        <v>-119.0855406</v>
      </c>
      <c r="G263" s="25">
        <v>56.226461540000003</v>
      </c>
      <c r="H263" s="7" t="s">
        <v>22</v>
      </c>
      <c r="I263" s="7" t="s">
        <v>22</v>
      </c>
      <c r="J263" s="25">
        <v>93.936269280000005</v>
      </c>
      <c r="K263" s="25">
        <v>126.49713850000001</v>
      </c>
      <c r="L263" s="8" t="s">
        <v>22</v>
      </c>
      <c r="M263" s="25">
        <v>0.3</v>
      </c>
      <c r="N263" s="25">
        <v>6.3</v>
      </c>
      <c r="O263" s="8">
        <f>Table1[[#This Row],[R1 Length (km)]]+Table1[[#This Row],[T1 Length (km)]]</f>
        <v>6.6</v>
      </c>
      <c r="P263" s="32">
        <v>130</v>
      </c>
      <c r="Q263" s="8">
        <f>(Table1[[#This Row],[Linear Features (km)]]*0.4)*100</f>
        <v>264</v>
      </c>
      <c r="R263" s="25">
        <v>228.42</v>
      </c>
      <c r="S263" s="10">
        <f>Table1[[#This Row],[ATG (ha)]]/Table1[[#This Row],[Linear Area (ha)]]</f>
        <v>0.86522727272727273</v>
      </c>
      <c r="T263" s="11" t="s">
        <v>22</v>
      </c>
      <c r="U263" s="11" t="s">
        <v>22</v>
      </c>
      <c r="V263" s="25">
        <v>228.42</v>
      </c>
      <c r="W263" s="25">
        <v>91.367999999999995</v>
      </c>
      <c r="X263" s="13">
        <v>136.231151580811</v>
      </c>
      <c r="Y263" s="12">
        <f>Table1[[#This Row],[Raw Terrestrial Score]]/Table1[[#This Row],[Summed Raw Scores]]</f>
        <v>0.89604555680045761</v>
      </c>
      <c r="Z263" s="13">
        <v>15.804814165458099</v>
      </c>
      <c r="AA263" s="12">
        <f>Table1[[#This Row],[Raw Freshwater Score]]/Table1[[#This Row],[Summed Raw Scores]]</f>
        <v>0.10395444319954235</v>
      </c>
      <c r="AB263" s="12">
        <f>Table1[[#This Row],[Raw Terrestrial Score]]+Table1[[#This Row],[Raw Freshwater Score]]</f>
        <v>152.03596574626911</v>
      </c>
      <c r="AC263" s="14">
        <f>Table1[[#This Row],[Terrestrial % of Summed Score]]*Table1[[#This Row],[Scaled Summed Score]]</f>
        <v>2.1246195742764821E-2</v>
      </c>
      <c r="AD263" s="14">
        <f>Table1[[#This Row],[Freshwater % of Summed Score]]*Table1[[#This Row],[Scaled Summed Score]]</f>
        <v>2.4648707108532097E-3</v>
      </c>
      <c r="AE263" s="21">
        <f>Table1[[#This Row],[Summed Raw Scores]]/MAX(Table1[Summed Raw Scores])</f>
        <v>2.3711066453618031E-2</v>
      </c>
    </row>
    <row r="264" spans="1:31" x14ac:dyDescent="0.3">
      <c r="A264" s="7" t="s">
        <v>357</v>
      </c>
      <c r="B264" s="7" t="s">
        <v>58</v>
      </c>
      <c r="C264" s="7" t="s">
        <v>21</v>
      </c>
      <c r="D264" s="7"/>
      <c r="E264" s="25">
        <v>49.276818929999997</v>
      </c>
      <c r="F264" s="25">
        <v>-124.7540298</v>
      </c>
      <c r="G264" s="25">
        <v>44.861538459999998</v>
      </c>
      <c r="H264" s="7" t="s">
        <v>22</v>
      </c>
      <c r="I264" s="7" t="s">
        <v>22</v>
      </c>
      <c r="J264" s="15">
        <v>69.180113860000006</v>
      </c>
      <c r="K264" s="15">
        <v>142.17640979999999</v>
      </c>
      <c r="L264" s="8" t="s">
        <v>22</v>
      </c>
      <c r="M264" s="25">
        <v>0.8</v>
      </c>
      <c r="N264" s="25">
        <v>5.4</v>
      </c>
      <c r="O264" s="8">
        <f>Table1[[#This Row],[R1 Length (km)]]+Table1[[#This Row],[T1 Length (km)]]</f>
        <v>6.2</v>
      </c>
      <c r="P264" s="32">
        <v>130</v>
      </c>
      <c r="Q264" s="8">
        <f>(Table1[[#This Row],[Linear Features (km)]]*0.4)*100</f>
        <v>248.00000000000006</v>
      </c>
      <c r="R264" s="25">
        <v>182.25</v>
      </c>
      <c r="S264" s="10">
        <f>Table1[[#This Row],[ATG (ha)]]/Table1[[#This Row],[Linear Area (ha)]]</f>
        <v>0.73487903225806439</v>
      </c>
      <c r="T264" s="11" t="s">
        <v>22</v>
      </c>
      <c r="U264" s="11" t="s">
        <v>22</v>
      </c>
      <c r="V264" s="25">
        <v>182.25</v>
      </c>
      <c r="W264" s="25">
        <v>72.900000000000006</v>
      </c>
      <c r="X264" s="13">
        <v>42.794698548503199</v>
      </c>
      <c r="Y264" s="12">
        <f>Table1[[#This Row],[Raw Terrestrial Score]]/Table1[[#This Row],[Summed Raw Scores]]</f>
        <v>0.69103510463226625</v>
      </c>
      <c r="Z264" s="13">
        <v>19.133701704442501</v>
      </c>
      <c r="AA264" s="12">
        <f>Table1[[#This Row],[Raw Freshwater Score]]/Table1[[#This Row],[Summed Raw Scores]]</f>
        <v>0.30896489536773369</v>
      </c>
      <c r="AB264" s="12">
        <f>Table1[[#This Row],[Raw Terrestrial Score]]+Table1[[#This Row],[Raw Freshwater Score]]</f>
        <v>61.9284002529457</v>
      </c>
      <c r="AC264" s="14">
        <f>Table1[[#This Row],[Terrestrial % of Summed Score]]*Table1[[#This Row],[Scaled Summed Score]]</f>
        <v>6.6741309279380878E-3</v>
      </c>
      <c r="AD264" s="14">
        <f>Table1[[#This Row],[Freshwater % of Summed Score]]*Table1[[#This Row],[Scaled Summed Score]]</f>
        <v>2.9840338790288758E-3</v>
      </c>
      <c r="AE264" s="21">
        <f>Table1[[#This Row],[Summed Raw Scores]]/MAX(Table1[Summed Raw Scores])</f>
        <v>9.6581648069669641E-3</v>
      </c>
    </row>
    <row r="265" spans="1:31" x14ac:dyDescent="0.3">
      <c r="A265" s="7" t="s">
        <v>372</v>
      </c>
      <c r="B265" s="7" t="s">
        <v>58</v>
      </c>
      <c r="C265" s="7" t="s">
        <v>21</v>
      </c>
      <c r="D265" s="7"/>
      <c r="E265" s="25">
        <v>49.27374726</v>
      </c>
      <c r="F265" s="25">
        <v>-124.48944539999999</v>
      </c>
      <c r="G265" s="25">
        <v>36.48738462</v>
      </c>
      <c r="H265" s="7" t="s">
        <v>22</v>
      </c>
      <c r="I265" s="7" t="s">
        <v>22</v>
      </c>
      <c r="J265" s="25">
        <v>56.940122199999998</v>
      </c>
      <c r="K265" s="25">
        <v>150.5391908</v>
      </c>
      <c r="L265" s="8" t="s">
        <v>22</v>
      </c>
      <c r="M265" s="25">
        <v>1.1000000000000001</v>
      </c>
      <c r="N265" s="25">
        <v>8.1</v>
      </c>
      <c r="O265" s="8">
        <f>Table1[[#This Row],[R1 Length (km)]]+Table1[[#This Row],[T1 Length (km)]]</f>
        <v>9.1999999999999993</v>
      </c>
      <c r="P265" s="32">
        <v>130</v>
      </c>
      <c r="Q265" s="8">
        <f>(Table1[[#This Row],[Linear Features (km)]]*0.4)*100</f>
        <v>368</v>
      </c>
      <c r="R265" s="25">
        <v>148.22999999999999</v>
      </c>
      <c r="S265" s="10">
        <f>Table1[[#This Row],[ATG (ha)]]/Table1[[#This Row],[Linear Area (ha)]]</f>
        <v>0.40279891304347826</v>
      </c>
      <c r="T265" s="11" t="s">
        <v>22</v>
      </c>
      <c r="U265" s="11" t="s">
        <v>22</v>
      </c>
      <c r="V265" s="25">
        <v>148.22999999999999</v>
      </c>
      <c r="W265" s="25">
        <v>59.292000000000002</v>
      </c>
      <c r="X265" s="13">
        <v>132.62649894785099</v>
      </c>
      <c r="Y265" s="12">
        <f>Table1[[#This Row],[Raw Terrestrial Score]]/Table1[[#This Row],[Summed Raw Scores]]</f>
        <v>0.66221744903132007</v>
      </c>
      <c r="Z265" s="13">
        <v>67.649859130382495</v>
      </c>
      <c r="AA265" s="12">
        <f>Table1[[#This Row],[Raw Freshwater Score]]/Table1[[#This Row],[Summed Raw Scores]]</f>
        <v>0.33778255096867993</v>
      </c>
      <c r="AB265" s="12">
        <f>Table1[[#This Row],[Raw Terrestrial Score]]+Table1[[#This Row],[Raw Freshwater Score]]</f>
        <v>200.2763580782335</v>
      </c>
      <c r="AC265" s="14">
        <f>Table1[[#This Row],[Terrestrial % of Summed Score]]*Table1[[#This Row],[Scaled Summed Score]]</f>
        <v>2.0684025089901248E-2</v>
      </c>
      <c r="AD265" s="14">
        <f>Table1[[#This Row],[Freshwater % of Summed Score]]*Table1[[#This Row],[Scaled Summed Score]]</f>
        <v>1.0550466118624702E-2</v>
      </c>
      <c r="AE265" s="21">
        <f>Table1[[#This Row],[Summed Raw Scores]]/MAX(Table1[Summed Raw Scores])</f>
        <v>3.123449120852595E-2</v>
      </c>
    </row>
    <row r="266" spans="1:31" x14ac:dyDescent="0.3">
      <c r="A266" s="7" t="s">
        <v>319</v>
      </c>
      <c r="B266" s="7" t="s">
        <v>58</v>
      </c>
      <c r="C266" s="7" t="s">
        <v>21</v>
      </c>
      <c r="D266" s="7"/>
      <c r="E266" s="25">
        <v>49.288229350000002</v>
      </c>
      <c r="F266" s="25">
        <v>-124.40949209999999</v>
      </c>
      <c r="G266" s="25">
        <v>61.809230769999999</v>
      </c>
      <c r="H266" s="7" t="s">
        <v>22</v>
      </c>
      <c r="I266" s="7" t="s">
        <v>22</v>
      </c>
      <c r="J266" s="25">
        <v>97.093653329999995</v>
      </c>
      <c r="K266" s="25">
        <v>131.54773660000001</v>
      </c>
      <c r="L266" s="8" t="s">
        <v>22</v>
      </c>
      <c r="M266" s="25">
        <v>0</v>
      </c>
      <c r="N266" s="25">
        <v>5.7</v>
      </c>
      <c r="O266" s="8">
        <f>Table1[[#This Row],[R1 Length (km)]]+Table1[[#This Row],[T1 Length (km)]]</f>
        <v>5.7</v>
      </c>
      <c r="P266" s="32">
        <v>130</v>
      </c>
      <c r="Q266" s="8">
        <f>(Table1[[#This Row],[Linear Features (km)]]*0.4)*100</f>
        <v>228.00000000000003</v>
      </c>
      <c r="R266" s="25">
        <v>251.1</v>
      </c>
      <c r="S266" s="10">
        <f>Table1[[#This Row],[ATG (ha)]]/Table1[[#This Row],[Linear Area (ha)]]</f>
        <v>1.101315789473684</v>
      </c>
      <c r="T266" s="11" t="s">
        <v>22</v>
      </c>
      <c r="U266" s="11" t="s">
        <v>22</v>
      </c>
      <c r="V266" s="25">
        <v>251.1</v>
      </c>
      <c r="W266" s="25">
        <v>100.44</v>
      </c>
      <c r="X266" s="13">
        <v>213.76075839996301</v>
      </c>
      <c r="Y266" s="12">
        <f>Table1[[#This Row],[Raw Terrestrial Score]]/Table1[[#This Row],[Summed Raw Scores]]</f>
        <v>0.69614793309672629</v>
      </c>
      <c r="Z266" s="13">
        <v>93.301502704620404</v>
      </c>
      <c r="AA266" s="12">
        <f>Table1[[#This Row],[Raw Freshwater Score]]/Table1[[#This Row],[Summed Raw Scores]]</f>
        <v>0.30385206690327382</v>
      </c>
      <c r="AB266" s="12">
        <f>Table1[[#This Row],[Raw Terrestrial Score]]+Table1[[#This Row],[Raw Freshwater Score]]</f>
        <v>307.0622611045834</v>
      </c>
      <c r="AC266" s="14">
        <f>Table1[[#This Row],[Terrestrial % of Summed Score]]*Table1[[#This Row],[Scaled Summed Score]]</f>
        <v>3.3337477239142613E-2</v>
      </c>
      <c r="AD266" s="14">
        <f>Table1[[#This Row],[Freshwater % of Summed Score]]*Table1[[#This Row],[Scaled Summed Score]]</f>
        <v>1.4551018372479838E-2</v>
      </c>
      <c r="AE266" s="21">
        <f>Table1[[#This Row],[Summed Raw Scores]]/MAX(Table1[Summed Raw Scores])</f>
        <v>4.7888495611622443E-2</v>
      </c>
    </row>
    <row r="267" spans="1:31" x14ac:dyDescent="0.3">
      <c r="A267" s="7" t="s">
        <v>88</v>
      </c>
      <c r="B267" s="7" t="s">
        <v>58</v>
      </c>
      <c r="C267" s="7" t="s">
        <v>25</v>
      </c>
      <c r="D267" s="7"/>
      <c r="E267" s="23">
        <v>49.898999539999998</v>
      </c>
      <c r="F267" s="23">
        <v>-120.7697282</v>
      </c>
      <c r="G267" s="23">
        <v>49.447384615399997</v>
      </c>
      <c r="H267" s="8" t="s">
        <v>22</v>
      </c>
      <c r="I267" s="8" t="s">
        <v>22</v>
      </c>
      <c r="J267" s="23">
        <v>89.402938088887296</v>
      </c>
      <c r="K267" s="23">
        <v>104.10619883880203</v>
      </c>
      <c r="L267" s="8" t="s">
        <v>22</v>
      </c>
      <c r="M267" s="23">
        <v>0</v>
      </c>
      <c r="N267" s="23">
        <v>25.5</v>
      </c>
      <c r="O267" s="8">
        <f>Table1[[#This Row],[R1 Length (km)]]+Table1[[#This Row],[T1 Length (km)]]</f>
        <v>25.5</v>
      </c>
      <c r="P267" s="13">
        <v>69</v>
      </c>
      <c r="Q267" s="8">
        <f>(Table1[[#This Row],[Linear Features (km)]]*0.4)*100</f>
        <v>1020.0000000000001</v>
      </c>
      <c r="R267" s="23">
        <v>624.51</v>
      </c>
      <c r="S267" s="21">
        <f>Table1[[#This Row],[ATG (ha)]]/Table1[[#This Row],[Linear Area (ha)]]</f>
        <v>0.61226470588235282</v>
      </c>
      <c r="T267" s="11" t="s">
        <v>22</v>
      </c>
      <c r="U267" s="11" t="s">
        <v>22</v>
      </c>
      <c r="V267" s="23">
        <v>624.51</v>
      </c>
      <c r="W267" s="23">
        <v>249.804</v>
      </c>
      <c r="X267" s="13">
        <v>545.07218509912502</v>
      </c>
      <c r="Y267" s="12">
        <f>Table1[[#This Row],[Raw Terrestrial Score]]/Table1[[#This Row],[Summed Raw Scores]]</f>
        <v>0.50859209039805797</v>
      </c>
      <c r="Z267" s="13">
        <v>526.65542409848399</v>
      </c>
      <c r="AA267" s="12">
        <f>Table1[[#This Row],[Raw Freshwater Score]]/Table1[[#This Row],[Summed Raw Scores]]</f>
        <v>0.49140790960194186</v>
      </c>
      <c r="AB267" s="12">
        <f>Table1[[#This Row],[Raw Terrestrial Score]]+Table1[[#This Row],[Raw Freshwater Score]]</f>
        <v>1071.7276091976091</v>
      </c>
      <c r="AC267" s="14">
        <f>Table1[[#This Row],[Terrestrial % of Summed Score]]*Table1[[#This Row],[Scaled Summed Score]]</f>
        <v>8.5007798907748205E-2</v>
      </c>
      <c r="AD267" s="14">
        <f>Table1[[#This Row],[Freshwater % of Summed Score]]*Table1[[#This Row],[Scaled Summed Score]]</f>
        <v>8.2135576918673792E-2</v>
      </c>
      <c r="AE267" s="21">
        <f>Table1[[#This Row],[Summed Raw Scores]]/MAX(Table1[Summed Raw Scores])</f>
        <v>0.16714337582642202</v>
      </c>
    </row>
    <row r="268" spans="1:31" x14ac:dyDescent="0.3">
      <c r="A268" s="7" t="s">
        <v>407</v>
      </c>
      <c r="B268" s="7" t="s">
        <v>58</v>
      </c>
      <c r="C268" s="7" t="s">
        <v>25</v>
      </c>
      <c r="D268" s="7"/>
      <c r="E268" s="25">
        <v>49.924262390000003</v>
      </c>
      <c r="F268" s="25">
        <v>-120.60612639999999</v>
      </c>
      <c r="G268" s="25">
        <v>13.159384620000001</v>
      </c>
      <c r="H268" s="7" t="s">
        <v>22</v>
      </c>
      <c r="I268" s="7" t="s">
        <v>22</v>
      </c>
      <c r="J268" s="25">
        <v>23.71219782</v>
      </c>
      <c r="K268" s="25">
        <v>195.42382480000001</v>
      </c>
      <c r="L268" s="8" t="s">
        <v>22</v>
      </c>
      <c r="M268" s="25">
        <v>1.6</v>
      </c>
      <c r="N268" s="25">
        <v>26.3</v>
      </c>
      <c r="O268" s="8">
        <f>Table1[[#This Row],[R1 Length (km)]]+Table1[[#This Row],[T1 Length (km)]]</f>
        <v>27.900000000000002</v>
      </c>
      <c r="P268" s="32">
        <v>69</v>
      </c>
      <c r="Q268" s="8">
        <f>(Table1[[#This Row],[Linear Features (km)]]*0.4)*100</f>
        <v>1116.0000000000002</v>
      </c>
      <c r="R268" s="25">
        <v>53.46</v>
      </c>
      <c r="S268" s="10">
        <f>Table1[[#This Row],[ATG (ha)]]/Table1[[#This Row],[Linear Area (ha)]]</f>
        <v>4.7903225806451601E-2</v>
      </c>
      <c r="T268" s="11" t="s">
        <v>22</v>
      </c>
      <c r="U268" s="11" t="s">
        <v>22</v>
      </c>
      <c r="V268" s="25">
        <v>53.46</v>
      </c>
      <c r="W268" s="25">
        <v>21.384</v>
      </c>
      <c r="X268" s="13">
        <v>499.53009802103003</v>
      </c>
      <c r="Y268" s="12">
        <f>Table1[[#This Row],[Raw Terrestrial Score]]/Table1[[#This Row],[Summed Raw Scores]]</f>
        <v>0.64362289535204165</v>
      </c>
      <c r="Z268" s="13">
        <v>276.59222706779798</v>
      </c>
      <c r="AA268" s="12">
        <f>Table1[[#This Row],[Raw Freshwater Score]]/Table1[[#This Row],[Summed Raw Scores]]</f>
        <v>0.3563771046479583</v>
      </c>
      <c r="AB268" s="12">
        <f>Table1[[#This Row],[Raw Terrestrial Score]]+Table1[[#This Row],[Raw Freshwater Score]]</f>
        <v>776.12232508882801</v>
      </c>
      <c r="AC268" s="14">
        <f>Table1[[#This Row],[Terrestrial % of Summed Score]]*Table1[[#This Row],[Scaled Summed Score]]</f>
        <v>7.7905193627183747E-2</v>
      </c>
      <c r="AD268" s="14">
        <f>Table1[[#This Row],[Freshwater % of Summed Score]]*Table1[[#This Row],[Scaled Summed Score]]</f>
        <v>4.3136481847353296E-2</v>
      </c>
      <c r="AE268" s="21">
        <f>Table1[[#This Row],[Summed Raw Scores]]/MAX(Table1[Summed Raw Scores])</f>
        <v>0.12104167547453705</v>
      </c>
    </row>
    <row r="269" spans="1:31" x14ac:dyDescent="0.3">
      <c r="A269" s="7" t="s">
        <v>313</v>
      </c>
      <c r="B269" s="7" t="s">
        <v>58</v>
      </c>
      <c r="C269" s="7" t="s">
        <v>25</v>
      </c>
      <c r="D269" s="7"/>
      <c r="E269" s="25">
        <v>50.021764939999997</v>
      </c>
      <c r="F269" s="25">
        <v>-120.29996079999999</v>
      </c>
      <c r="G269" s="25">
        <v>49.048615380000001</v>
      </c>
      <c r="H269" s="7" t="s">
        <v>22</v>
      </c>
      <c r="I269" s="7" t="s">
        <v>22</v>
      </c>
      <c r="J269" s="25">
        <v>87.627957319999993</v>
      </c>
      <c r="K269" s="25">
        <v>130.91850149999999</v>
      </c>
      <c r="L269" s="8" t="s">
        <v>22</v>
      </c>
      <c r="M269" s="25">
        <v>1.6</v>
      </c>
      <c r="N269" s="25">
        <v>20.3</v>
      </c>
      <c r="O269" s="8">
        <f>Table1[[#This Row],[R1 Length (km)]]+Table1[[#This Row],[T1 Length (km)]]</f>
        <v>21.900000000000002</v>
      </c>
      <c r="P269" s="32">
        <v>130</v>
      </c>
      <c r="Q269" s="8">
        <f>(Table1[[#This Row],[Linear Features (km)]]*0.4)*100</f>
        <v>876.00000000000011</v>
      </c>
      <c r="R269" s="25">
        <v>199.26</v>
      </c>
      <c r="S269" s="10">
        <f>Table1[[#This Row],[ATG (ha)]]/Table1[[#This Row],[Linear Area (ha)]]</f>
        <v>0.2274657534246575</v>
      </c>
      <c r="T269" s="11" t="s">
        <v>22</v>
      </c>
      <c r="U269" s="11" t="s">
        <v>22</v>
      </c>
      <c r="V269" s="25">
        <v>199.26</v>
      </c>
      <c r="W269" s="25">
        <v>79.703999999999994</v>
      </c>
      <c r="X269" s="13">
        <v>341.53517007827799</v>
      </c>
      <c r="Y269" s="12">
        <f>Table1[[#This Row],[Raw Terrestrial Score]]/Table1[[#This Row],[Summed Raw Scores]]</f>
        <v>0.74737792886758236</v>
      </c>
      <c r="Z269" s="13">
        <v>115.44269464910001</v>
      </c>
      <c r="AA269" s="12">
        <f>Table1[[#This Row],[Raw Freshwater Score]]/Table1[[#This Row],[Summed Raw Scores]]</f>
        <v>0.25262207113241764</v>
      </c>
      <c r="AB269" s="12">
        <f>Table1[[#This Row],[Raw Terrestrial Score]]+Table1[[#This Row],[Raw Freshwater Score]]</f>
        <v>456.97786472737801</v>
      </c>
      <c r="AC269" s="14">
        <f>Table1[[#This Row],[Terrestrial % of Summed Score]]*Table1[[#This Row],[Scaled Summed Score]]</f>
        <v>5.3264785567177626E-2</v>
      </c>
      <c r="AD269" s="14">
        <f>Table1[[#This Row],[Freshwater % of Summed Score]]*Table1[[#This Row],[Scaled Summed Score]]</f>
        <v>1.8004091275203523E-2</v>
      </c>
      <c r="AE269" s="21">
        <f>Table1[[#This Row],[Summed Raw Scores]]/MAX(Table1[Summed Raw Scores])</f>
        <v>7.1268876842381146E-2</v>
      </c>
    </row>
    <row r="270" spans="1:31" x14ac:dyDescent="0.3">
      <c r="A270" s="7" t="s">
        <v>388</v>
      </c>
      <c r="B270" s="7" t="s">
        <v>58</v>
      </c>
      <c r="C270" s="7" t="s">
        <v>25</v>
      </c>
      <c r="D270" s="7"/>
      <c r="E270" s="25">
        <v>50.034185090000001</v>
      </c>
      <c r="F270" s="25">
        <v>-120.2178883</v>
      </c>
      <c r="G270" s="25">
        <v>27.515076919999998</v>
      </c>
      <c r="H270" s="7" t="s">
        <v>22</v>
      </c>
      <c r="I270" s="7" t="s">
        <v>22</v>
      </c>
      <c r="J270" s="25">
        <v>49.771975840000003</v>
      </c>
      <c r="K270" s="25">
        <v>158.0093747</v>
      </c>
      <c r="L270" s="8" t="s">
        <v>22</v>
      </c>
      <c r="M270" s="25">
        <v>0.7</v>
      </c>
      <c r="N270" s="25">
        <v>21.2</v>
      </c>
      <c r="O270" s="8">
        <f>Table1[[#This Row],[R1 Length (km)]]+Table1[[#This Row],[T1 Length (km)]]</f>
        <v>21.9</v>
      </c>
      <c r="P270" s="32">
        <v>130</v>
      </c>
      <c r="Q270" s="8">
        <f>(Table1[[#This Row],[Linear Features (km)]]*0.4)*100</f>
        <v>876</v>
      </c>
      <c r="R270" s="25">
        <v>111.78</v>
      </c>
      <c r="S270" s="10">
        <f>Table1[[#This Row],[ATG (ha)]]/Table1[[#This Row],[Linear Area (ha)]]</f>
        <v>0.1276027397260274</v>
      </c>
      <c r="T270" s="11" t="s">
        <v>22</v>
      </c>
      <c r="U270" s="11" t="s">
        <v>22</v>
      </c>
      <c r="V270" s="25">
        <v>111.78</v>
      </c>
      <c r="W270" s="25">
        <v>44.712000000000003</v>
      </c>
      <c r="X270" s="13">
        <v>288.10053128004103</v>
      </c>
      <c r="Y270" s="12">
        <f>Table1[[#This Row],[Raw Terrestrial Score]]/Table1[[#This Row],[Summed Raw Scores]]</f>
        <v>0.6995377427194015</v>
      </c>
      <c r="Z270" s="13">
        <v>123.743624776602</v>
      </c>
      <c r="AA270" s="12">
        <f>Table1[[#This Row],[Raw Freshwater Score]]/Table1[[#This Row],[Summed Raw Scores]]</f>
        <v>0.30046225728059839</v>
      </c>
      <c r="AB270" s="12">
        <f>Table1[[#This Row],[Raw Terrestrial Score]]+Table1[[#This Row],[Raw Freshwater Score]]</f>
        <v>411.84415605664304</v>
      </c>
      <c r="AC270" s="14">
        <f>Table1[[#This Row],[Terrestrial % of Summed Score]]*Table1[[#This Row],[Scaled Summed Score]]</f>
        <v>4.4931281943538064E-2</v>
      </c>
      <c r="AD270" s="14">
        <f>Table1[[#This Row],[Freshwater % of Summed Score]]*Table1[[#This Row],[Scaled Summed Score]]</f>
        <v>1.9298679071676077E-2</v>
      </c>
      <c r="AE270" s="21">
        <f>Table1[[#This Row],[Summed Raw Scores]]/MAX(Table1[Summed Raw Scores])</f>
        <v>6.4229961015214151E-2</v>
      </c>
    </row>
    <row r="271" spans="1:31" x14ac:dyDescent="0.3">
      <c r="A271" s="7" t="s">
        <v>309</v>
      </c>
      <c r="B271" s="7" t="s">
        <v>58</v>
      </c>
      <c r="C271" s="7" t="s">
        <v>25</v>
      </c>
      <c r="D271" s="7"/>
      <c r="E271" s="25">
        <v>49.986709079999997</v>
      </c>
      <c r="F271" s="25">
        <v>-120.1964668</v>
      </c>
      <c r="G271" s="25">
        <v>52.637538460000002</v>
      </c>
      <c r="H271" s="7" t="s">
        <v>22</v>
      </c>
      <c r="I271" s="7" t="s">
        <v>22</v>
      </c>
      <c r="J271" s="15">
        <v>96.007131749999999</v>
      </c>
      <c r="K271" s="15">
        <v>130.3164687</v>
      </c>
      <c r="L271" s="8" t="s">
        <v>22</v>
      </c>
      <c r="M271" s="25">
        <v>0.6</v>
      </c>
      <c r="N271" s="25">
        <v>26.9</v>
      </c>
      <c r="O271" s="8">
        <f>Table1[[#This Row],[R1 Length (km)]]+Table1[[#This Row],[T1 Length (km)]]</f>
        <v>27.5</v>
      </c>
      <c r="P271" s="32">
        <v>130</v>
      </c>
      <c r="Q271" s="8">
        <f>(Table1[[#This Row],[Linear Features (km)]]*0.4)*100</f>
        <v>1100</v>
      </c>
      <c r="R271" s="25">
        <v>213.84</v>
      </c>
      <c r="S271" s="10">
        <f>Table1[[#This Row],[ATG (ha)]]/Table1[[#This Row],[Linear Area (ha)]]</f>
        <v>0.19439999999999999</v>
      </c>
      <c r="T271" s="11" t="s">
        <v>22</v>
      </c>
      <c r="U271" s="11" t="s">
        <v>22</v>
      </c>
      <c r="V271" s="25">
        <v>213.84</v>
      </c>
      <c r="W271" s="25">
        <v>85.536000000000001</v>
      </c>
      <c r="X271" s="13">
        <v>539.07078334689095</v>
      </c>
      <c r="Y271" s="12">
        <f>Table1[[#This Row],[Raw Terrestrial Score]]/Table1[[#This Row],[Summed Raw Scores]]</f>
        <v>0.56276451170928965</v>
      </c>
      <c r="Z271" s="13">
        <v>418.826831251383</v>
      </c>
      <c r="AA271" s="12">
        <f>Table1[[#This Row],[Raw Freshwater Score]]/Table1[[#This Row],[Summed Raw Scores]]</f>
        <v>0.43723548829071035</v>
      </c>
      <c r="AB271" s="12">
        <f>Table1[[#This Row],[Raw Terrestrial Score]]+Table1[[#This Row],[Raw Freshwater Score]]</f>
        <v>957.897614598274</v>
      </c>
      <c r="AC271" s="14">
        <f>Table1[[#This Row],[Terrestrial % of Summed Score]]*Table1[[#This Row],[Scaled Summed Score]]</f>
        <v>8.4071838557421896E-2</v>
      </c>
      <c r="AD271" s="14">
        <f>Table1[[#This Row],[Freshwater % of Summed Score]]*Table1[[#This Row],[Scaled Summed Score]]</f>
        <v>6.5318957784852333E-2</v>
      </c>
      <c r="AE271" s="21">
        <f>Table1[[#This Row],[Summed Raw Scores]]/MAX(Table1[Summed Raw Scores])</f>
        <v>0.14939079634227423</v>
      </c>
    </row>
    <row r="272" spans="1:31" x14ac:dyDescent="0.3">
      <c r="A272" s="7" t="s">
        <v>332</v>
      </c>
      <c r="B272" s="7" t="s">
        <v>58</v>
      </c>
      <c r="C272" s="7" t="s">
        <v>21</v>
      </c>
      <c r="D272" s="7"/>
      <c r="E272" s="25">
        <v>49.270243350000001</v>
      </c>
      <c r="F272" s="25">
        <v>-124.2248924</v>
      </c>
      <c r="G272" s="25">
        <v>51.042461539999998</v>
      </c>
      <c r="H272" s="7" t="s">
        <v>22</v>
      </c>
      <c r="I272" s="7" t="s">
        <v>22</v>
      </c>
      <c r="J272" s="25">
        <v>82.054161649999998</v>
      </c>
      <c r="K272" s="25">
        <v>135.49113840000001</v>
      </c>
      <c r="L272" s="8" t="s">
        <v>22</v>
      </c>
      <c r="M272" s="25">
        <v>0</v>
      </c>
      <c r="N272" s="25">
        <v>8.6999999999999993</v>
      </c>
      <c r="O272" s="8">
        <f>Table1[[#This Row],[R1 Length (km)]]+Table1[[#This Row],[T1 Length (km)]]</f>
        <v>8.6999999999999993</v>
      </c>
      <c r="P272" s="32">
        <v>130</v>
      </c>
      <c r="Q272" s="8">
        <f>(Table1[[#This Row],[Linear Features (km)]]*0.4)*100</f>
        <v>348</v>
      </c>
      <c r="R272" s="25">
        <v>207.36</v>
      </c>
      <c r="S272" s="10">
        <f>Table1[[#This Row],[ATG (ha)]]/Table1[[#This Row],[Linear Area (ha)]]</f>
        <v>0.5958620689655173</v>
      </c>
      <c r="T272" s="11" t="s">
        <v>22</v>
      </c>
      <c r="U272" s="11" t="s">
        <v>22</v>
      </c>
      <c r="V272" s="25">
        <v>207.36</v>
      </c>
      <c r="W272" s="25">
        <v>82.944000000000003</v>
      </c>
      <c r="X272" s="13">
        <v>213.086669921875</v>
      </c>
      <c r="Y272" s="12">
        <f>Table1[[#This Row],[Raw Terrestrial Score]]/Table1[[#This Row],[Summed Raw Scores]]</f>
        <v>0.68629269887172029</v>
      </c>
      <c r="Z272" s="13">
        <v>97.402819871902494</v>
      </c>
      <c r="AA272" s="12">
        <f>Table1[[#This Row],[Raw Freshwater Score]]/Table1[[#This Row],[Summed Raw Scores]]</f>
        <v>0.31370730112827977</v>
      </c>
      <c r="AB272" s="12">
        <f>Table1[[#This Row],[Raw Terrestrial Score]]+Table1[[#This Row],[Raw Freshwater Score]]</f>
        <v>310.48948979377747</v>
      </c>
      <c r="AC272" s="14">
        <f>Table1[[#This Row],[Terrestrial % of Summed Score]]*Table1[[#This Row],[Scaled Summed Score]]</f>
        <v>3.3232348451877641E-2</v>
      </c>
      <c r="AD272" s="14">
        <f>Table1[[#This Row],[Freshwater % of Summed Score]]*Table1[[#This Row],[Scaled Summed Score]]</f>
        <v>1.5190647314378252E-2</v>
      </c>
      <c r="AE272" s="21">
        <f>Table1[[#This Row],[Summed Raw Scores]]/MAX(Table1[Summed Raw Scores])</f>
        <v>4.8422995766255889E-2</v>
      </c>
    </row>
    <row r="273" spans="1:31" x14ac:dyDescent="0.3">
      <c r="A273" s="7" t="s">
        <v>393</v>
      </c>
      <c r="B273" s="7" t="s">
        <v>58</v>
      </c>
      <c r="C273" s="7" t="s">
        <v>25</v>
      </c>
      <c r="D273" s="7"/>
      <c r="E273" s="25">
        <v>49.876849610000001</v>
      </c>
      <c r="F273" s="25">
        <v>-120.5844127</v>
      </c>
      <c r="G273" s="25">
        <v>21.932307689999998</v>
      </c>
      <c r="H273" s="7" t="s">
        <v>22</v>
      </c>
      <c r="I273" s="7" t="s">
        <v>22</v>
      </c>
      <c r="J273" s="15">
        <v>39.329877789999998</v>
      </c>
      <c r="K273" s="15">
        <v>159.4239427</v>
      </c>
      <c r="L273" s="8" t="s">
        <v>22</v>
      </c>
      <c r="M273" s="25">
        <v>0.3</v>
      </c>
      <c r="N273" s="25">
        <v>32.6</v>
      </c>
      <c r="O273" s="8">
        <f>Table1[[#This Row],[R1 Length (km)]]+Table1[[#This Row],[T1 Length (km)]]</f>
        <v>32.9</v>
      </c>
      <c r="P273" s="32">
        <v>69</v>
      </c>
      <c r="Q273" s="8">
        <f>(Table1[[#This Row],[Linear Features (km)]]*0.4)*100</f>
        <v>1316</v>
      </c>
      <c r="R273" s="25">
        <v>89.1</v>
      </c>
      <c r="S273" s="10">
        <f>Table1[[#This Row],[ATG (ha)]]/Table1[[#This Row],[Linear Area (ha)]]</f>
        <v>6.770516717325227E-2</v>
      </c>
      <c r="T273" s="11" t="s">
        <v>22</v>
      </c>
      <c r="U273" s="11" t="s">
        <v>22</v>
      </c>
      <c r="V273" s="25">
        <v>89.1</v>
      </c>
      <c r="W273" s="25">
        <v>35.64</v>
      </c>
      <c r="X273" s="13">
        <v>655.62387084960903</v>
      </c>
      <c r="Y273" s="12">
        <f>Table1[[#This Row],[Raw Terrestrial Score]]/Table1[[#This Row],[Summed Raw Scores]]</f>
        <v>0.7334981318911894</v>
      </c>
      <c r="Z273" s="13">
        <v>238.207813709974</v>
      </c>
      <c r="AA273" s="12">
        <f>Table1[[#This Row],[Raw Freshwater Score]]/Table1[[#This Row],[Summed Raw Scores]]</f>
        <v>0.2665018681088106</v>
      </c>
      <c r="AB273" s="12">
        <f>Table1[[#This Row],[Raw Terrestrial Score]]+Table1[[#This Row],[Raw Freshwater Score]]</f>
        <v>893.83168455958298</v>
      </c>
      <c r="AC273" s="14">
        <f>Table1[[#This Row],[Terrestrial % of Summed Score]]*Table1[[#This Row],[Scaled Summed Score]]</f>
        <v>0.1022491033222831</v>
      </c>
      <c r="AD273" s="14">
        <f>Table1[[#This Row],[Freshwater % of Summed Score]]*Table1[[#This Row],[Scaled Summed Score]]</f>
        <v>3.7150165573811671E-2</v>
      </c>
      <c r="AE273" s="21">
        <f>Table1[[#This Row],[Summed Raw Scores]]/MAX(Table1[Summed Raw Scores])</f>
        <v>0.13939926889609477</v>
      </c>
    </row>
    <row r="274" spans="1:31" x14ac:dyDescent="0.3">
      <c r="A274" s="7" t="s">
        <v>89</v>
      </c>
      <c r="B274" s="7" t="s">
        <v>58</v>
      </c>
      <c r="C274" s="7" t="s">
        <v>25</v>
      </c>
      <c r="D274" s="7"/>
      <c r="E274" s="23">
        <v>49.889407990000002</v>
      </c>
      <c r="F274" s="23">
        <v>-120.5026211</v>
      </c>
      <c r="G274" s="23">
        <v>93.112615384600005</v>
      </c>
      <c r="H274" s="8" t="s">
        <v>22</v>
      </c>
      <c r="I274" s="8" t="s">
        <v>22</v>
      </c>
      <c r="J274" s="23">
        <v>170.19574378574288</v>
      </c>
      <c r="K274" s="23">
        <v>100.34437055329255</v>
      </c>
      <c r="L274" s="8" t="s">
        <v>22</v>
      </c>
      <c r="M274" s="23">
        <v>0.3</v>
      </c>
      <c r="N274" s="23">
        <v>34.9</v>
      </c>
      <c r="O274" s="8">
        <f>Table1[[#This Row],[R1 Length (km)]]+Table1[[#This Row],[T1 Length (km)]]</f>
        <v>35.199999999999996</v>
      </c>
      <c r="P274" s="13">
        <v>130</v>
      </c>
      <c r="Q274" s="8">
        <f>(Table1[[#This Row],[Linear Features (km)]]*0.4)*100</f>
        <v>1407.9999999999998</v>
      </c>
      <c r="R274" s="23">
        <v>169.29000000000002</v>
      </c>
      <c r="S274" s="21">
        <f>Table1[[#This Row],[ATG (ha)]]/Table1[[#This Row],[Linear Area (ha)]]</f>
        <v>0.12023437500000003</v>
      </c>
      <c r="T274" s="11" t="s">
        <v>22</v>
      </c>
      <c r="U274" s="11" t="s">
        <v>22</v>
      </c>
      <c r="V274" s="23">
        <v>169.29000000000002</v>
      </c>
      <c r="W274" s="23">
        <v>67.716000000000008</v>
      </c>
      <c r="X274" s="13">
        <v>480.43204593658402</v>
      </c>
      <c r="Y274" s="12">
        <f>Table1[[#This Row],[Raw Terrestrial Score]]/Table1[[#This Row],[Summed Raw Scores]]</f>
        <v>0.65850919241698846</v>
      </c>
      <c r="Z274" s="13">
        <v>249.14326063310699</v>
      </c>
      <c r="AA274" s="12">
        <f>Table1[[#This Row],[Raw Freshwater Score]]/Table1[[#This Row],[Summed Raw Scores]]</f>
        <v>0.34149080758301148</v>
      </c>
      <c r="AB274" s="12">
        <f>Table1[[#This Row],[Raw Terrestrial Score]]+Table1[[#This Row],[Raw Freshwater Score]]</f>
        <v>729.57530656969107</v>
      </c>
      <c r="AC274" s="14">
        <f>Table1[[#This Row],[Terrestrial % of Summed Score]]*Table1[[#This Row],[Scaled Summed Score]]</f>
        <v>7.4926719554379892E-2</v>
      </c>
      <c r="AD274" s="14">
        <f>Table1[[#This Row],[Freshwater % of Summed Score]]*Table1[[#This Row],[Scaled Summed Score]]</f>
        <v>3.8855624590838911E-2</v>
      </c>
      <c r="AE274" s="21">
        <f>Table1[[#This Row],[Summed Raw Scores]]/MAX(Table1[Summed Raw Scores])</f>
        <v>0.11378234414521882</v>
      </c>
    </row>
    <row r="275" spans="1:31" x14ac:dyDescent="0.3">
      <c r="A275" s="7" t="s">
        <v>345</v>
      </c>
      <c r="B275" s="7" t="s">
        <v>58</v>
      </c>
      <c r="C275" s="7" t="s">
        <v>25</v>
      </c>
      <c r="D275" s="7"/>
      <c r="E275" s="25">
        <v>49.841985280000003</v>
      </c>
      <c r="F275" s="25">
        <v>-120.4810105</v>
      </c>
      <c r="G275" s="25">
        <v>33.097846150000002</v>
      </c>
      <c r="H275" s="7" t="s">
        <v>22</v>
      </c>
      <c r="I275" s="7" t="s">
        <v>22</v>
      </c>
      <c r="J275" s="25">
        <v>60.037937679999999</v>
      </c>
      <c r="K275" s="25">
        <v>140.31097510000001</v>
      </c>
      <c r="L275" s="8" t="s">
        <v>22</v>
      </c>
      <c r="M275" s="25">
        <v>0.3</v>
      </c>
      <c r="N275" s="25">
        <v>39</v>
      </c>
      <c r="O275" s="8">
        <f>Table1[[#This Row],[R1 Length (km)]]+Table1[[#This Row],[T1 Length (km)]]</f>
        <v>39.299999999999997</v>
      </c>
      <c r="P275" s="32">
        <v>69</v>
      </c>
      <c r="Q275" s="8">
        <f>(Table1[[#This Row],[Linear Features (km)]]*0.4)*100</f>
        <v>1572</v>
      </c>
      <c r="R275" s="25">
        <v>134.46</v>
      </c>
      <c r="S275" s="10">
        <f>Table1[[#This Row],[ATG (ha)]]/Table1[[#This Row],[Linear Area (ha)]]</f>
        <v>8.553435114503817E-2</v>
      </c>
      <c r="T275" s="11" t="s">
        <v>22</v>
      </c>
      <c r="U275" s="11" t="s">
        <v>22</v>
      </c>
      <c r="V275" s="25">
        <v>134.46</v>
      </c>
      <c r="W275" s="25">
        <v>53.783999999999999</v>
      </c>
      <c r="X275" s="13">
        <v>604.08893728256203</v>
      </c>
      <c r="Y275" s="12">
        <f>Table1[[#This Row],[Raw Terrestrial Score]]/Table1[[#This Row],[Summed Raw Scores]]</f>
        <v>0.65791032145270489</v>
      </c>
      <c r="Z275" s="13">
        <v>314.10449666250503</v>
      </c>
      <c r="AA275" s="12">
        <f>Table1[[#This Row],[Raw Freshwater Score]]/Table1[[#This Row],[Summed Raw Scores]]</f>
        <v>0.34208967854729511</v>
      </c>
      <c r="AB275" s="12">
        <f>Table1[[#This Row],[Raw Terrestrial Score]]+Table1[[#This Row],[Raw Freshwater Score]]</f>
        <v>918.193433945067</v>
      </c>
      <c r="AC275" s="14">
        <f>Table1[[#This Row],[Terrestrial % of Summed Score]]*Table1[[#This Row],[Scaled Summed Score]]</f>
        <v>9.4211871944213418E-2</v>
      </c>
      <c r="AD275" s="14">
        <f>Table1[[#This Row],[Freshwater % of Summed Score]]*Table1[[#This Row],[Scaled Summed Score]]</f>
        <v>4.8986781234213753E-2</v>
      </c>
      <c r="AE275" s="21">
        <f>Table1[[#This Row],[Summed Raw Scores]]/MAX(Table1[Summed Raw Scores])</f>
        <v>0.14319865317842717</v>
      </c>
    </row>
    <row r="276" spans="1:31" x14ac:dyDescent="0.3">
      <c r="A276" s="7" t="s">
        <v>389</v>
      </c>
      <c r="B276" s="7" t="s">
        <v>58</v>
      </c>
      <c r="C276" s="7" t="s">
        <v>25</v>
      </c>
      <c r="D276" s="7"/>
      <c r="E276" s="25">
        <v>49.926839600000001</v>
      </c>
      <c r="F276" s="25">
        <v>-120.2570228</v>
      </c>
      <c r="G276" s="25">
        <v>26.119384620000002</v>
      </c>
      <c r="H276" s="7" t="s">
        <v>22</v>
      </c>
      <c r="I276" s="7" t="s">
        <v>22</v>
      </c>
      <c r="J276" s="25">
        <v>47.650113279999999</v>
      </c>
      <c r="K276" s="25">
        <v>158.17052279999999</v>
      </c>
      <c r="L276" s="8" t="s">
        <v>22</v>
      </c>
      <c r="M276" s="25">
        <v>0</v>
      </c>
      <c r="N276" s="25">
        <v>46.1</v>
      </c>
      <c r="O276" s="8">
        <f>Table1[[#This Row],[R1 Length (km)]]+Table1[[#This Row],[T1 Length (km)]]</f>
        <v>46.1</v>
      </c>
      <c r="P276" s="32">
        <v>69</v>
      </c>
      <c r="Q276" s="8">
        <f>(Table1[[#This Row],[Linear Features (km)]]*0.4)*100</f>
        <v>1844.0000000000002</v>
      </c>
      <c r="R276" s="25">
        <v>106.11</v>
      </c>
      <c r="S276" s="10">
        <f>Table1[[#This Row],[ATG (ha)]]/Table1[[#This Row],[Linear Area (ha)]]</f>
        <v>5.7543383947939258E-2</v>
      </c>
      <c r="T276" s="11" t="s">
        <v>22</v>
      </c>
      <c r="U276" s="11" t="s">
        <v>22</v>
      </c>
      <c r="V276" s="25">
        <v>106.11</v>
      </c>
      <c r="W276" s="25">
        <v>42.444000000000003</v>
      </c>
      <c r="X276" s="13">
        <v>490.70178255438799</v>
      </c>
      <c r="Y276" s="12">
        <f>Table1[[#This Row],[Raw Terrestrial Score]]/Table1[[#This Row],[Summed Raw Scores]]</f>
        <v>0.670384749887592</v>
      </c>
      <c r="Z276" s="13">
        <v>241.268601074815</v>
      </c>
      <c r="AA276" s="12">
        <f>Table1[[#This Row],[Raw Freshwater Score]]/Table1[[#This Row],[Summed Raw Scores]]</f>
        <v>0.32961525011240805</v>
      </c>
      <c r="AB276" s="12">
        <f>Table1[[#This Row],[Raw Terrestrial Score]]+Table1[[#This Row],[Raw Freshwater Score]]</f>
        <v>731.97038362920296</v>
      </c>
      <c r="AC276" s="14">
        <f>Table1[[#This Row],[Terrestrial % of Summed Score]]*Table1[[#This Row],[Scaled Summed Score]]</f>
        <v>7.6528356418464352E-2</v>
      </c>
      <c r="AD276" s="14">
        <f>Table1[[#This Row],[Freshwater % of Summed Score]]*Table1[[#This Row],[Scaled Summed Score]]</f>
        <v>3.7627516654866133E-2</v>
      </c>
      <c r="AE276" s="21">
        <f>Table1[[#This Row],[Summed Raw Scores]]/MAX(Table1[Summed Raw Scores])</f>
        <v>0.11415587307333047</v>
      </c>
    </row>
    <row r="277" spans="1:31" x14ac:dyDescent="0.3">
      <c r="A277" s="7" t="s">
        <v>394</v>
      </c>
      <c r="B277" s="7" t="s">
        <v>58</v>
      </c>
      <c r="C277" s="7" t="s">
        <v>87</v>
      </c>
      <c r="D277" s="7"/>
      <c r="E277" s="25">
        <v>50.048964290000001</v>
      </c>
      <c r="F277" s="25">
        <v>-119.4359688</v>
      </c>
      <c r="G277" s="25">
        <v>73.572923079999995</v>
      </c>
      <c r="H277" s="7" t="s">
        <v>22</v>
      </c>
      <c r="I277" s="7" t="s">
        <v>22</v>
      </c>
      <c r="J277" s="25">
        <v>124.5603943</v>
      </c>
      <c r="K277" s="25">
        <v>159.50222299999999</v>
      </c>
      <c r="L277" s="8" t="s">
        <v>22</v>
      </c>
      <c r="M277" s="25">
        <v>0.3</v>
      </c>
      <c r="N277" s="25">
        <v>29.4</v>
      </c>
      <c r="O277" s="8">
        <f>Table1[[#This Row],[R1 Length (km)]]+Table1[[#This Row],[T1 Length (km)]]</f>
        <v>29.7</v>
      </c>
      <c r="P277" s="32">
        <v>130</v>
      </c>
      <c r="Q277" s="8">
        <f>(Table1[[#This Row],[Linear Features (km)]]*0.4)*100</f>
        <v>1188</v>
      </c>
      <c r="R277" s="25">
        <v>298.89</v>
      </c>
      <c r="S277" s="10">
        <f>Table1[[#This Row],[ATG (ha)]]/Table1[[#This Row],[Linear Area (ha)]]</f>
        <v>0.25159090909090909</v>
      </c>
      <c r="T277" s="11" t="s">
        <v>22</v>
      </c>
      <c r="U277" s="11" t="s">
        <v>22</v>
      </c>
      <c r="V277" s="25">
        <v>298.89</v>
      </c>
      <c r="W277" s="25">
        <v>119.556</v>
      </c>
      <c r="X277" s="13">
        <v>559.99146246910095</v>
      </c>
      <c r="Y277" s="12">
        <f>Table1[[#This Row],[Raw Terrestrial Score]]/Table1[[#This Row],[Summed Raw Scores]]</f>
        <v>0.84410916507209921</v>
      </c>
      <c r="Z277" s="13">
        <v>103.419723714702</v>
      </c>
      <c r="AA277" s="12">
        <f>Table1[[#This Row],[Raw Freshwater Score]]/Table1[[#This Row],[Summed Raw Scores]]</f>
        <v>0.15589083492790065</v>
      </c>
      <c r="AB277" s="12">
        <f>Table1[[#This Row],[Raw Terrestrial Score]]+Table1[[#This Row],[Raw Freshwater Score]]</f>
        <v>663.41118618380301</v>
      </c>
      <c r="AC277" s="14">
        <f>Table1[[#This Row],[Terrestrial % of Summed Score]]*Table1[[#This Row],[Scaled Summed Score]]</f>
        <v>8.7334563995358022E-2</v>
      </c>
      <c r="AD277" s="14">
        <f>Table1[[#This Row],[Freshwater % of Summed Score]]*Table1[[#This Row],[Scaled Summed Score]]</f>
        <v>1.6129025323564212E-2</v>
      </c>
      <c r="AE277" s="21">
        <f>Table1[[#This Row],[Summed Raw Scores]]/MAX(Table1[Summed Raw Scores])</f>
        <v>0.10346358931892224</v>
      </c>
    </row>
    <row r="278" spans="1:31" x14ac:dyDescent="0.3">
      <c r="A278" s="7" t="s">
        <v>90</v>
      </c>
      <c r="B278" s="7" t="s">
        <v>58</v>
      </c>
      <c r="C278" s="7" t="s">
        <v>40</v>
      </c>
      <c r="D278" s="7"/>
      <c r="E278" s="23">
        <v>50.001386070000002</v>
      </c>
      <c r="F278" s="23">
        <v>-119.4152191</v>
      </c>
      <c r="G278" s="23">
        <v>126.011076923</v>
      </c>
      <c r="H278" s="8" t="s">
        <v>22</v>
      </c>
      <c r="I278" s="8" t="s">
        <v>22</v>
      </c>
      <c r="J278" s="23">
        <v>213.88440531431118</v>
      </c>
      <c r="K278" s="23">
        <v>104.06496196270399</v>
      </c>
      <c r="L278" s="8" t="s">
        <v>22</v>
      </c>
      <c r="M278" s="23">
        <v>0.3</v>
      </c>
      <c r="N278" s="23">
        <v>25.9</v>
      </c>
      <c r="O278" s="8">
        <f>Table1[[#This Row],[R1 Length (km)]]+Table1[[#This Row],[T1 Length (km)]]</f>
        <v>26.2</v>
      </c>
      <c r="P278" s="13">
        <v>130</v>
      </c>
      <c r="Q278" s="8">
        <f>(Table1[[#This Row],[Linear Features (km)]]*0.4)*100</f>
        <v>1048</v>
      </c>
      <c r="R278" s="23">
        <v>333.72</v>
      </c>
      <c r="S278" s="21">
        <f>Table1[[#This Row],[ATG (ha)]]/Table1[[#This Row],[Linear Area (ha)]]</f>
        <v>0.31843511450381684</v>
      </c>
      <c r="T278" s="11" t="s">
        <v>22</v>
      </c>
      <c r="U278" s="11" t="s">
        <v>22</v>
      </c>
      <c r="V278" s="23">
        <v>333.72</v>
      </c>
      <c r="W278" s="23">
        <v>133.48800000000003</v>
      </c>
      <c r="X278" s="13">
        <v>682.10044097900402</v>
      </c>
      <c r="Y278" s="12">
        <f>Table1[[#This Row],[Raw Terrestrial Score]]/Table1[[#This Row],[Summed Raw Scores]]</f>
        <v>0.94443718396203147</v>
      </c>
      <c r="Z278" s="13">
        <v>40.129107541637502</v>
      </c>
      <c r="AA278" s="12">
        <f>Table1[[#This Row],[Raw Freshwater Score]]/Table1[[#This Row],[Summed Raw Scores]]</f>
        <v>5.5562816037968574E-2</v>
      </c>
      <c r="AB278" s="12">
        <f>Table1[[#This Row],[Raw Terrestrial Score]]+Table1[[#This Row],[Raw Freshwater Score]]</f>
        <v>722.22954852064152</v>
      </c>
      <c r="AC278" s="14">
        <f>Table1[[#This Row],[Terrestrial % of Summed Score]]*Table1[[#This Row],[Scaled Summed Score]]</f>
        <v>0.10637830861078484</v>
      </c>
      <c r="AD278" s="14">
        <f>Table1[[#This Row],[Freshwater % of Summed Score]]*Table1[[#This Row],[Scaled Summed Score]]</f>
        <v>6.2584134679823334E-3</v>
      </c>
      <c r="AE278" s="21">
        <f>Table1[[#This Row],[Summed Raw Scores]]/MAX(Table1[Summed Raw Scores])</f>
        <v>0.11263672207876717</v>
      </c>
    </row>
    <row r="279" spans="1:31" x14ac:dyDescent="0.3">
      <c r="A279" s="7" t="s">
        <v>301</v>
      </c>
      <c r="B279" s="7" t="s">
        <v>58</v>
      </c>
      <c r="C279" s="7" t="s">
        <v>40</v>
      </c>
      <c r="D279" s="7"/>
      <c r="E279" s="25">
        <v>49.87013486</v>
      </c>
      <c r="F279" s="25">
        <v>-119.61992739999999</v>
      </c>
      <c r="G279" s="25">
        <v>46.855384620000002</v>
      </c>
      <c r="H279" s="7" t="s">
        <v>22</v>
      </c>
      <c r="I279" s="7" t="s">
        <v>22</v>
      </c>
      <c r="J279" s="25">
        <v>78.681712860000005</v>
      </c>
      <c r="K279" s="25">
        <v>128.353951</v>
      </c>
      <c r="L279" s="8" t="s">
        <v>22</v>
      </c>
      <c r="M279" s="25">
        <v>0</v>
      </c>
      <c r="N279" s="25">
        <v>2.8</v>
      </c>
      <c r="O279" s="8">
        <f>Table1[[#This Row],[R1 Length (km)]]+Table1[[#This Row],[T1 Length (km)]]</f>
        <v>2.8</v>
      </c>
      <c r="P279" s="32">
        <v>130</v>
      </c>
      <c r="Q279" s="8">
        <f>(Table1[[#This Row],[Linear Features (km)]]*0.4)*100</f>
        <v>111.99999999999999</v>
      </c>
      <c r="R279" s="25">
        <v>190.35</v>
      </c>
      <c r="S279" s="10">
        <f>Table1[[#This Row],[ATG (ha)]]/Table1[[#This Row],[Linear Area (ha)]]</f>
        <v>1.6995535714285717</v>
      </c>
      <c r="T279" s="11" t="s">
        <v>22</v>
      </c>
      <c r="U279" s="11" t="s">
        <v>22</v>
      </c>
      <c r="V279" s="25">
        <v>190.35</v>
      </c>
      <c r="W279" s="25">
        <v>76.14</v>
      </c>
      <c r="X279" s="13">
        <v>97.534167289733901</v>
      </c>
      <c r="Y279" s="12">
        <f>Table1[[#This Row],[Raw Terrestrial Score]]/Table1[[#This Row],[Summed Raw Scores]]</f>
        <v>0.83059504682870888</v>
      </c>
      <c r="Z279" s="13">
        <v>19.8926915172487</v>
      </c>
      <c r="AA279" s="12">
        <f>Table1[[#This Row],[Raw Freshwater Score]]/Table1[[#This Row],[Summed Raw Scores]]</f>
        <v>0.16940495317129109</v>
      </c>
      <c r="AB279" s="12">
        <f>Table1[[#This Row],[Raw Terrestrial Score]]+Table1[[#This Row],[Raw Freshwater Score]]</f>
        <v>117.42685880698261</v>
      </c>
      <c r="AC279" s="14">
        <f>Table1[[#This Row],[Terrestrial % of Summed Score]]*Table1[[#This Row],[Scaled Summed Score]]</f>
        <v>1.5211131857870477E-2</v>
      </c>
      <c r="AD279" s="14">
        <f>Table1[[#This Row],[Freshwater % of Summed Score]]*Table1[[#This Row],[Scaled Summed Score]]</f>
        <v>3.1024036200354276E-3</v>
      </c>
      <c r="AE279" s="21">
        <f>Table1[[#This Row],[Summed Raw Scores]]/MAX(Table1[Summed Raw Scores])</f>
        <v>1.8313535477905905E-2</v>
      </c>
    </row>
    <row r="280" spans="1:31" x14ac:dyDescent="0.3">
      <c r="A280" s="7" t="s">
        <v>350</v>
      </c>
      <c r="B280" s="7" t="s">
        <v>58</v>
      </c>
      <c r="C280" s="7" t="s">
        <v>40</v>
      </c>
      <c r="D280" s="7"/>
      <c r="E280" s="25">
        <v>49.941805389999999</v>
      </c>
      <c r="F280" s="25">
        <v>-119.47664109999999</v>
      </c>
      <c r="G280" s="25">
        <v>14.754461539999999</v>
      </c>
      <c r="H280" s="7" t="s">
        <v>22</v>
      </c>
      <c r="I280" s="7" t="s">
        <v>22</v>
      </c>
      <c r="J280" s="25">
        <v>25.310900440000001</v>
      </c>
      <c r="K280" s="25">
        <v>141.08403999999999</v>
      </c>
      <c r="L280" s="8" t="s">
        <v>22</v>
      </c>
      <c r="M280" s="25">
        <v>0.9</v>
      </c>
      <c r="N280" s="25">
        <v>16</v>
      </c>
      <c r="O280" s="8">
        <f>Table1[[#This Row],[R1 Length (km)]]+Table1[[#This Row],[T1 Length (km)]]</f>
        <v>16.899999999999999</v>
      </c>
      <c r="P280" s="32">
        <v>25</v>
      </c>
      <c r="Q280" s="8">
        <f>(Table1[[#This Row],[Linear Features (km)]]*0.4)*100</f>
        <v>676</v>
      </c>
      <c r="R280" s="25">
        <v>59.94</v>
      </c>
      <c r="S280" s="10">
        <f>Table1[[#This Row],[ATG (ha)]]/Table1[[#This Row],[Linear Area (ha)]]</f>
        <v>8.8668639053254436E-2</v>
      </c>
      <c r="T280" s="11" t="s">
        <v>22</v>
      </c>
      <c r="U280" s="11" t="s">
        <v>22</v>
      </c>
      <c r="V280" s="25">
        <v>59.94</v>
      </c>
      <c r="W280" s="25">
        <v>23.975999999999999</v>
      </c>
      <c r="X280" s="13">
        <v>392.58337306976301</v>
      </c>
      <c r="Y280" s="12">
        <f>Table1[[#This Row],[Raw Terrestrial Score]]/Table1[[#This Row],[Summed Raw Scores]]</f>
        <v>0.84536153080580789</v>
      </c>
      <c r="Z280" s="13">
        <v>71.813643784727901</v>
      </c>
      <c r="AA280" s="12">
        <f>Table1[[#This Row],[Raw Freshwater Score]]/Table1[[#This Row],[Summed Raw Scores]]</f>
        <v>0.15463846919419211</v>
      </c>
      <c r="AB280" s="12">
        <f>Table1[[#This Row],[Raw Terrestrial Score]]+Table1[[#This Row],[Raw Freshwater Score]]</f>
        <v>464.39701685449091</v>
      </c>
      <c r="AC280" s="14">
        <f>Table1[[#This Row],[Terrestrial % of Summed Score]]*Table1[[#This Row],[Scaled Summed Score]]</f>
        <v>6.1226107926183895E-2</v>
      </c>
      <c r="AD280" s="14">
        <f>Table1[[#This Row],[Freshwater % of Summed Score]]*Table1[[#This Row],[Scaled Summed Score]]</f>
        <v>1.1199837299668169E-2</v>
      </c>
      <c r="AE280" s="21">
        <f>Table1[[#This Row],[Summed Raw Scores]]/MAX(Table1[Summed Raw Scores])</f>
        <v>7.2425945225852065E-2</v>
      </c>
    </row>
    <row r="281" spans="1:31" x14ac:dyDescent="0.3">
      <c r="A281" s="7" t="s">
        <v>281</v>
      </c>
      <c r="B281" s="7" t="s">
        <v>58</v>
      </c>
      <c r="C281" s="7" t="s">
        <v>40</v>
      </c>
      <c r="D281" s="7"/>
      <c r="E281" s="25">
        <v>49.882209920000001</v>
      </c>
      <c r="F281" s="25">
        <v>-119.53793</v>
      </c>
      <c r="G281" s="25">
        <v>15.35261538</v>
      </c>
      <c r="H281" s="7" t="s">
        <v>22</v>
      </c>
      <c r="I281" s="7" t="s">
        <v>22</v>
      </c>
      <c r="J281" s="25">
        <v>25.777106369999998</v>
      </c>
      <c r="K281" s="25">
        <v>124.2695628</v>
      </c>
      <c r="L281" s="8" t="s">
        <v>22</v>
      </c>
      <c r="M281" s="25">
        <v>0</v>
      </c>
      <c r="N281" s="25">
        <v>7.1</v>
      </c>
      <c r="O281" s="8">
        <f>Table1[[#This Row],[R1 Length (km)]]+Table1[[#This Row],[T1 Length (km)]]</f>
        <v>7.1</v>
      </c>
      <c r="P281" s="32">
        <v>25</v>
      </c>
      <c r="Q281" s="8">
        <f>(Table1[[#This Row],[Linear Features (km)]]*0.4)*100</f>
        <v>284</v>
      </c>
      <c r="R281" s="25">
        <v>62.37</v>
      </c>
      <c r="S281" s="10">
        <f>Table1[[#This Row],[ATG (ha)]]/Table1[[#This Row],[Linear Area (ha)]]</f>
        <v>0.21961267605633802</v>
      </c>
      <c r="T281" s="11" t="s">
        <v>22</v>
      </c>
      <c r="U281" s="11" t="s">
        <v>22</v>
      </c>
      <c r="V281" s="25">
        <v>62.37</v>
      </c>
      <c r="W281" s="25">
        <v>24.948</v>
      </c>
      <c r="X281" s="13">
        <v>57.412407875061</v>
      </c>
      <c r="Y281" s="12">
        <f>Table1[[#This Row],[Raw Terrestrial Score]]/Table1[[#This Row],[Summed Raw Scores]]</f>
        <v>0.95733213866152611</v>
      </c>
      <c r="Z281" s="13">
        <v>2.5588451065123099</v>
      </c>
      <c r="AA281" s="12">
        <f>Table1[[#This Row],[Raw Freshwater Score]]/Table1[[#This Row],[Summed Raw Scores]]</f>
        <v>4.266786133847391E-2</v>
      </c>
      <c r="AB281" s="12">
        <f>Table1[[#This Row],[Raw Terrestrial Score]]+Table1[[#This Row],[Raw Freshwater Score]]</f>
        <v>59.971252981573308</v>
      </c>
      <c r="AC281" s="14">
        <f>Table1[[#This Row],[Terrestrial % of Summed Score]]*Table1[[#This Row],[Scaled Summed Score]]</f>
        <v>8.9538643814034528E-3</v>
      </c>
      <c r="AD281" s="14">
        <f>Table1[[#This Row],[Freshwater % of Summed Score]]*Table1[[#This Row],[Scaled Summed Score]]</f>
        <v>3.9906969424777417E-4</v>
      </c>
      <c r="AE281" s="21">
        <f>Table1[[#This Row],[Summed Raw Scores]]/MAX(Table1[Summed Raw Scores])</f>
        <v>9.3529340756512269E-3</v>
      </c>
    </row>
    <row r="282" spans="1:31" x14ac:dyDescent="0.3">
      <c r="A282" s="7" t="s">
        <v>338</v>
      </c>
      <c r="B282" s="7" t="s">
        <v>58</v>
      </c>
      <c r="C282" s="7" t="s">
        <v>87</v>
      </c>
      <c r="D282" s="7"/>
      <c r="E282" s="25">
        <v>49.894244180000001</v>
      </c>
      <c r="F282" s="25">
        <v>-119.4558966</v>
      </c>
      <c r="G282" s="25">
        <v>31.702153849999998</v>
      </c>
      <c r="H282" s="7" t="s">
        <v>22</v>
      </c>
      <c r="I282" s="7" t="s">
        <v>22</v>
      </c>
      <c r="J282" s="25">
        <v>54.132871870000002</v>
      </c>
      <c r="K282" s="25">
        <v>137.74384710000001</v>
      </c>
      <c r="L282" s="8" t="s">
        <v>22</v>
      </c>
      <c r="M282" s="25">
        <v>0</v>
      </c>
      <c r="N282" s="25">
        <v>18.899999999999999</v>
      </c>
      <c r="O282" s="8">
        <f>Table1[[#This Row],[R1 Length (km)]]+Table1[[#This Row],[T1 Length (km)]]</f>
        <v>18.899999999999999</v>
      </c>
      <c r="P282" s="32">
        <v>69</v>
      </c>
      <c r="Q282" s="8">
        <f>(Table1[[#This Row],[Linear Features (km)]]*0.4)*100</f>
        <v>756</v>
      </c>
      <c r="R282" s="25">
        <v>128.79</v>
      </c>
      <c r="S282" s="10">
        <f>Table1[[#This Row],[ATG (ha)]]/Table1[[#This Row],[Linear Area (ha)]]</f>
        <v>0.17035714285714285</v>
      </c>
      <c r="T282" s="11" t="s">
        <v>22</v>
      </c>
      <c r="U282" s="11" t="s">
        <v>22</v>
      </c>
      <c r="V282" s="25">
        <v>128.79</v>
      </c>
      <c r="W282" s="25">
        <v>51.515999999999998</v>
      </c>
      <c r="X282" s="13">
        <v>430.670370101929</v>
      </c>
      <c r="Y282" s="12">
        <f>Table1[[#This Row],[Raw Terrestrial Score]]/Table1[[#This Row],[Summed Raw Scores]]</f>
        <v>0.94480983768651372</v>
      </c>
      <c r="Z282" s="13">
        <v>25.157197439577399</v>
      </c>
      <c r="AA282" s="12">
        <f>Table1[[#This Row],[Raw Freshwater Score]]/Table1[[#This Row],[Summed Raw Scores]]</f>
        <v>5.5190162313486349E-2</v>
      </c>
      <c r="AB282" s="12">
        <f>Table1[[#This Row],[Raw Terrestrial Score]]+Table1[[#This Row],[Raw Freshwater Score]]</f>
        <v>455.82756754150637</v>
      </c>
      <c r="AC282" s="14">
        <f>Table1[[#This Row],[Terrestrial % of Summed Score]]*Table1[[#This Row],[Scaled Summed Score]]</f>
        <v>6.7166040054846027E-2</v>
      </c>
      <c r="AD282" s="14">
        <f>Table1[[#This Row],[Freshwater % of Summed Score]]*Table1[[#This Row],[Scaled Summed Score]]</f>
        <v>3.9234399396791868E-3</v>
      </c>
      <c r="AE282" s="21">
        <f>Table1[[#This Row],[Summed Raw Scores]]/MAX(Table1[Summed Raw Scores])</f>
        <v>7.1089479994525209E-2</v>
      </c>
    </row>
    <row r="283" spans="1:31" x14ac:dyDescent="0.3">
      <c r="A283" s="7" t="s">
        <v>360</v>
      </c>
      <c r="B283" s="7" t="s">
        <v>58</v>
      </c>
      <c r="C283" s="7" t="s">
        <v>87</v>
      </c>
      <c r="D283" s="7"/>
      <c r="E283" s="25">
        <v>49.953810519999998</v>
      </c>
      <c r="F283" s="25">
        <v>-119.39450530000001</v>
      </c>
      <c r="G283" s="25">
        <v>215.3353846</v>
      </c>
      <c r="H283" s="7" t="s">
        <v>22</v>
      </c>
      <c r="I283" s="7" t="s">
        <v>22</v>
      </c>
      <c r="J283" s="25">
        <v>363.71438849999998</v>
      </c>
      <c r="K283" s="25">
        <v>142.83881220000001</v>
      </c>
      <c r="L283" s="8" t="s">
        <v>22</v>
      </c>
      <c r="M283" s="25">
        <v>0</v>
      </c>
      <c r="N283" s="25">
        <v>80.7</v>
      </c>
      <c r="O283" s="8">
        <f>Table1[[#This Row],[R1 Length (km)]]+Table1[[#This Row],[T1 Length (km)]]</f>
        <v>80.7</v>
      </c>
      <c r="P283" s="32">
        <v>230</v>
      </c>
      <c r="Q283" s="8">
        <f>(Table1[[#This Row],[Linear Features (km)]]*0.4)*100</f>
        <v>3228</v>
      </c>
      <c r="R283" s="25">
        <v>874.8</v>
      </c>
      <c r="S283" s="10">
        <f>Table1[[#This Row],[ATG (ha)]]/Table1[[#This Row],[Linear Area (ha)]]</f>
        <v>0.27100371747211893</v>
      </c>
      <c r="T283" s="11" t="s">
        <v>22</v>
      </c>
      <c r="U283" s="11" t="s">
        <v>22</v>
      </c>
      <c r="V283" s="25">
        <v>874.8</v>
      </c>
      <c r="W283" s="25">
        <v>349.92</v>
      </c>
      <c r="X283" s="13">
        <v>708.08608436584495</v>
      </c>
      <c r="Y283" s="12">
        <f>Table1[[#This Row],[Raw Terrestrial Score]]/Table1[[#This Row],[Summed Raw Scores]]</f>
        <v>0.84276432155431058</v>
      </c>
      <c r="Z283" s="13">
        <v>132.10857771942401</v>
      </c>
      <c r="AA283" s="12">
        <f>Table1[[#This Row],[Raw Freshwater Score]]/Table1[[#This Row],[Summed Raw Scores]]</f>
        <v>0.15723567844568939</v>
      </c>
      <c r="AB283" s="12">
        <f>Table1[[#This Row],[Raw Terrestrial Score]]+Table1[[#This Row],[Raw Freshwater Score]]</f>
        <v>840.19466208526899</v>
      </c>
      <c r="AC283" s="14">
        <f>Table1[[#This Row],[Terrestrial % of Summed Score]]*Table1[[#This Row],[Scaled Summed Score]]</f>
        <v>0.11043095045879128</v>
      </c>
      <c r="AD283" s="14">
        <f>Table1[[#This Row],[Freshwater % of Summed Score]]*Table1[[#This Row],[Scaled Summed Score]]</f>
        <v>2.060325167155452E-2</v>
      </c>
      <c r="AE283" s="21">
        <f>Table1[[#This Row],[Summed Raw Scores]]/MAX(Table1[Summed Raw Scores])</f>
        <v>0.13103420213034581</v>
      </c>
    </row>
    <row r="284" spans="1:31" x14ac:dyDescent="0.3">
      <c r="A284" s="7" t="s">
        <v>286</v>
      </c>
      <c r="B284" s="7" t="s">
        <v>58</v>
      </c>
      <c r="C284" s="7" t="s">
        <v>40</v>
      </c>
      <c r="D284" s="7"/>
      <c r="E284" s="25">
        <v>49.906237609999998</v>
      </c>
      <c r="F284" s="25">
        <v>-119.3738274</v>
      </c>
      <c r="G284" s="25">
        <v>98.695384619999999</v>
      </c>
      <c r="H284" s="7" t="s">
        <v>22</v>
      </c>
      <c r="I284" s="7" t="s">
        <v>22</v>
      </c>
      <c r="J284" s="25">
        <v>166.05871999999999</v>
      </c>
      <c r="K284" s="25">
        <v>125.1196456</v>
      </c>
      <c r="L284" s="8" t="s">
        <v>22</v>
      </c>
      <c r="M284" s="25">
        <v>0</v>
      </c>
      <c r="N284" s="25">
        <v>20.5</v>
      </c>
      <c r="O284" s="8">
        <f>Table1[[#This Row],[R1 Length (km)]]+Table1[[#This Row],[T1 Length (km)]]</f>
        <v>20.5</v>
      </c>
      <c r="P284" s="32">
        <v>130</v>
      </c>
      <c r="Q284" s="8">
        <f>(Table1[[#This Row],[Linear Features (km)]]*0.4)*100</f>
        <v>820.00000000000011</v>
      </c>
      <c r="R284" s="25">
        <v>400.95</v>
      </c>
      <c r="S284" s="10">
        <f>Table1[[#This Row],[ATG (ha)]]/Table1[[#This Row],[Linear Area (ha)]]</f>
        <v>0.48896341463414628</v>
      </c>
      <c r="T284" s="11" t="s">
        <v>22</v>
      </c>
      <c r="U284" s="11" t="s">
        <v>22</v>
      </c>
      <c r="V284" s="25">
        <v>400.95</v>
      </c>
      <c r="W284" s="25">
        <v>160.38</v>
      </c>
      <c r="X284" s="13">
        <v>457.62410926818802</v>
      </c>
      <c r="Y284" s="12">
        <f>Table1[[#This Row],[Raw Terrestrial Score]]/Table1[[#This Row],[Summed Raw Scores]]</f>
        <v>0.93397543447680542</v>
      </c>
      <c r="Z284" s="13">
        <v>32.3503508465365</v>
      </c>
      <c r="AA284" s="12">
        <f>Table1[[#This Row],[Raw Freshwater Score]]/Table1[[#This Row],[Summed Raw Scores]]</f>
        <v>6.6024565523194537E-2</v>
      </c>
      <c r="AB284" s="12">
        <f>Table1[[#This Row],[Raw Terrestrial Score]]+Table1[[#This Row],[Raw Freshwater Score]]</f>
        <v>489.97446011472454</v>
      </c>
      <c r="AC284" s="14">
        <f>Table1[[#This Row],[Terrestrial % of Summed Score]]*Table1[[#This Row],[Scaled Summed Score]]</f>
        <v>7.1369663173939071E-2</v>
      </c>
      <c r="AD284" s="14">
        <f>Table1[[#This Row],[Freshwater % of Summed Score]]*Table1[[#This Row],[Scaled Summed Score]]</f>
        <v>5.0452622506455087E-3</v>
      </c>
      <c r="AE284" s="21">
        <f>Table1[[#This Row],[Summed Raw Scores]]/MAX(Table1[Summed Raw Scores])</f>
        <v>7.6414925424584584E-2</v>
      </c>
    </row>
    <row r="285" spans="1:31" x14ac:dyDescent="0.3">
      <c r="A285" s="7" t="s">
        <v>359</v>
      </c>
      <c r="B285" s="7" t="s">
        <v>58</v>
      </c>
      <c r="C285" s="7" t="s">
        <v>21</v>
      </c>
      <c r="D285" s="7"/>
      <c r="E285" s="25">
        <v>49.064618209999999</v>
      </c>
      <c r="F285" s="25">
        <v>-123.9432068</v>
      </c>
      <c r="G285" s="25">
        <v>34.69292308</v>
      </c>
      <c r="H285" s="7" t="s">
        <v>22</v>
      </c>
      <c r="I285" s="7" t="s">
        <v>22</v>
      </c>
      <c r="J285" s="25">
        <v>55.822275390000001</v>
      </c>
      <c r="K285" s="25">
        <v>142.73011840000001</v>
      </c>
      <c r="L285" s="8" t="s">
        <v>22</v>
      </c>
      <c r="M285" s="25">
        <v>0.8</v>
      </c>
      <c r="N285" s="25">
        <v>3</v>
      </c>
      <c r="O285" s="8">
        <f>Table1[[#This Row],[R1 Length (km)]]+Table1[[#This Row],[T1 Length (km)]]</f>
        <v>3.8</v>
      </c>
      <c r="P285" s="32">
        <v>130</v>
      </c>
      <c r="Q285" s="8">
        <f>(Table1[[#This Row],[Linear Features (km)]]*0.4)*100</f>
        <v>152</v>
      </c>
      <c r="R285" s="25">
        <v>140.94</v>
      </c>
      <c r="S285" s="10">
        <f>Table1[[#This Row],[ATG (ha)]]/Table1[[#This Row],[Linear Area (ha)]]</f>
        <v>0.92723684210526314</v>
      </c>
      <c r="T285" s="11" t="s">
        <v>22</v>
      </c>
      <c r="U285" s="11" t="s">
        <v>22</v>
      </c>
      <c r="V285" s="25">
        <v>140.94</v>
      </c>
      <c r="W285" s="25">
        <v>56.375999999999998</v>
      </c>
      <c r="X285" s="13">
        <v>29.892374158836901</v>
      </c>
      <c r="Y285" s="12">
        <f>Table1[[#This Row],[Raw Terrestrial Score]]/Table1[[#This Row],[Summed Raw Scores]]</f>
        <v>0.29675437633705781</v>
      </c>
      <c r="Z285" s="13">
        <v>70.838656425476103</v>
      </c>
      <c r="AA285" s="12">
        <f>Table1[[#This Row],[Raw Freshwater Score]]/Table1[[#This Row],[Summed Raw Scores]]</f>
        <v>0.70324562366294219</v>
      </c>
      <c r="AB285" s="12">
        <f>Table1[[#This Row],[Raw Terrestrial Score]]+Table1[[#This Row],[Raw Freshwater Score]]</f>
        <v>100.731030584313</v>
      </c>
      <c r="AC285" s="14">
        <f>Table1[[#This Row],[Terrestrial % of Summed Score]]*Table1[[#This Row],[Scaled Summed Score]]</f>
        <v>4.661923687974398E-3</v>
      </c>
      <c r="AD285" s="14">
        <f>Table1[[#This Row],[Freshwater % of Summed Score]]*Table1[[#This Row],[Scaled Summed Score]]</f>
        <v>1.1047781238767169E-2</v>
      </c>
      <c r="AE285" s="21">
        <f>Table1[[#This Row],[Summed Raw Scores]]/MAX(Table1[Summed Raw Scores])</f>
        <v>1.5709704926741567E-2</v>
      </c>
    </row>
    <row r="286" spans="1:31" x14ac:dyDescent="0.3">
      <c r="A286" s="7" t="s">
        <v>326</v>
      </c>
      <c r="B286" s="7" t="s">
        <v>58</v>
      </c>
      <c r="C286" s="7" t="s">
        <v>32</v>
      </c>
      <c r="D286" s="7"/>
      <c r="E286" s="25">
        <v>49.25994</v>
      </c>
      <c r="F286" s="25">
        <v>-122.8224257</v>
      </c>
      <c r="G286" s="25">
        <v>17.34646154</v>
      </c>
      <c r="H286" s="7" t="s">
        <v>22</v>
      </c>
      <c r="I286" s="7" t="s">
        <v>22</v>
      </c>
      <c r="J286" s="25">
        <v>25.107017670000001</v>
      </c>
      <c r="K286" s="25">
        <v>133.37647190000001</v>
      </c>
      <c r="L286" s="8" t="s">
        <v>22</v>
      </c>
      <c r="M286" s="25">
        <v>0.3</v>
      </c>
      <c r="N286" s="25">
        <v>0</v>
      </c>
      <c r="O286" s="8">
        <f>Table1[[#This Row],[R1 Length (km)]]+Table1[[#This Row],[T1 Length (km)]]</f>
        <v>0.3</v>
      </c>
      <c r="P286" s="32">
        <v>25</v>
      </c>
      <c r="Q286" s="8">
        <f>(Table1[[#This Row],[Linear Features (km)]]*0.4)*100</f>
        <v>12</v>
      </c>
      <c r="R286" s="25">
        <v>70.47</v>
      </c>
      <c r="S286" s="10">
        <f>Table1[[#This Row],[ATG (ha)]]/Table1[[#This Row],[Linear Area (ha)]]</f>
        <v>5.8724999999999996</v>
      </c>
      <c r="T286" s="11" t="s">
        <v>22</v>
      </c>
      <c r="U286" s="11" t="s">
        <v>22</v>
      </c>
      <c r="V286" s="25">
        <v>70.47</v>
      </c>
      <c r="W286" s="25">
        <v>28.187999999999999</v>
      </c>
      <c r="X286" s="13">
        <v>20.181063480675199</v>
      </c>
      <c r="Y286" s="12">
        <f>Table1[[#This Row],[Raw Terrestrial Score]]/Table1[[#This Row],[Summed Raw Scores]]</f>
        <v>0.336063489384403</v>
      </c>
      <c r="Z286" s="13">
        <v>39.870278358459501</v>
      </c>
      <c r="AA286" s="12">
        <f>Table1[[#This Row],[Raw Freshwater Score]]/Table1[[#This Row],[Summed Raw Scores]]</f>
        <v>0.663936510615597</v>
      </c>
      <c r="AB286" s="12">
        <f>Table1[[#This Row],[Raw Terrestrial Score]]+Table1[[#This Row],[Raw Freshwater Score]]</f>
        <v>60.0513418391347</v>
      </c>
      <c r="AC286" s="14">
        <f>Table1[[#This Row],[Terrestrial % of Summed Score]]*Table1[[#This Row],[Scaled Summed Score]]</f>
        <v>3.1473772337103478E-3</v>
      </c>
      <c r="AD286" s="14">
        <f>Table1[[#This Row],[Freshwater % of Summed Score]]*Table1[[#This Row],[Scaled Summed Score]]</f>
        <v>6.2180472563932183E-3</v>
      </c>
      <c r="AE286" s="21">
        <f>Table1[[#This Row],[Summed Raw Scores]]/MAX(Table1[Summed Raw Scores])</f>
        <v>9.365424490103566E-3</v>
      </c>
    </row>
    <row r="287" spans="1:31" x14ac:dyDescent="0.3">
      <c r="A287" s="7" t="s">
        <v>269</v>
      </c>
      <c r="B287" s="7" t="s">
        <v>58</v>
      </c>
      <c r="C287" s="7" t="s">
        <v>40</v>
      </c>
      <c r="D287" s="7"/>
      <c r="E287" s="25">
        <v>49.822599660000002</v>
      </c>
      <c r="F287" s="25">
        <v>-119.59908609999999</v>
      </c>
      <c r="G287" s="25">
        <v>16.748307690000001</v>
      </c>
      <c r="H287" s="7" t="s">
        <v>22</v>
      </c>
      <c r="I287" s="7" t="s">
        <v>22</v>
      </c>
      <c r="J287" s="25">
        <v>27.531019149999999</v>
      </c>
      <c r="K287" s="25">
        <v>121.86939649999999</v>
      </c>
      <c r="L287" s="8" t="s">
        <v>22</v>
      </c>
      <c r="M287" s="25">
        <v>0</v>
      </c>
      <c r="N287" s="25">
        <v>3.6</v>
      </c>
      <c r="O287" s="8">
        <f>Table1[[#This Row],[R1 Length (km)]]+Table1[[#This Row],[T1 Length (km)]]</f>
        <v>3.6</v>
      </c>
      <c r="P287" s="32">
        <v>25</v>
      </c>
      <c r="Q287" s="8">
        <f>(Table1[[#This Row],[Linear Features (km)]]*0.4)*100</f>
        <v>144.00000000000003</v>
      </c>
      <c r="R287" s="25">
        <v>68.040000000000006</v>
      </c>
      <c r="S287" s="10">
        <f>Table1[[#This Row],[ATG (ha)]]/Table1[[#This Row],[Linear Area (ha)]]</f>
        <v>0.47249999999999998</v>
      </c>
      <c r="T287" s="11" t="s">
        <v>22</v>
      </c>
      <c r="U287" s="11" t="s">
        <v>22</v>
      </c>
      <c r="V287" s="25">
        <v>68.040000000000006</v>
      </c>
      <c r="W287" s="25">
        <v>27.216000000000001</v>
      </c>
      <c r="X287" s="13">
        <v>118.976384162903</v>
      </c>
      <c r="Y287" s="12">
        <f>Table1[[#This Row],[Raw Terrestrial Score]]/Table1[[#This Row],[Summed Raw Scores]]</f>
        <v>0.87519728802789776</v>
      </c>
      <c r="Z287" s="13">
        <v>16.9659751090221</v>
      </c>
      <c r="AA287" s="12">
        <f>Table1[[#This Row],[Raw Freshwater Score]]/Table1[[#This Row],[Summed Raw Scores]]</f>
        <v>0.12480271197210215</v>
      </c>
      <c r="AB287" s="12">
        <f>Table1[[#This Row],[Raw Terrestrial Score]]+Table1[[#This Row],[Raw Freshwater Score]]</f>
        <v>135.94235927192511</v>
      </c>
      <c r="AC287" s="14">
        <f>Table1[[#This Row],[Terrestrial % of Summed Score]]*Table1[[#This Row],[Scaled Summed Score]]</f>
        <v>1.8555194735999554E-2</v>
      </c>
      <c r="AD287" s="14">
        <f>Table1[[#This Row],[Freshwater % of Summed Score]]*Table1[[#This Row],[Scaled Summed Score]]</f>
        <v>2.6459618372919381E-3</v>
      </c>
      <c r="AE287" s="21">
        <f>Table1[[#This Row],[Summed Raw Scores]]/MAX(Table1[Summed Raw Scores])</f>
        <v>2.1201156573291493E-2</v>
      </c>
    </row>
    <row r="288" spans="1:31" x14ac:dyDescent="0.3">
      <c r="A288" s="7" t="s">
        <v>91</v>
      </c>
      <c r="B288" s="7" t="s">
        <v>58</v>
      </c>
      <c r="C288" s="7" t="s">
        <v>40</v>
      </c>
      <c r="D288" s="7"/>
      <c r="E288" s="23">
        <v>49.822599660000002</v>
      </c>
      <c r="F288" s="23">
        <v>-119.59908609999999</v>
      </c>
      <c r="G288" s="23">
        <v>105.873230769</v>
      </c>
      <c r="H288" s="8" t="s">
        <v>22</v>
      </c>
      <c r="I288" s="8" t="s">
        <v>22</v>
      </c>
      <c r="J288" s="23">
        <v>177.4225591880429</v>
      </c>
      <c r="K288" s="23">
        <v>99.454599163987098</v>
      </c>
      <c r="L288" s="8" t="s">
        <v>22</v>
      </c>
      <c r="M288" s="23">
        <v>0</v>
      </c>
      <c r="N288" s="23">
        <v>3.6</v>
      </c>
      <c r="O288" s="8">
        <f>Table1[[#This Row],[R1 Length (km)]]+Table1[[#This Row],[T1 Length (km)]]</f>
        <v>3.6</v>
      </c>
      <c r="P288" s="13">
        <v>130</v>
      </c>
      <c r="Q288" s="8">
        <f>(Table1[[#This Row],[Linear Features (km)]]*0.4)*100</f>
        <v>144.00000000000003</v>
      </c>
      <c r="R288" s="23">
        <v>511.92</v>
      </c>
      <c r="S288" s="21">
        <f>Table1[[#This Row],[ATG (ha)]]/Table1[[#This Row],[Linear Area (ha)]]</f>
        <v>3.5549999999999993</v>
      </c>
      <c r="T288" s="11" t="s">
        <v>22</v>
      </c>
      <c r="U288" s="11" t="s">
        <v>22</v>
      </c>
      <c r="V288" s="23">
        <v>511.92</v>
      </c>
      <c r="W288" s="23">
        <v>204.76800000000003</v>
      </c>
      <c r="X288" s="13">
        <v>356.88906574249302</v>
      </c>
      <c r="Y288" s="12">
        <f>Table1[[#This Row],[Raw Terrestrial Score]]/Table1[[#This Row],[Summed Raw Scores]]</f>
        <v>0.85215675476645669</v>
      </c>
      <c r="Z288" s="13">
        <v>61.917760286014499</v>
      </c>
      <c r="AA288" s="12">
        <f>Table1[[#This Row],[Raw Freshwater Score]]/Table1[[#This Row],[Summed Raw Scores]]</f>
        <v>0.1478432452335432</v>
      </c>
      <c r="AB288" s="12">
        <f>Table1[[#This Row],[Raw Terrestrial Score]]+Table1[[#This Row],[Raw Freshwater Score]]</f>
        <v>418.80682602850754</v>
      </c>
      <c r="AC288" s="14">
        <f>Table1[[#This Row],[Terrestrial % of Summed Score]]*Table1[[#This Row],[Scaled Summed Score]]</f>
        <v>5.5659332401074083E-2</v>
      </c>
      <c r="AD288" s="14">
        <f>Table1[[#This Row],[Freshwater % of Summed Score]]*Table1[[#This Row],[Scaled Summed Score]]</f>
        <v>9.656505430110103E-3</v>
      </c>
      <c r="AE288" s="21">
        <f>Table1[[#This Row],[Summed Raw Scores]]/MAX(Table1[Summed Raw Scores])</f>
        <v>6.5315837831184193E-2</v>
      </c>
    </row>
    <row r="289" spans="1:31" x14ac:dyDescent="0.3">
      <c r="A289" s="7" t="s">
        <v>369</v>
      </c>
      <c r="B289" s="7" t="s">
        <v>58</v>
      </c>
      <c r="C289" s="7" t="s">
        <v>87</v>
      </c>
      <c r="D289" s="7"/>
      <c r="E289" s="25">
        <v>49.846685530000002</v>
      </c>
      <c r="F289" s="25">
        <v>-119.435188</v>
      </c>
      <c r="G289" s="25">
        <v>212.94276919999999</v>
      </c>
      <c r="H289" s="7" t="s">
        <v>22</v>
      </c>
      <c r="I289" s="7" t="s">
        <v>22</v>
      </c>
      <c r="J289" s="25">
        <v>355.43033650000001</v>
      </c>
      <c r="K289" s="25">
        <v>148.2050812</v>
      </c>
      <c r="L289" s="8" t="s">
        <v>22</v>
      </c>
      <c r="M289" s="25">
        <v>0</v>
      </c>
      <c r="N289" s="25">
        <v>94.2</v>
      </c>
      <c r="O289" s="8">
        <f>Table1[[#This Row],[R1 Length (km)]]+Table1[[#This Row],[T1 Length (km)]]</f>
        <v>94.2</v>
      </c>
      <c r="P289" s="32">
        <v>230</v>
      </c>
      <c r="Q289" s="8">
        <f>(Table1[[#This Row],[Linear Features (km)]]*0.4)*100</f>
        <v>3768</v>
      </c>
      <c r="R289" s="25">
        <v>865.08</v>
      </c>
      <c r="S289" s="10">
        <f>Table1[[#This Row],[ATG (ha)]]/Table1[[#This Row],[Linear Area (ha)]]</f>
        <v>0.22958598726114651</v>
      </c>
      <c r="T289" s="11" t="s">
        <v>22</v>
      </c>
      <c r="U289" s="11" t="s">
        <v>22</v>
      </c>
      <c r="V289" s="25">
        <v>865.08</v>
      </c>
      <c r="W289" s="25">
        <v>346.03199999999998</v>
      </c>
      <c r="X289" s="13">
        <v>1139.71311211586</v>
      </c>
      <c r="Y289" s="12">
        <f>Table1[[#This Row],[Raw Terrestrial Score]]/Table1[[#This Row],[Summed Raw Scores]]</f>
        <v>0.85582459834884239</v>
      </c>
      <c r="Z289" s="13">
        <v>192.00031878426699</v>
      </c>
      <c r="AA289" s="12">
        <f>Table1[[#This Row],[Raw Freshwater Score]]/Table1[[#This Row],[Summed Raw Scores]]</f>
        <v>0.14417540165115766</v>
      </c>
      <c r="AB289" s="12">
        <f>Table1[[#This Row],[Raw Terrestrial Score]]+Table1[[#This Row],[Raw Freshwater Score]]</f>
        <v>1331.7134309001269</v>
      </c>
      <c r="AC289" s="14">
        <f>Table1[[#This Row],[Terrestrial % of Summed Score]]*Table1[[#This Row],[Scaled Summed Score]]</f>
        <v>0.17774618792857652</v>
      </c>
      <c r="AD289" s="14">
        <f>Table1[[#This Row],[Freshwater % of Summed Score]]*Table1[[#This Row],[Scaled Summed Score]]</f>
        <v>2.9943785310689343E-2</v>
      </c>
      <c r="AE289" s="21">
        <f>Table1[[#This Row],[Summed Raw Scores]]/MAX(Table1[Summed Raw Scores])</f>
        <v>0.20768997323926586</v>
      </c>
    </row>
    <row r="290" spans="1:31" x14ac:dyDescent="0.3">
      <c r="A290" s="7" t="s">
        <v>334</v>
      </c>
      <c r="B290" s="7" t="s">
        <v>58</v>
      </c>
      <c r="C290" s="7" t="s">
        <v>87</v>
      </c>
      <c r="D290" s="7"/>
      <c r="E290" s="25">
        <v>49.858667279999999</v>
      </c>
      <c r="F290" s="25">
        <v>-119.35318530000001</v>
      </c>
      <c r="G290" s="25">
        <v>38.880000000000003</v>
      </c>
      <c r="H290" s="7" t="s">
        <v>22</v>
      </c>
      <c r="I290" s="7" t="s">
        <v>22</v>
      </c>
      <c r="J290" s="15">
        <v>65.008087320000001</v>
      </c>
      <c r="K290" s="15">
        <v>136.6651502</v>
      </c>
      <c r="L290" s="8" t="s">
        <v>22</v>
      </c>
      <c r="M290" s="25">
        <v>0.3</v>
      </c>
      <c r="N290" s="25">
        <v>23.4</v>
      </c>
      <c r="O290" s="8">
        <f>Table1[[#This Row],[R1 Length (km)]]+Table1[[#This Row],[T1 Length (km)]]</f>
        <v>23.7</v>
      </c>
      <c r="P290" s="32">
        <v>69</v>
      </c>
      <c r="Q290" s="8">
        <f>(Table1[[#This Row],[Linear Features (km)]]*0.4)*100</f>
        <v>948</v>
      </c>
      <c r="R290" s="25">
        <v>157.94999999999999</v>
      </c>
      <c r="S290" s="10">
        <f>Table1[[#This Row],[ATG (ha)]]/Table1[[#This Row],[Linear Area (ha)]]</f>
        <v>0.16661392405063291</v>
      </c>
      <c r="T290" s="11" t="s">
        <v>22</v>
      </c>
      <c r="U290" s="11" t="s">
        <v>22</v>
      </c>
      <c r="V290" s="25">
        <v>157.94999999999999</v>
      </c>
      <c r="W290" s="25">
        <v>63.18</v>
      </c>
      <c r="X290" s="13">
        <v>516.81238365173294</v>
      </c>
      <c r="Y290" s="12">
        <f>Table1[[#This Row],[Raw Terrestrial Score]]/Table1[[#This Row],[Summed Raw Scores]]</f>
        <v>0.93279262070813185</v>
      </c>
      <c r="Z290" s="13">
        <v>37.236149943433702</v>
      </c>
      <c r="AA290" s="12">
        <f>Table1[[#This Row],[Raw Freshwater Score]]/Table1[[#This Row],[Summed Raw Scores]]</f>
        <v>6.7207379291868125E-2</v>
      </c>
      <c r="AB290" s="12">
        <f>Table1[[#This Row],[Raw Terrestrial Score]]+Table1[[#This Row],[Raw Freshwater Score]]</f>
        <v>554.04853359516665</v>
      </c>
      <c r="AC290" s="14">
        <f>Table1[[#This Row],[Terrestrial % of Summed Score]]*Table1[[#This Row],[Scaled Summed Score]]</f>
        <v>8.0600486290657095E-2</v>
      </c>
      <c r="AD290" s="14">
        <f>Table1[[#This Row],[Freshwater % of Summed Score]]*Table1[[#This Row],[Scaled Summed Score]]</f>
        <v>5.8072366064955781E-3</v>
      </c>
      <c r="AE290" s="21">
        <f>Table1[[#This Row],[Summed Raw Scores]]/MAX(Table1[Summed Raw Scores])</f>
        <v>8.6407722897152678E-2</v>
      </c>
    </row>
    <row r="291" spans="1:31" x14ac:dyDescent="0.3">
      <c r="A291" s="7" t="s">
        <v>297</v>
      </c>
      <c r="B291" s="7" t="s">
        <v>58</v>
      </c>
      <c r="C291" s="7" t="s">
        <v>95</v>
      </c>
      <c r="D291" s="7"/>
      <c r="E291" s="25">
        <v>50.276648289999997</v>
      </c>
      <c r="F291" s="25">
        <v>-115.8603701</v>
      </c>
      <c r="G291" s="25">
        <v>14.35569231</v>
      </c>
      <c r="H291" s="7" t="s">
        <v>22</v>
      </c>
      <c r="I291" s="7" t="s">
        <v>22</v>
      </c>
      <c r="J291" s="25">
        <v>24.485010519999999</v>
      </c>
      <c r="K291" s="25">
        <v>127.52933419999999</v>
      </c>
      <c r="L291" s="8" t="s">
        <v>22</v>
      </c>
      <c r="M291" s="25">
        <v>1.7</v>
      </c>
      <c r="N291" s="25">
        <v>6.4</v>
      </c>
      <c r="O291" s="8">
        <f>Table1[[#This Row],[R1 Length (km)]]+Table1[[#This Row],[T1 Length (km)]]</f>
        <v>8.1</v>
      </c>
      <c r="P291" s="32">
        <v>25</v>
      </c>
      <c r="Q291" s="8">
        <f>(Table1[[#This Row],[Linear Features (km)]]*0.4)*100</f>
        <v>324</v>
      </c>
      <c r="R291" s="25">
        <v>58.32</v>
      </c>
      <c r="S291" s="10">
        <f>Table1[[#This Row],[ATG (ha)]]/Table1[[#This Row],[Linear Area (ha)]]</f>
        <v>0.18</v>
      </c>
      <c r="T291" s="11" t="s">
        <v>22</v>
      </c>
      <c r="U291" s="11" t="s">
        <v>22</v>
      </c>
      <c r="V291" s="25">
        <v>58.32</v>
      </c>
      <c r="W291" s="25">
        <v>23.327999999999999</v>
      </c>
      <c r="X291" s="13">
        <v>216.96177959442099</v>
      </c>
      <c r="Y291" s="12">
        <f>Table1[[#This Row],[Raw Terrestrial Score]]/Table1[[#This Row],[Summed Raw Scores]]</f>
        <v>0.59058066872714365</v>
      </c>
      <c r="Z291" s="13">
        <v>150.40849018096901</v>
      </c>
      <c r="AA291" s="12">
        <f>Table1[[#This Row],[Raw Freshwater Score]]/Table1[[#This Row],[Summed Raw Scores]]</f>
        <v>0.40941933127285635</v>
      </c>
      <c r="AB291" s="12">
        <f>Table1[[#This Row],[Raw Terrestrial Score]]+Table1[[#This Row],[Raw Freshwater Score]]</f>
        <v>367.37026977539</v>
      </c>
      <c r="AC291" s="14">
        <f>Table1[[#This Row],[Terrestrial % of Summed Score]]*Table1[[#This Row],[Scaled Summed Score]]</f>
        <v>3.3836698761423076E-2</v>
      </c>
      <c r="AD291" s="14">
        <f>Table1[[#This Row],[Freshwater % of Summed Score]]*Table1[[#This Row],[Scaled Summed Score]]</f>
        <v>2.3457250318132884E-2</v>
      </c>
      <c r="AE291" s="21">
        <f>Table1[[#This Row],[Summed Raw Scores]]/MAX(Table1[Summed Raw Scores])</f>
        <v>5.7293949079555956E-2</v>
      </c>
    </row>
    <row r="292" spans="1:31" x14ac:dyDescent="0.3">
      <c r="A292" s="7" t="s">
        <v>353</v>
      </c>
      <c r="B292" s="7" t="s">
        <v>58</v>
      </c>
      <c r="C292" s="7" t="s">
        <v>32</v>
      </c>
      <c r="D292" s="7"/>
      <c r="E292" s="25">
        <v>49.212901430000002</v>
      </c>
      <c r="F292" s="25">
        <v>-122.7990886</v>
      </c>
      <c r="G292" s="25">
        <v>14.35569231</v>
      </c>
      <c r="H292" s="7" t="s">
        <v>22</v>
      </c>
      <c r="I292" s="7" t="s">
        <v>22</v>
      </c>
      <c r="J292" s="25">
        <v>20.773970980000001</v>
      </c>
      <c r="K292" s="25">
        <v>141.42138700000001</v>
      </c>
      <c r="L292" s="8" t="s">
        <v>22</v>
      </c>
      <c r="M292" s="25">
        <v>0</v>
      </c>
      <c r="N292" s="25">
        <v>3.7</v>
      </c>
      <c r="O292" s="8">
        <f>Table1[[#This Row],[R1 Length (km)]]+Table1[[#This Row],[T1 Length (km)]]</f>
        <v>3.7</v>
      </c>
      <c r="P292" s="32">
        <v>25</v>
      </c>
      <c r="Q292" s="8">
        <f>(Table1[[#This Row],[Linear Features (km)]]*0.4)*100</f>
        <v>148.00000000000003</v>
      </c>
      <c r="R292" s="25">
        <v>58.32</v>
      </c>
      <c r="S292" s="10">
        <f>Table1[[#This Row],[ATG (ha)]]/Table1[[#This Row],[Linear Area (ha)]]</f>
        <v>0.39405405405405397</v>
      </c>
      <c r="T292" s="11" t="s">
        <v>22</v>
      </c>
      <c r="U292" s="11" t="s">
        <v>22</v>
      </c>
      <c r="V292" s="25">
        <v>58.32</v>
      </c>
      <c r="W292" s="25">
        <v>23.327999999999999</v>
      </c>
      <c r="X292" s="13">
        <v>30.820478484034499</v>
      </c>
      <c r="Y292" s="12">
        <f>Table1[[#This Row],[Raw Terrestrial Score]]/Table1[[#This Row],[Summed Raw Scores]]</f>
        <v>0.33977575283896339</v>
      </c>
      <c r="Z292" s="13">
        <v>59.887814342975602</v>
      </c>
      <c r="AA292" s="12">
        <f>Table1[[#This Row],[Raw Freshwater Score]]/Table1[[#This Row],[Summed Raw Scores]]</f>
        <v>0.66022424716103667</v>
      </c>
      <c r="AB292" s="12">
        <f>Table1[[#This Row],[Raw Terrestrial Score]]+Table1[[#This Row],[Raw Freshwater Score]]</f>
        <v>90.708292827010098</v>
      </c>
      <c r="AC292" s="14">
        <f>Table1[[#This Row],[Terrestrial % of Summed Score]]*Table1[[#This Row],[Scaled Summed Score]]</f>
        <v>4.8066680135859883E-3</v>
      </c>
      <c r="AD292" s="14">
        <f>Table1[[#This Row],[Freshwater % of Summed Score]]*Table1[[#This Row],[Scaled Summed Score]]</f>
        <v>9.3399212395444652E-3</v>
      </c>
      <c r="AE292" s="21">
        <f>Table1[[#This Row],[Summed Raw Scores]]/MAX(Table1[Summed Raw Scores])</f>
        <v>1.4146589253130452E-2</v>
      </c>
    </row>
    <row r="293" spans="1:31" x14ac:dyDescent="0.3">
      <c r="A293" s="7" t="s">
        <v>385</v>
      </c>
      <c r="B293" s="7" t="s">
        <v>58</v>
      </c>
      <c r="C293" s="7" t="s">
        <v>32</v>
      </c>
      <c r="D293" s="7"/>
      <c r="E293" s="25">
        <v>49.179494689999999</v>
      </c>
      <c r="F293" s="25">
        <v>-122.69556009999999</v>
      </c>
      <c r="G293" s="25">
        <v>24.723692310000001</v>
      </c>
      <c r="H293" s="7" t="s">
        <v>22</v>
      </c>
      <c r="I293" s="7" t="s">
        <v>22</v>
      </c>
      <c r="J293" s="25">
        <v>36.095815309999999</v>
      </c>
      <c r="K293" s="25">
        <v>156.3236301</v>
      </c>
      <c r="L293" s="8" t="s">
        <v>22</v>
      </c>
      <c r="M293" s="25">
        <v>0</v>
      </c>
      <c r="N293" s="25">
        <v>0</v>
      </c>
      <c r="O293" s="8">
        <f>Table1[[#This Row],[R1 Length (km)]]+Table1[[#This Row],[T1 Length (km)]]</f>
        <v>0</v>
      </c>
      <c r="P293" s="32">
        <v>69</v>
      </c>
      <c r="Q293" s="8">
        <f>(Table1[[#This Row],[Linear Features (km)]]*0.4)*100</f>
        <v>0</v>
      </c>
      <c r="R293" s="25">
        <v>100.44</v>
      </c>
      <c r="S293" s="10" t="e">
        <f>Table1[[#This Row],[ATG (ha)]]/Table1[[#This Row],[Linear Area (ha)]]</f>
        <v>#DIV/0!</v>
      </c>
      <c r="T293" s="11" t="s">
        <v>22</v>
      </c>
      <c r="U293" s="11" t="s">
        <v>22</v>
      </c>
      <c r="V293" s="25">
        <v>100.44</v>
      </c>
      <c r="W293" s="25">
        <v>40.176000000000002</v>
      </c>
      <c r="X293" s="13">
        <v>39.937050193548203</v>
      </c>
      <c r="Y293" s="12">
        <f>Table1[[#This Row],[Raw Terrestrial Score]]/Table1[[#This Row],[Summed Raw Scores]]</f>
        <v>0.42931070912136032</v>
      </c>
      <c r="Z293" s="13">
        <v>53.0889315605164</v>
      </c>
      <c r="AA293" s="12">
        <f>Table1[[#This Row],[Raw Freshwater Score]]/Table1[[#This Row],[Summed Raw Scores]]</f>
        <v>0.57068929087863962</v>
      </c>
      <c r="AB293" s="12">
        <f>Table1[[#This Row],[Raw Terrestrial Score]]+Table1[[#This Row],[Raw Freshwater Score]]</f>
        <v>93.025981754064603</v>
      </c>
      <c r="AC293" s="14">
        <f>Table1[[#This Row],[Terrestrial % of Summed Score]]*Table1[[#This Row],[Scaled Summed Score]]</f>
        <v>6.228460788554816E-3</v>
      </c>
      <c r="AD293" s="14">
        <f>Table1[[#This Row],[Freshwater % of Summed Score]]*Table1[[#This Row],[Scaled Summed Score]]</f>
        <v>8.2795881751017465E-3</v>
      </c>
      <c r="AE293" s="21">
        <f>Table1[[#This Row],[Summed Raw Scores]]/MAX(Table1[Summed Raw Scores])</f>
        <v>1.4508048963656563E-2</v>
      </c>
    </row>
    <row r="294" spans="1:31" x14ac:dyDescent="0.3">
      <c r="A294" s="7" t="s">
        <v>299</v>
      </c>
      <c r="B294" s="7" t="s">
        <v>58</v>
      </c>
      <c r="C294" s="7" t="s">
        <v>21</v>
      </c>
      <c r="D294" s="7"/>
      <c r="E294" s="25">
        <v>48.834504019999997</v>
      </c>
      <c r="F294" s="25">
        <v>-124.0850609</v>
      </c>
      <c r="G294" s="25">
        <v>46.855384620000002</v>
      </c>
      <c r="H294" s="7" t="s">
        <v>22</v>
      </c>
      <c r="I294" s="7" t="s">
        <v>22</v>
      </c>
      <c r="J294" s="25">
        <v>74.251016120000003</v>
      </c>
      <c r="K294" s="25">
        <v>127.60151999999999</v>
      </c>
      <c r="L294" s="8" t="s">
        <v>22</v>
      </c>
      <c r="M294" s="25">
        <v>0</v>
      </c>
      <c r="N294" s="25">
        <v>2.9</v>
      </c>
      <c r="O294" s="8">
        <f>Table1[[#This Row],[R1 Length (km)]]+Table1[[#This Row],[T1 Length (km)]]</f>
        <v>2.9</v>
      </c>
      <c r="P294" s="32">
        <v>69</v>
      </c>
      <c r="Q294" s="8">
        <f>(Table1[[#This Row],[Linear Features (km)]]*0.4)*100</f>
        <v>115.99999999999999</v>
      </c>
      <c r="R294" s="25">
        <v>190.35</v>
      </c>
      <c r="S294" s="10">
        <f>Table1[[#This Row],[ATG (ha)]]/Table1[[#This Row],[Linear Area (ha)]]</f>
        <v>1.640948275862069</v>
      </c>
      <c r="T294" s="11" t="s">
        <v>22</v>
      </c>
      <c r="U294" s="11" t="s">
        <v>22</v>
      </c>
      <c r="V294" s="25">
        <v>190.35</v>
      </c>
      <c r="W294" s="25">
        <v>76.14</v>
      </c>
      <c r="X294" s="13">
        <v>1.0346759781241399</v>
      </c>
      <c r="Y294" s="12">
        <f>Table1[[#This Row],[Raw Terrestrial Score]]/Table1[[#This Row],[Summed Raw Scores]]</f>
        <v>1.4602009368007502E-2</v>
      </c>
      <c r="Z294" s="13">
        <v>69.823789596557603</v>
      </c>
      <c r="AA294" s="12">
        <f>Table1[[#This Row],[Raw Freshwater Score]]/Table1[[#This Row],[Summed Raw Scores]]</f>
        <v>0.98539799063199252</v>
      </c>
      <c r="AB294" s="12">
        <f>Table1[[#This Row],[Raw Terrestrial Score]]+Table1[[#This Row],[Raw Freshwater Score]]</f>
        <v>70.858465574681745</v>
      </c>
      <c r="AC294" s="14">
        <f>Table1[[#This Row],[Terrestrial % of Summed Score]]*Table1[[#This Row],[Scaled Summed Score]]</f>
        <v>1.6136491622125113E-4</v>
      </c>
      <c r="AD294" s="14">
        <f>Table1[[#This Row],[Freshwater % of Summed Score]]*Table1[[#This Row],[Scaled Summed Score]]</f>
        <v>1.0889505697161321E-2</v>
      </c>
      <c r="AE294" s="21">
        <f>Table1[[#This Row],[Summed Raw Scores]]/MAX(Table1[Summed Raw Scores])</f>
        <v>1.1050870613382571E-2</v>
      </c>
    </row>
    <row r="295" spans="1:31" x14ac:dyDescent="0.3">
      <c r="A295" s="7" t="s">
        <v>379</v>
      </c>
      <c r="B295" s="7" t="s">
        <v>58</v>
      </c>
      <c r="C295" s="7" t="s">
        <v>21</v>
      </c>
      <c r="D295" s="7"/>
      <c r="E295" s="25">
        <v>48.891352070000003</v>
      </c>
      <c r="F295" s="25">
        <v>-123.7671026</v>
      </c>
      <c r="G295" s="25">
        <v>21.533538459999999</v>
      </c>
      <c r="H295" s="7" t="s">
        <v>22</v>
      </c>
      <c r="I295" s="7" t="s">
        <v>22</v>
      </c>
      <c r="J295" s="25">
        <v>35.36836358</v>
      </c>
      <c r="K295" s="25">
        <v>153.0936361</v>
      </c>
      <c r="L295" s="8" t="s">
        <v>22</v>
      </c>
      <c r="M295" s="25">
        <v>0.6</v>
      </c>
      <c r="N295" s="25">
        <v>8.1999999999999993</v>
      </c>
      <c r="O295" s="8">
        <f>Table1[[#This Row],[R1 Length (km)]]+Table1[[#This Row],[T1 Length (km)]]</f>
        <v>8.7999999999999989</v>
      </c>
      <c r="P295" s="32">
        <v>69</v>
      </c>
      <c r="Q295" s="8">
        <f>(Table1[[#This Row],[Linear Features (km)]]*0.4)*100</f>
        <v>351.99999999999994</v>
      </c>
      <c r="R295" s="25">
        <v>87.48</v>
      </c>
      <c r="S295" s="10">
        <f>Table1[[#This Row],[ATG (ha)]]/Table1[[#This Row],[Linear Area (ha)]]</f>
        <v>0.24852272727272731</v>
      </c>
      <c r="T295" s="11" t="s">
        <v>22</v>
      </c>
      <c r="U295" s="11" t="s">
        <v>22</v>
      </c>
      <c r="V295" s="25">
        <v>87.48</v>
      </c>
      <c r="W295" s="25">
        <v>34.991999999999997</v>
      </c>
      <c r="X295" s="13">
        <v>34.251775125972898</v>
      </c>
      <c r="Y295" s="12">
        <f>Table1[[#This Row],[Raw Terrestrial Score]]/Table1[[#This Row],[Summed Raw Scores]]</f>
        <v>0.33092270513054117</v>
      </c>
      <c r="Z295" s="13">
        <v>69.252078175544696</v>
      </c>
      <c r="AA295" s="12">
        <f>Table1[[#This Row],[Raw Freshwater Score]]/Table1[[#This Row],[Summed Raw Scores]]</f>
        <v>0.66907729486945877</v>
      </c>
      <c r="AB295" s="12">
        <f>Table1[[#This Row],[Raw Terrestrial Score]]+Table1[[#This Row],[Raw Freshwater Score]]</f>
        <v>103.50385330151759</v>
      </c>
      <c r="AC295" s="14">
        <f>Table1[[#This Row],[Terrestrial % of Summed Score]]*Table1[[#This Row],[Scaled Summed Score]]</f>
        <v>5.3418025937474875E-3</v>
      </c>
      <c r="AD295" s="14">
        <f>Table1[[#This Row],[Freshwater % of Summed Score]]*Table1[[#This Row],[Scaled Summed Score]]</f>
        <v>1.0800343324104456E-2</v>
      </c>
      <c r="AE295" s="21">
        <f>Table1[[#This Row],[Summed Raw Scores]]/MAX(Table1[Summed Raw Scores])</f>
        <v>1.6142145917851944E-2</v>
      </c>
    </row>
    <row r="296" spans="1:31" x14ac:dyDescent="0.3">
      <c r="A296" s="7" t="s">
        <v>381</v>
      </c>
      <c r="B296" s="7" t="s">
        <v>58</v>
      </c>
      <c r="C296" s="7" t="s">
        <v>21</v>
      </c>
      <c r="D296" s="7"/>
      <c r="E296" s="25">
        <v>48.787689759999999</v>
      </c>
      <c r="F296" s="25">
        <v>-124.0608423</v>
      </c>
      <c r="G296" s="25">
        <v>22.92923077</v>
      </c>
      <c r="H296" s="7" t="s">
        <v>22</v>
      </c>
      <c r="I296" s="7" t="s">
        <v>22</v>
      </c>
      <c r="J296" s="25">
        <v>36.211620850000003</v>
      </c>
      <c r="K296" s="25">
        <v>154.0999851</v>
      </c>
      <c r="L296" s="8" t="s">
        <v>22</v>
      </c>
      <c r="M296" s="25">
        <v>2.8</v>
      </c>
      <c r="N296" s="25">
        <v>3.6</v>
      </c>
      <c r="O296" s="8">
        <f>Table1[[#This Row],[R1 Length (km)]]+Table1[[#This Row],[T1 Length (km)]]</f>
        <v>6.4</v>
      </c>
      <c r="P296" s="32">
        <v>69</v>
      </c>
      <c r="Q296" s="8">
        <f>(Table1[[#This Row],[Linear Features (km)]]*0.4)*100</f>
        <v>256.00000000000006</v>
      </c>
      <c r="R296" s="25">
        <v>93.15</v>
      </c>
      <c r="S296" s="10">
        <f>Table1[[#This Row],[ATG (ha)]]/Table1[[#This Row],[Linear Area (ha)]]</f>
        <v>0.36386718749999997</v>
      </c>
      <c r="T296" s="11" t="s">
        <v>22</v>
      </c>
      <c r="U296" s="11" t="s">
        <v>22</v>
      </c>
      <c r="V296" s="25">
        <v>93.15</v>
      </c>
      <c r="W296" s="25">
        <v>37.26</v>
      </c>
      <c r="X296" s="13">
        <v>25.191296927630901</v>
      </c>
      <c r="Y296" s="12">
        <f>Table1[[#This Row],[Raw Terrestrial Score]]/Table1[[#This Row],[Summed Raw Scores]]</f>
        <v>0.19949624793397724</v>
      </c>
      <c r="Z296" s="13">
        <v>101.083243012428</v>
      </c>
      <c r="AA296" s="12">
        <f>Table1[[#This Row],[Raw Freshwater Score]]/Table1[[#This Row],[Summed Raw Scores]]</f>
        <v>0.80050375206602276</v>
      </c>
      <c r="AB296" s="12">
        <f>Table1[[#This Row],[Raw Terrestrial Score]]+Table1[[#This Row],[Raw Freshwater Score]]</f>
        <v>126.2745399400589</v>
      </c>
      <c r="AC296" s="14">
        <f>Table1[[#This Row],[Terrestrial % of Summed Score]]*Table1[[#This Row],[Scaled Summed Score]]</f>
        <v>3.9287579920446415E-3</v>
      </c>
      <c r="AD296" s="14">
        <f>Table1[[#This Row],[Freshwater % of Summed Score]]*Table1[[#This Row],[Scaled Summed Score]]</f>
        <v>1.5764634904972916E-2</v>
      </c>
      <c r="AE296" s="21">
        <f>Table1[[#This Row],[Summed Raw Scores]]/MAX(Table1[Summed Raw Scores])</f>
        <v>1.9693392897017558E-2</v>
      </c>
    </row>
    <row r="297" spans="1:31" x14ac:dyDescent="0.3">
      <c r="A297" s="7" t="s">
        <v>368</v>
      </c>
      <c r="B297" s="7" t="s">
        <v>58</v>
      </c>
      <c r="C297" s="7" t="s">
        <v>21</v>
      </c>
      <c r="D297" s="7"/>
      <c r="E297" s="25">
        <v>48.769325129999999</v>
      </c>
      <c r="F297" s="25">
        <v>-123.87800729999999</v>
      </c>
      <c r="G297" s="25">
        <v>26.119384620000002</v>
      </c>
      <c r="H297" s="7" t="s">
        <v>22</v>
      </c>
      <c r="I297" s="7" t="s">
        <v>22</v>
      </c>
      <c r="J297" s="25">
        <v>42.899674500000003</v>
      </c>
      <c r="K297" s="25">
        <v>147.1678679</v>
      </c>
      <c r="L297" s="8" t="s">
        <v>22</v>
      </c>
      <c r="M297" s="25">
        <v>0</v>
      </c>
      <c r="N297" s="25">
        <v>12.9</v>
      </c>
      <c r="O297" s="8">
        <f>Table1[[#This Row],[R1 Length (km)]]+Table1[[#This Row],[T1 Length (km)]]</f>
        <v>12.9</v>
      </c>
      <c r="P297" s="32">
        <v>69</v>
      </c>
      <c r="Q297" s="8">
        <f>(Table1[[#This Row],[Linear Features (km)]]*0.4)*100</f>
        <v>516</v>
      </c>
      <c r="R297" s="25">
        <v>106.11</v>
      </c>
      <c r="S297" s="10">
        <f>Table1[[#This Row],[ATG (ha)]]/Table1[[#This Row],[Linear Area (ha)]]</f>
        <v>0.20563953488372094</v>
      </c>
      <c r="T297" s="11" t="s">
        <v>22</v>
      </c>
      <c r="U297" s="11" t="s">
        <v>22</v>
      </c>
      <c r="V297" s="25">
        <v>106.11</v>
      </c>
      <c r="W297" s="25">
        <v>42.444000000000003</v>
      </c>
      <c r="X297" s="13">
        <v>91.669454771093996</v>
      </c>
      <c r="Y297" s="12">
        <f>Table1[[#This Row],[Raw Terrestrial Score]]/Table1[[#This Row],[Summed Raw Scores]]</f>
        <v>0.37055758521305576</v>
      </c>
      <c r="Z297" s="13">
        <v>155.713026195765</v>
      </c>
      <c r="AA297" s="12">
        <f>Table1[[#This Row],[Raw Freshwater Score]]/Table1[[#This Row],[Summed Raw Scores]]</f>
        <v>0.62944241478694429</v>
      </c>
      <c r="AB297" s="12">
        <f>Table1[[#This Row],[Raw Terrestrial Score]]+Table1[[#This Row],[Raw Freshwater Score]]</f>
        <v>247.38248096685899</v>
      </c>
      <c r="AC297" s="14">
        <f>Table1[[#This Row],[Terrestrial % of Summed Score]]*Table1[[#This Row],[Scaled Summed Score]]</f>
        <v>1.42964891443634E-2</v>
      </c>
      <c r="AD297" s="14">
        <f>Table1[[#This Row],[Freshwater % of Summed Score]]*Table1[[#This Row],[Scaled Summed Score]]</f>
        <v>2.428452960915501E-2</v>
      </c>
      <c r="AE297" s="21">
        <f>Table1[[#This Row],[Summed Raw Scores]]/MAX(Table1[Summed Raw Scores])</f>
        <v>3.8581018753518409E-2</v>
      </c>
    </row>
    <row r="298" spans="1:31" x14ac:dyDescent="0.3">
      <c r="A298" s="7" t="s">
        <v>354</v>
      </c>
      <c r="B298" s="7" t="s">
        <v>58</v>
      </c>
      <c r="C298" s="7" t="s">
        <v>32</v>
      </c>
      <c r="D298" s="7"/>
      <c r="E298" s="25">
        <v>49.0586117</v>
      </c>
      <c r="F298" s="25">
        <v>-122.2025148</v>
      </c>
      <c r="G298" s="25">
        <v>16.548923080000002</v>
      </c>
      <c r="H298" s="7" t="s">
        <v>22</v>
      </c>
      <c r="I298" s="7" t="s">
        <v>22</v>
      </c>
      <c r="J298" s="25">
        <v>24.13961162</v>
      </c>
      <c r="K298" s="25">
        <v>141.53712540000001</v>
      </c>
      <c r="L298" s="8" t="s">
        <v>22</v>
      </c>
      <c r="M298" s="25">
        <v>0</v>
      </c>
      <c r="N298" s="25">
        <v>7.3</v>
      </c>
      <c r="O298" s="8">
        <f>Table1[[#This Row],[R1 Length (km)]]+Table1[[#This Row],[T1 Length (km)]]</f>
        <v>7.3</v>
      </c>
      <c r="P298" s="32">
        <v>25</v>
      </c>
      <c r="Q298" s="8">
        <f>(Table1[[#This Row],[Linear Features (km)]]*0.4)*100</f>
        <v>292</v>
      </c>
      <c r="R298" s="25">
        <v>67.23</v>
      </c>
      <c r="S298" s="10">
        <f>Table1[[#This Row],[ATG (ha)]]/Table1[[#This Row],[Linear Area (ha)]]</f>
        <v>0.23023972602739728</v>
      </c>
      <c r="T298" s="11" t="s">
        <v>22</v>
      </c>
      <c r="U298" s="11" t="s">
        <v>22</v>
      </c>
      <c r="V298" s="25">
        <v>67.23</v>
      </c>
      <c r="W298" s="25">
        <v>26.891999999999999</v>
      </c>
      <c r="X298" s="13">
        <v>139.65493390709199</v>
      </c>
      <c r="Y298" s="12">
        <f>Table1[[#This Row],[Raw Terrestrial Score]]/Table1[[#This Row],[Summed Raw Scores]]</f>
        <v>0.70048738294138091</v>
      </c>
      <c r="Z298" s="13">
        <v>59.713302135467501</v>
      </c>
      <c r="AA298" s="12">
        <f>Table1[[#This Row],[Raw Freshwater Score]]/Table1[[#This Row],[Summed Raw Scores]]</f>
        <v>0.29951261705861909</v>
      </c>
      <c r="AB298" s="12">
        <f>Table1[[#This Row],[Raw Terrestrial Score]]+Table1[[#This Row],[Raw Freshwater Score]]</f>
        <v>199.36823604255949</v>
      </c>
      <c r="AC298" s="14">
        <f>Table1[[#This Row],[Terrestrial % of Summed Score]]*Table1[[#This Row],[Scaled Summed Score]]</f>
        <v>2.1780158413128317E-2</v>
      </c>
      <c r="AD298" s="14">
        <f>Table1[[#This Row],[Freshwater % of Summed Score]]*Table1[[#This Row],[Scaled Summed Score]]</f>
        <v>9.3127048468384255E-3</v>
      </c>
      <c r="AE298" s="21">
        <f>Table1[[#This Row],[Summed Raw Scores]]/MAX(Table1[Summed Raw Scores])</f>
        <v>3.1092863259966744E-2</v>
      </c>
    </row>
    <row r="299" spans="1:31" x14ac:dyDescent="0.3">
      <c r="A299" s="7" t="s">
        <v>401</v>
      </c>
      <c r="B299" s="7" t="s">
        <v>58</v>
      </c>
      <c r="C299" s="7" t="s">
        <v>32</v>
      </c>
      <c r="D299" s="7"/>
      <c r="E299" s="25">
        <v>49.071954939999998</v>
      </c>
      <c r="F299" s="25">
        <v>-122.12229979999999</v>
      </c>
      <c r="G299" s="25">
        <v>24.92307692</v>
      </c>
      <c r="H299" s="7" t="s">
        <v>22</v>
      </c>
      <c r="I299" s="7" t="s">
        <v>22</v>
      </c>
      <c r="J299" s="25">
        <v>36.385622320000003</v>
      </c>
      <c r="K299" s="25">
        <v>165.48751809999999</v>
      </c>
      <c r="L299" s="8" t="s">
        <v>22</v>
      </c>
      <c r="M299" s="25">
        <v>0</v>
      </c>
      <c r="N299" s="25">
        <v>10.4</v>
      </c>
      <c r="O299" s="8">
        <f>Table1[[#This Row],[R1 Length (km)]]+Table1[[#This Row],[T1 Length (km)]]</f>
        <v>10.4</v>
      </c>
      <c r="P299" s="32">
        <v>69</v>
      </c>
      <c r="Q299" s="8">
        <f>(Table1[[#This Row],[Linear Features (km)]]*0.4)*100</f>
        <v>416</v>
      </c>
      <c r="R299" s="25">
        <v>101.25</v>
      </c>
      <c r="S299" s="10">
        <f>Table1[[#This Row],[ATG (ha)]]/Table1[[#This Row],[Linear Area (ha)]]</f>
        <v>0.24338942307692307</v>
      </c>
      <c r="T299" s="11" t="s">
        <v>22</v>
      </c>
      <c r="U299" s="11" t="s">
        <v>22</v>
      </c>
      <c r="V299" s="25">
        <v>101.25</v>
      </c>
      <c r="W299" s="25">
        <v>40.5</v>
      </c>
      <c r="X299" s="13">
        <v>279.430430233479</v>
      </c>
      <c r="Y299" s="12">
        <f>Table1[[#This Row],[Raw Terrestrial Score]]/Table1[[#This Row],[Summed Raw Scores]]</f>
        <v>0.63202446768722853</v>
      </c>
      <c r="Z299" s="13">
        <v>162.689209938049</v>
      </c>
      <c r="AA299" s="12">
        <f>Table1[[#This Row],[Raw Freshwater Score]]/Table1[[#This Row],[Summed Raw Scores]]</f>
        <v>0.36797553231277152</v>
      </c>
      <c r="AB299" s="12">
        <f>Table1[[#This Row],[Raw Terrestrial Score]]+Table1[[#This Row],[Raw Freshwater Score]]</f>
        <v>442.11964017152798</v>
      </c>
      <c r="AC299" s="14">
        <f>Table1[[#This Row],[Terrestrial % of Summed Score]]*Table1[[#This Row],[Scaled Summed Score]]</f>
        <v>4.3579119374204306E-2</v>
      </c>
      <c r="AD299" s="14">
        <f>Table1[[#This Row],[Freshwater % of Summed Score]]*Table1[[#This Row],[Scaled Summed Score]]</f>
        <v>2.5372513991626731E-2</v>
      </c>
      <c r="AE299" s="21">
        <f>Table1[[#This Row],[Summed Raw Scores]]/MAX(Table1[Summed Raw Scores])</f>
        <v>6.895163336583103E-2</v>
      </c>
    </row>
    <row r="300" spans="1:31" x14ac:dyDescent="0.3">
      <c r="A300" s="7" t="s">
        <v>92</v>
      </c>
      <c r="B300" s="7" t="s">
        <v>58</v>
      </c>
      <c r="C300" s="7" t="s">
        <v>21</v>
      </c>
      <c r="D300" s="7"/>
      <c r="E300" s="23">
        <v>48.736638659999997</v>
      </c>
      <c r="F300" s="23">
        <v>-123.77466149999999</v>
      </c>
      <c r="G300" s="23">
        <v>92.115692307700002</v>
      </c>
      <c r="H300" s="8" t="s">
        <v>22</v>
      </c>
      <c r="I300" s="8" t="s">
        <v>22</v>
      </c>
      <c r="J300" s="23">
        <v>151.38292161644466</v>
      </c>
      <c r="K300" s="23">
        <v>102.62417884982256</v>
      </c>
      <c r="L300" s="8" t="s">
        <v>22</v>
      </c>
      <c r="M300" s="23">
        <v>0</v>
      </c>
      <c r="N300" s="23">
        <v>5.7</v>
      </c>
      <c r="O300" s="8">
        <f>Table1[[#This Row],[R1 Length (km)]]+Table1[[#This Row],[T1 Length (km)]]</f>
        <v>5.7</v>
      </c>
      <c r="P300" s="13">
        <v>13</v>
      </c>
      <c r="Q300" s="8">
        <f>(Table1[[#This Row],[Linear Features (km)]]*0.4)*100</f>
        <v>228.00000000000003</v>
      </c>
      <c r="R300" s="23">
        <v>200.88</v>
      </c>
      <c r="S300" s="21">
        <f>Table1[[#This Row],[ATG (ha)]]/Table1[[#This Row],[Linear Area (ha)]]</f>
        <v>0.8810526315789472</v>
      </c>
      <c r="T300" s="11" t="s">
        <v>22</v>
      </c>
      <c r="U300" s="11" t="s">
        <v>22</v>
      </c>
      <c r="V300" s="23">
        <v>200.88</v>
      </c>
      <c r="W300" s="23">
        <v>80.352000000000004</v>
      </c>
      <c r="X300" s="13">
        <v>114.70438415464</v>
      </c>
      <c r="Y300" s="12">
        <f>Table1[[#This Row],[Raw Terrestrial Score]]/Table1[[#This Row],[Summed Raw Scores]]</f>
        <v>0.58531501894997373</v>
      </c>
      <c r="Z300" s="13">
        <v>81.265957355499296</v>
      </c>
      <c r="AA300" s="12">
        <f>Table1[[#This Row],[Raw Freshwater Score]]/Table1[[#This Row],[Summed Raw Scores]]</f>
        <v>0.41468498105002632</v>
      </c>
      <c r="AB300" s="12">
        <f>Table1[[#This Row],[Raw Terrestrial Score]]+Table1[[#This Row],[Raw Freshwater Score]]</f>
        <v>195.97034151013929</v>
      </c>
      <c r="AC300" s="14">
        <f>Table1[[#This Row],[Terrestrial % of Summed Score]]*Table1[[#This Row],[Scaled Summed Score]]</f>
        <v>1.7888946617742926E-2</v>
      </c>
      <c r="AD300" s="14">
        <f>Table1[[#This Row],[Freshwater % of Summed Score]]*Table1[[#This Row],[Scaled Summed Score]]</f>
        <v>1.2673991353394079E-2</v>
      </c>
      <c r="AE300" s="21">
        <f>Table1[[#This Row],[Summed Raw Scores]]/MAX(Table1[Summed Raw Scores])</f>
        <v>3.0562937971137003E-2</v>
      </c>
    </row>
    <row r="301" spans="1:31" x14ac:dyDescent="0.3">
      <c r="A301" s="7" t="s">
        <v>303</v>
      </c>
      <c r="B301" s="7" t="s">
        <v>58</v>
      </c>
      <c r="C301" s="7" t="s">
        <v>21</v>
      </c>
      <c r="D301" s="7"/>
      <c r="E301" s="25">
        <v>48.703887680000001</v>
      </c>
      <c r="F301" s="25">
        <v>-123.6714364</v>
      </c>
      <c r="G301" s="25">
        <v>56.625230770000002</v>
      </c>
      <c r="H301" s="7" t="s">
        <v>22</v>
      </c>
      <c r="I301" s="7" t="s">
        <v>22</v>
      </c>
      <c r="J301" s="25">
        <v>93.493798499999997</v>
      </c>
      <c r="K301" s="25">
        <v>128.8212474</v>
      </c>
      <c r="L301" s="8" t="s">
        <v>22</v>
      </c>
      <c r="M301" s="25">
        <v>0.7</v>
      </c>
      <c r="N301" s="25">
        <v>7.9</v>
      </c>
      <c r="O301" s="8">
        <f>Table1[[#This Row],[R1 Length (km)]]+Table1[[#This Row],[T1 Length (km)]]</f>
        <v>8.6</v>
      </c>
      <c r="P301" s="32">
        <v>130</v>
      </c>
      <c r="Q301" s="8">
        <f>(Table1[[#This Row],[Linear Features (km)]]*0.4)*100</f>
        <v>344</v>
      </c>
      <c r="R301" s="25">
        <v>230.04</v>
      </c>
      <c r="S301" s="10">
        <f>Table1[[#This Row],[ATG (ha)]]/Table1[[#This Row],[Linear Area (ha)]]</f>
        <v>0.66872093023255808</v>
      </c>
      <c r="T301" s="11" t="s">
        <v>22</v>
      </c>
      <c r="U301" s="11" t="s">
        <v>22</v>
      </c>
      <c r="V301" s="25">
        <v>230.04</v>
      </c>
      <c r="W301" s="25">
        <v>92.016000000000005</v>
      </c>
      <c r="X301" s="13">
        <v>115.89331319462499</v>
      </c>
      <c r="Y301" s="12">
        <f>Table1[[#This Row],[Raw Terrestrial Score]]/Table1[[#This Row],[Summed Raw Scores]]</f>
        <v>0.63085979765326849</v>
      </c>
      <c r="Z301" s="13">
        <v>67.813611268997207</v>
      </c>
      <c r="AA301" s="12">
        <f>Table1[[#This Row],[Raw Freshwater Score]]/Table1[[#This Row],[Summed Raw Scores]]</f>
        <v>0.36914020234673139</v>
      </c>
      <c r="AB301" s="12">
        <f>Table1[[#This Row],[Raw Terrestrial Score]]+Table1[[#This Row],[Raw Freshwater Score]]</f>
        <v>183.70692446362222</v>
      </c>
      <c r="AC301" s="14">
        <f>Table1[[#This Row],[Terrestrial % of Summed Score]]*Table1[[#This Row],[Scaled Summed Score]]</f>
        <v>1.8074368371979468E-2</v>
      </c>
      <c r="AD301" s="14">
        <f>Table1[[#This Row],[Freshwater % of Summed Score]]*Table1[[#This Row],[Scaled Summed Score]]</f>
        <v>1.0576004403737417E-2</v>
      </c>
      <c r="AE301" s="21">
        <f>Table1[[#This Row],[Summed Raw Scores]]/MAX(Table1[Summed Raw Scores])</f>
        <v>2.865037277571689E-2</v>
      </c>
    </row>
    <row r="302" spans="1:31" x14ac:dyDescent="0.3">
      <c r="A302" s="7" t="s">
        <v>376</v>
      </c>
      <c r="B302" s="7" t="s">
        <v>58</v>
      </c>
      <c r="C302" s="7" t="s">
        <v>21</v>
      </c>
      <c r="D302" s="7"/>
      <c r="E302" s="25">
        <v>48.628806730000001</v>
      </c>
      <c r="F302" s="25">
        <v>-123.8060758</v>
      </c>
      <c r="G302" s="25">
        <v>26.71753846</v>
      </c>
      <c r="H302" s="7" t="s">
        <v>22</v>
      </c>
      <c r="I302" s="7" t="s">
        <v>22</v>
      </c>
      <c r="J302" s="25">
        <v>45.370964180000001</v>
      </c>
      <c r="K302" s="25">
        <v>151.95717139999999</v>
      </c>
      <c r="L302" s="8" t="s">
        <v>22</v>
      </c>
      <c r="M302" s="25">
        <v>2.5</v>
      </c>
      <c r="N302" s="25">
        <v>23.8</v>
      </c>
      <c r="O302" s="8">
        <f>Table1[[#This Row],[R1 Length (km)]]+Table1[[#This Row],[T1 Length (km)]]</f>
        <v>26.3</v>
      </c>
      <c r="P302" s="32">
        <v>69</v>
      </c>
      <c r="Q302" s="8">
        <f>(Table1[[#This Row],[Linear Features (km)]]*0.4)*100</f>
        <v>1052.0000000000002</v>
      </c>
      <c r="R302" s="25">
        <v>108.54</v>
      </c>
      <c r="S302" s="10">
        <f>Table1[[#This Row],[ATG (ha)]]/Table1[[#This Row],[Linear Area (ha)]]</f>
        <v>0.10317490494296576</v>
      </c>
      <c r="T302" s="11" t="s">
        <v>22</v>
      </c>
      <c r="U302" s="11" t="s">
        <v>22</v>
      </c>
      <c r="V302" s="25">
        <v>108.54</v>
      </c>
      <c r="W302" s="25">
        <v>43.415999999999997</v>
      </c>
      <c r="X302" s="13">
        <v>166.03503515943899</v>
      </c>
      <c r="Y302" s="12">
        <f>Table1[[#This Row],[Raw Terrestrial Score]]/Table1[[#This Row],[Summed Raw Scores]]</f>
        <v>0.42460573389696704</v>
      </c>
      <c r="Z302" s="13">
        <v>224.99839162826501</v>
      </c>
      <c r="AA302" s="12">
        <f>Table1[[#This Row],[Raw Freshwater Score]]/Table1[[#This Row],[Summed Raw Scores]]</f>
        <v>0.5753942661030329</v>
      </c>
      <c r="AB302" s="12">
        <f>Table1[[#This Row],[Raw Terrestrial Score]]+Table1[[#This Row],[Raw Freshwater Score]]</f>
        <v>391.033426787704</v>
      </c>
      <c r="AC302" s="14">
        <f>Table1[[#This Row],[Terrestrial % of Summed Score]]*Table1[[#This Row],[Scaled Summed Score]]</f>
        <v>2.5894318709195775E-2</v>
      </c>
      <c r="AD302" s="14">
        <f>Table1[[#This Row],[Freshwater % of Summed Score]]*Table1[[#This Row],[Scaled Summed Score]]</f>
        <v>3.5090064312535099E-2</v>
      </c>
      <c r="AE302" s="21">
        <f>Table1[[#This Row],[Summed Raw Scores]]/MAX(Table1[Summed Raw Scores])</f>
        <v>6.0984383021730877E-2</v>
      </c>
    </row>
    <row r="303" spans="1:31" x14ac:dyDescent="0.3">
      <c r="A303" s="7" t="s">
        <v>395</v>
      </c>
      <c r="B303" s="7" t="s">
        <v>58</v>
      </c>
      <c r="C303" s="7" t="s">
        <v>21</v>
      </c>
      <c r="D303" s="7"/>
      <c r="E303" s="25">
        <v>48.657022589999997</v>
      </c>
      <c r="F303" s="25">
        <v>-123.6476198</v>
      </c>
      <c r="G303" s="25">
        <v>22.131692309999998</v>
      </c>
      <c r="H303" s="7" t="s">
        <v>22</v>
      </c>
      <c r="I303" s="7" t="s">
        <v>22</v>
      </c>
      <c r="J303" s="15">
        <v>36.940196329999999</v>
      </c>
      <c r="K303" s="15">
        <v>159.64407660000001</v>
      </c>
      <c r="L303" s="8" t="s">
        <v>22</v>
      </c>
      <c r="M303" s="25">
        <v>0</v>
      </c>
      <c r="N303" s="25">
        <v>4.3</v>
      </c>
      <c r="O303" s="8">
        <f>Table1[[#This Row],[R1 Length (km)]]+Table1[[#This Row],[T1 Length (km)]]</f>
        <v>4.3</v>
      </c>
      <c r="P303" s="32">
        <v>130</v>
      </c>
      <c r="Q303" s="8">
        <f>(Table1[[#This Row],[Linear Features (km)]]*0.4)*100</f>
        <v>172</v>
      </c>
      <c r="R303" s="25">
        <v>89.91</v>
      </c>
      <c r="S303" s="10">
        <f>Table1[[#This Row],[ATG (ha)]]/Table1[[#This Row],[Linear Area (ha)]]</f>
        <v>0.5227325581395349</v>
      </c>
      <c r="T303" s="11" t="s">
        <v>22</v>
      </c>
      <c r="U303" s="11" t="s">
        <v>22</v>
      </c>
      <c r="V303" s="25">
        <v>89.91</v>
      </c>
      <c r="W303" s="25">
        <v>35.963999999999999</v>
      </c>
      <c r="X303" s="13">
        <v>39.401200681924799</v>
      </c>
      <c r="Y303" s="12">
        <f>Table1[[#This Row],[Raw Terrestrial Score]]/Table1[[#This Row],[Summed Raw Scores]]</f>
        <v>0.42339270323577999</v>
      </c>
      <c r="Z303" s="13">
        <v>53.659450531005902</v>
      </c>
      <c r="AA303" s="12">
        <f>Table1[[#This Row],[Raw Freshwater Score]]/Table1[[#This Row],[Summed Raw Scores]]</f>
        <v>0.57660729676421996</v>
      </c>
      <c r="AB303" s="12">
        <f>Table1[[#This Row],[Raw Terrestrial Score]]+Table1[[#This Row],[Raw Freshwater Score]]</f>
        <v>93.060651212930708</v>
      </c>
      <c r="AC303" s="14">
        <f>Table1[[#This Row],[Terrestrial % of Summed Score]]*Table1[[#This Row],[Scaled Summed Score]]</f>
        <v>6.1448913297305445E-3</v>
      </c>
      <c r="AD303" s="14">
        <f>Table1[[#This Row],[Freshwater % of Summed Score]]*Table1[[#This Row],[Scaled Summed Score]]</f>
        <v>8.3685645772045396E-3</v>
      </c>
      <c r="AE303" s="21">
        <f>Table1[[#This Row],[Summed Raw Scores]]/MAX(Table1[Summed Raw Scores])</f>
        <v>1.4513455906935084E-2</v>
      </c>
    </row>
    <row r="304" spans="1:31" x14ac:dyDescent="0.3">
      <c r="A304" s="7" t="s">
        <v>396</v>
      </c>
      <c r="B304" s="7" t="s">
        <v>58</v>
      </c>
      <c r="C304" s="7" t="s">
        <v>87</v>
      </c>
      <c r="D304" s="7"/>
      <c r="E304" s="25">
        <v>49.600835050000001</v>
      </c>
      <c r="F304" s="25">
        <v>-117.5966896</v>
      </c>
      <c r="G304" s="25">
        <v>33.097846150000002</v>
      </c>
      <c r="H304" s="7" t="s">
        <v>22</v>
      </c>
      <c r="I304" s="7" t="s">
        <v>22</v>
      </c>
      <c r="J304" s="25">
        <v>55.736896889999997</v>
      </c>
      <c r="K304" s="25">
        <v>159.9549342</v>
      </c>
      <c r="L304" s="8" t="s">
        <v>22</v>
      </c>
      <c r="M304" s="25">
        <v>0.7</v>
      </c>
      <c r="N304" s="25">
        <v>51.9</v>
      </c>
      <c r="O304" s="8">
        <f>Table1[[#This Row],[R1 Length (km)]]+Table1[[#This Row],[T1 Length (km)]]</f>
        <v>52.6</v>
      </c>
      <c r="P304" s="32">
        <v>69</v>
      </c>
      <c r="Q304" s="8">
        <f>(Table1[[#This Row],[Linear Features (km)]]*0.4)*100</f>
        <v>2104.0000000000005</v>
      </c>
      <c r="R304" s="25">
        <v>134.46</v>
      </c>
      <c r="S304" s="10">
        <f>Table1[[#This Row],[ATG (ha)]]/Table1[[#This Row],[Linear Area (ha)]]</f>
        <v>6.390684410646387E-2</v>
      </c>
      <c r="T304" s="11" t="s">
        <v>22</v>
      </c>
      <c r="U304" s="11" t="s">
        <v>22</v>
      </c>
      <c r="V304" s="25">
        <v>134.46</v>
      </c>
      <c r="W304" s="25">
        <v>53.783999999999999</v>
      </c>
      <c r="X304" s="13">
        <v>618.30675911903404</v>
      </c>
      <c r="Y304" s="12">
        <f>Table1[[#This Row],[Raw Terrestrial Score]]/Table1[[#This Row],[Summed Raw Scores]]</f>
        <v>0.74380557875926556</v>
      </c>
      <c r="Z304" s="13">
        <v>212.96794058196201</v>
      </c>
      <c r="AA304" s="12">
        <f>Table1[[#This Row],[Raw Freshwater Score]]/Table1[[#This Row],[Summed Raw Scores]]</f>
        <v>0.25619442124073444</v>
      </c>
      <c r="AB304" s="12">
        <f>Table1[[#This Row],[Raw Terrestrial Score]]+Table1[[#This Row],[Raw Freshwater Score]]</f>
        <v>831.27469970099605</v>
      </c>
      <c r="AC304" s="14">
        <f>Table1[[#This Row],[Terrestrial % of Summed Score]]*Table1[[#This Row],[Scaled Summed Score]]</f>
        <v>9.6429240161894914E-2</v>
      </c>
      <c r="AD304" s="14">
        <f>Table1[[#This Row],[Freshwater % of Summed Score]]*Table1[[#This Row],[Scaled Summed Score]]</f>
        <v>3.3213831785410909E-2</v>
      </c>
      <c r="AE304" s="21">
        <f>Table1[[#This Row],[Summed Raw Scores]]/MAX(Table1[Summed Raw Scores])</f>
        <v>0.12964307194730582</v>
      </c>
    </row>
    <row r="305" spans="1:31" x14ac:dyDescent="0.3">
      <c r="A305" s="7" t="s">
        <v>93</v>
      </c>
      <c r="B305" s="7" t="s">
        <v>58</v>
      </c>
      <c r="C305" s="7" t="s">
        <v>21</v>
      </c>
      <c r="D305" s="7" t="s">
        <v>250</v>
      </c>
      <c r="E305" s="23">
        <v>48.544412629999997</v>
      </c>
      <c r="F305" s="23">
        <v>-123.41815510000001</v>
      </c>
      <c r="G305" s="23">
        <v>114.446769231</v>
      </c>
      <c r="H305" s="8" t="s">
        <v>22</v>
      </c>
      <c r="I305" s="8" t="s">
        <v>22</v>
      </c>
      <c r="J305" s="23">
        <v>197.7440004716037</v>
      </c>
      <c r="K305" s="23">
        <v>96.517860072475429</v>
      </c>
      <c r="L305" s="8" t="s">
        <v>22</v>
      </c>
      <c r="M305" s="23">
        <v>0</v>
      </c>
      <c r="N305" s="23">
        <v>6.7</v>
      </c>
      <c r="O305" s="8">
        <f>Table1[[#This Row],[R1 Length (km)]]+Table1[[#This Row],[T1 Length (km)]]</f>
        <v>6.7</v>
      </c>
      <c r="P305" s="13">
        <v>130</v>
      </c>
      <c r="Q305" s="8">
        <f>(Table1[[#This Row],[Linear Features (km)]]*0.4)*100</f>
        <v>268</v>
      </c>
      <c r="R305" s="23">
        <v>221.93999999999997</v>
      </c>
      <c r="S305" s="21">
        <f>Table1[[#This Row],[ATG (ha)]]/Table1[[#This Row],[Linear Area (ha)]]</f>
        <v>0.82813432835820888</v>
      </c>
      <c r="T305" s="11" t="s">
        <v>22</v>
      </c>
      <c r="U305" s="11" t="s">
        <v>22</v>
      </c>
      <c r="V305" s="23">
        <v>221.93999999999997</v>
      </c>
      <c r="W305" s="23">
        <v>88.775999999999996</v>
      </c>
      <c r="X305" s="13">
        <v>235.501620292664</v>
      </c>
      <c r="Y305" s="12">
        <f>Table1[[#This Row],[Raw Terrestrial Score]]/Table1[[#This Row],[Summed Raw Scores]]</f>
        <v>0.65855106051472356</v>
      </c>
      <c r="Z305" s="13">
        <v>122.104090809822</v>
      </c>
      <c r="AA305" s="12">
        <f>Table1[[#This Row],[Raw Freshwater Score]]/Table1[[#This Row],[Summed Raw Scores]]</f>
        <v>0.34144893948527644</v>
      </c>
      <c r="AB305" s="12">
        <f>Table1[[#This Row],[Raw Terrestrial Score]]+Table1[[#This Row],[Raw Freshwater Score]]</f>
        <v>357.605711102486</v>
      </c>
      <c r="AC305" s="14">
        <f>Table1[[#This Row],[Terrestrial % of Summed Score]]*Table1[[#This Row],[Scaled Summed Score]]</f>
        <v>3.6728115885507867E-2</v>
      </c>
      <c r="AD305" s="14">
        <f>Table1[[#This Row],[Freshwater % of Summed Score]]*Table1[[#This Row],[Scaled Summed Score]]</f>
        <v>1.9042982344599255E-2</v>
      </c>
      <c r="AE305" s="21">
        <f>Table1[[#This Row],[Summed Raw Scores]]/MAX(Table1[Summed Raw Scores])</f>
        <v>5.5771098230107126E-2</v>
      </c>
    </row>
    <row r="306" spans="1:31" x14ac:dyDescent="0.3">
      <c r="A306" s="7" t="s">
        <v>411</v>
      </c>
      <c r="B306" s="7" t="s">
        <v>58</v>
      </c>
      <c r="C306" s="7" t="s">
        <v>40</v>
      </c>
      <c r="D306" s="7"/>
      <c r="E306" s="25">
        <v>49.44652155</v>
      </c>
      <c r="F306" s="25">
        <v>-117.6215883</v>
      </c>
      <c r="G306" s="25">
        <v>24.92307692</v>
      </c>
      <c r="H306" s="7" t="s">
        <v>22</v>
      </c>
      <c r="I306" s="7" t="s">
        <v>22</v>
      </c>
      <c r="J306" s="25">
        <v>41.210889450000003</v>
      </c>
      <c r="K306" s="25">
        <v>210.6005706</v>
      </c>
      <c r="L306" s="8" t="s">
        <v>22</v>
      </c>
      <c r="M306" s="25">
        <v>2</v>
      </c>
      <c r="N306" s="25">
        <v>48.5</v>
      </c>
      <c r="O306" s="8">
        <f>Table1[[#This Row],[R1 Length (km)]]+Table1[[#This Row],[T1 Length (km)]]</f>
        <v>50.5</v>
      </c>
      <c r="P306" s="32">
        <v>69</v>
      </c>
      <c r="Q306" s="8">
        <f>(Table1[[#This Row],[Linear Features (km)]]*0.4)*100</f>
        <v>2020.0000000000002</v>
      </c>
      <c r="R306" s="25">
        <v>101.25</v>
      </c>
      <c r="S306" s="10">
        <f>Table1[[#This Row],[ATG (ha)]]/Table1[[#This Row],[Linear Area (ha)]]</f>
        <v>5.012376237623762E-2</v>
      </c>
      <c r="T306" s="11" t="s">
        <v>22</v>
      </c>
      <c r="U306" s="11" t="s">
        <v>22</v>
      </c>
      <c r="V306" s="25">
        <v>101.25</v>
      </c>
      <c r="W306" s="25">
        <v>40.5</v>
      </c>
      <c r="X306" s="13">
        <v>471.71949601173401</v>
      </c>
      <c r="Y306" s="12">
        <f>Table1[[#This Row],[Raw Terrestrial Score]]/Table1[[#This Row],[Summed Raw Scores]]</f>
        <v>0.84020769051428923</v>
      </c>
      <c r="Z306" s="13">
        <v>89.712518164422406</v>
      </c>
      <c r="AA306" s="12">
        <f>Table1[[#This Row],[Raw Freshwater Score]]/Table1[[#This Row],[Summed Raw Scores]]</f>
        <v>0.15979230948571088</v>
      </c>
      <c r="AB306" s="12">
        <f>Table1[[#This Row],[Raw Terrestrial Score]]+Table1[[#This Row],[Raw Freshwater Score]]</f>
        <v>561.43201417615637</v>
      </c>
      <c r="AC306" s="14">
        <f>Table1[[#This Row],[Terrestrial % of Summed Score]]*Table1[[#This Row],[Scaled Summed Score]]</f>
        <v>7.3567936787193422E-2</v>
      </c>
      <c r="AD306" s="14">
        <f>Table1[[#This Row],[Freshwater % of Summed Score]]*Table1[[#This Row],[Scaled Summed Score]]</f>
        <v>1.3991291267673183E-2</v>
      </c>
      <c r="AE306" s="21">
        <f>Table1[[#This Row],[Summed Raw Scores]]/MAX(Table1[Summed Raw Scores])</f>
        <v>8.75592280548666E-2</v>
      </c>
    </row>
    <row r="307" spans="1:31" x14ac:dyDescent="0.3">
      <c r="A307" s="7" t="s">
        <v>306</v>
      </c>
      <c r="B307" s="7" t="s">
        <v>58</v>
      </c>
      <c r="C307" s="7" t="s">
        <v>95</v>
      </c>
      <c r="D307" s="7"/>
      <c r="E307" s="25">
        <v>49.70060788</v>
      </c>
      <c r="F307" s="25">
        <v>-115.64990779999999</v>
      </c>
      <c r="G307" s="25">
        <v>17.545846149999999</v>
      </c>
      <c r="H307" s="7" t="s">
        <v>22</v>
      </c>
      <c r="I307" s="7" t="s">
        <v>22</v>
      </c>
      <c r="J307" s="15">
        <v>30.74753231</v>
      </c>
      <c r="K307" s="15">
        <v>129.42633079999999</v>
      </c>
      <c r="L307" s="8" t="s">
        <v>22</v>
      </c>
      <c r="M307" s="25">
        <v>0</v>
      </c>
      <c r="N307" s="25">
        <v>12.5</v>
      </c>
      <c r="O307" s="8">
        <f>Table1[[#This Row],[R1 Length (km)]]+Table1[[#This Row],[T1 Length (km)]]</f>
        <v>12.5</v>
      </c>
      <c r="P307" s="32">
        <v>25</v>
      </c>
      <c r="Q307" s="8">
        <f>(Table1[[#This Row],[Linear Features (km)]]*0.4)*100</f>
        <v>500</v>
      </c>
      <c r="R307" s="25">
        <v>71.28</v>
      </c>
      <c r="S307" s="10">
        <f>Table1[[#This Row],[ATG (ha)]]/Table1[[#This Row],[Linear Area (ha)]]</f>
        <v>0.14255999999999999</v>
      </c>
      <c r="T307" s="11" t="s">
        <v>22</v>
      </c>
      <c r="U307" s="11" t="s">
        <v>22</v>
      </c>
      <c r="V307" s="25">
        <v>71.28</v>
      </c>
      <c r="W307" s="25">
        <v>28.512</v>
      </c>
      <c r="X307" s="13">
        <v>375.38267540931702</v>
      </c>
      <c r="Y307" s="12">
        <f>Table1[[#This Row],[Raw Terrestrial Score]]/Table1[[#This Row],[Summed Raw Scores]]</f>
        <v>0.82579839466227378</v>
      </c>
      <c r="Z307" s="13">
        <v>79.186718083918095</v>
      </c>
      <c r="AA307" s="12">
        <f>Table1[[#This Row],[Raw Freshwater Score]]/Table1[[#This Row],[Summed Raw Scores]]</f>
        <v>0.17420160533772616</v>
      </c>
      <c r="AB307" s="12">
        <f>Table1[[#This Row],[Raw Terrestrial Score]]+Table1[[#This Row],[Raw Freshwater Score]]</f>
        <v>454.56939349323511</v>
      </c>
      <c r="AC307" s="14">
        <f>Table1[[#This Row],[Terrestrial % of Summed Score]]*Table1[[#This Row],[Scaled Summed Score]]</f>
        <v>5.8543539474215901E-2</v>
      </c>
      <c r="AD307" s="14">
        <f>Table1[[#This Row],[Freshwater % of Summed Score]]*Table1[[#This Row],[Scaled Summed Score]]</f>
        <v>1.2349719525347073E-2</v>
      </c>
      <c r="AE307" s="21">
        <f>Table1[[#This Row],[Summed Raw Scores]]/MAX(Table1[Summed Raw Scores])</f>
        <v>7.0893258999562975E-2</v>
      </c>
    </row>
    <row r="308" spans="1:31" x14ac:dyDescent="0.3">
      <c r="A308" s="7" t="s">
        <v>384</v>
      </c>
      <c r="B308" s="7" t="s">
        <v>58</v>
      </c>
      <c r="C308" s="7" t="s">
        <v>21</v>
      </c>
      <c r="D308" s="7"/>
      <c r="E308" s="25">
        <v>48.394614390000001</v>
      </c>
      <c r="F308" s="25">
        <v>-123.68698790000001</v>
      </c>
      <c r="G308" s="25">
        <v>20.736000000000001</v>
      </c>
      <c r="H308" s="7" t="s">
        <v>22</v>
      </c>
      <c r="I308" s="7" t="s">
        <v>22</v>
      </c>
      <c r="J308" s="25">
        <v>34.642736669999998</v>
      </c>
      <c r="K308" s="25">
        <v>156.2644238</v>
      </c>
      <c r="L308" s="8" t="s">
        <v>22</v>
      </c>
      <c r="M308" s="25">
        <v>0</v>
      </c>
      <c r="N308" s="25">
        <v>0</v>
      </c>
      <c r="O308" s="8">
        <f>Table1[[#This Row],[R1 Length (km)]]+Table1[[#This Row],[T1 Length (km)]]</f>
        <v>0</v>
      </c>
      <c r="P308" s="32">
        <v>130</v>
      </c>
      <c r="Q308" s="8">
        <f>(Table1[[#This Row],[Linear Features (km)]]*0.4)*100</f>
        <v>0</v>
      </c>
      <c r="R308" s="25">
        <v>84.24</v>
      </c>
      <c r="S308" s="10" t="e">
        <f>Table1[[#This Row],[ATG (ha)]]/Table1[[#This Row],[Linear Area (ha)]]</f>
        <v>#DIV/0!</v>
      </c>
      <c r="T308" s="11" t="s">
        <v>22</v>
      </c>
      <c r="U308" s="11" t="s">
        <v>22</v>
      </c>
      <c r="V308" s="25">
        <v>84.24</v>
      </c>
      <c r="W308" s="25">
        <v>33.695999999999998</v>
      </c>
      <c r="X308" s="13">
        <v>0.57379586249589898</v>
      </c>
      <c r="Y308" s="12">
        <f>Table1[[#This Row],[Raw Terrestrial Score]]/Table1[[#This Row],[Summed Raw Scores]]</f>
        <v>2.5532664411491688E-2</v>
      </c>
      <c r="Z308" s="13">
        <v>21.899215698242202</v>
      </c>
      <c r="AA308" s="12">
        <f>Table1[[#This Row],[Raw Freshwater Score]]/Table1[[#This Row],[Summed Raw Scores]]</f>
        <v>0.97446733558850829</v>
      </c>
      <c r="AB308" s="12">
        <f>Table1[[#This Row],[Raw Terrestrial Score]]+Table1[[#This Row],[Raw Freshwater Score]]</f>
        <v>22.473011560738101</v>
      </c>
      <c r="AC308" s="14">
        <f>Table1[[#This Row],[Terrestrial % of Summed Score]]*Table1[[#This Row],[Scaled Summed Score]]</f>
        <v>8.9487456205968177E-5</v>
      </c>
      <c r="AD308" s="14">
        <f>Table1[[#This Row],[Freshwater % of Summed Score]]*Table1[[#This Row],[Scaled Summed Score]]</f>
        <v>3.4153350238831778E-3</v>
      </c>
      <c r="AE308" s="21">
        <f>Table1[[#This Row],[Summed Raw Scores]]/MAX(Table1[Summed Raw Scores])</f>
        <v>3.5048224800891463E-3</v>
      </c>
    </row>
    <row r="309" spans="1:31" x14ac:dyDescent="0.3">
      <c r="A309" s="7" t="s">
        <v>264</v>
      </c>
      <c r="B309" s="7" t="s">
        <v>58</v>
      </c>
      <c r="C309" s="7" t="s">
        <v>21</v>
      </c>
      <c r="D309" s="7"/>
      <c r="E309" s="25">
        <v>48.469565289999998</v>
      </c>
      <c r="F309" s="25">
        <v>-123.5527506</v>
      </c>
      <c r="G309" s="25">
        <v>14.555076919999999</v>
      </c>
      <c r="H309" s="7" t="s">
        <v>22</v>
      </c>
      <c r="I309" s="7" t="s">
        <v>22</v>
      </c>
      <c r="J309" s="25">
        <v>25.070261110000001</v>
      </c>
      <c r="K309" s="25">
        <v>121.10794249999999</v>
      </c>
      <c r="L309" s="8" t="s">
        <v>22</v>
      </c>
      <c r="M309" s="25">
        <v>0.3</v>
      </c>
      <c r="N309" s="25">
        <v>4.9000000000000004</v>
      </c>
      <c r="O309" s="8">
        <f>Table1[[#This Row],[R1 Length (km)]]+Table1[[#This Row],[T1 Length (km)]]</f>
        <v>5.2</v>
      </c>
      <c r="P309" s="32">
        <v>25</v>
      </c>
      <c r="Q309" s="8">
        <f>(Table1[[#This Row],[Linear Features (km)]]*0.4)*100</f>
        <v>208</v>
      </c>
      <c r="R309" s="25">
        <v>59.13</v>
      </c>
      <c r="S309" s="10">
        <f>Table1[[#This Row],[ATG (ha)]]/Table1[[#This Row],[Linear Area (ha)]]</f>
        <v>0.28427884615384619</v>
      </c>
      <c r="T309" s="11" t="s">
        <v>22</v>
      </c>
      <c r="U309" s="11" t="s">
        <v>22</v>
      </c>
      <c r="V309" s="25">
        <v>59.13</v>
      </c>
      <c r="W309" s="25">
        <v>23.652000000000001</v>
      </c>
      <c r="X309" s="13">
        <v>189.49896347522699</v>
      </c>
      <c r="Y309" s="12">
        <f>Table1[[#This Row],[Raw Terrestrial Score]]/Table1[[#This Row],[Summed Raw Scores]]</f>
        <v>0.61064094810398017</v>
      </c>
      <c r="Z309" s="13">
        <v>120.829002678394</v>
      </c>
      <c r="AA309" s="12">
        <f>Table1[[#This Row],[Raw Freshwater Score]]/Table1[[#This Row],[Summed Raw Scores]]</f>
        <v>0.38935905189601983</v>
      </c>
      <c r="AB309" s="12">
        <f>Table1[[#This Row],[Raw Terrestrial Score]]+Table1[[#This Row],[Raw Freshwater Score]]</f>
        <v>310.32796615362099</v>
      </c>
      <c r="AC309" s="14">
        <f>Table1[[#This Row],[Terrestrial % of Summed Score]]*Table1[[#This Row],[Scaled Summed Score]]</f>
        <v>2.9553681550268999E-2</v>
      </c>
      <c r="AD309" s="14">
        <f>Table1[[#This Row],[Freshwater % of Summed Score]]*Table1[[#This Row],[Scaled Summed Score]]</f>
        <v>1.884412348071066E-2</v>
      </c>
      <c r="AE309" s="21">
        <f>Table1[[#This Row],[Summed Raw Scores]]/MAX(Table1[Summed Raw Scores])</f>
        <v>4.8397805030979658E-2</v>
      </c>
    </row>
    <row r="310" spans="1:31" x14ac:dyDescent="0.3">
      <c r="A310" s="7" t="s">
        <v>406</v>
      </c>
      <c r="B310" s="7" t="s">
        <v>58</v>
      </c>
      <c r="C310" s="7" t="s">
        <v>40</v>
      </c>
      <c r="D310" s="7"/>
      <c r="E310" s="25">
        <v>49.339973819999997</v>
      </c>
      <c r="F310" s="25">
        <v>-117.66531380000001</v>
      </c>
      <c r="G310" s="25">
        <v>26.71753846</v>
      </c>
      <c r="H310" s="7" t="s">
        <v>22</v>
      </c>
      <c r="I310" s="7" t="s">
        <v>22</v>
      </c>
      <c r="J310" s="25">
        <v>44.439266430000004</v>
      </c>
      <c r="K310" s="25">
        <v>190.42225400000001</v>
      </c>
      <c r="L310" s="8" t="s">
        <v>22</v>
      </c>
      <c r="M310" s="25">
        <v>0</v>
      </c>
      <c r="N310" s="25">
        <v>35.799999999999997</v>
      </c>
      <c r="O310" s="8">
        <f>Table1[[#This Row],[R1 Length (km)]]+Table1[[#This Row],[T1 Length (km)]]</f>
        <v>35.799999999999997</v>
      </c>
      <c r="P310" s="32">
        <v>69</v>
      </c>
      <c r="Q310" s="8">
        <f>(Table1[[#This Row],[Linear Features (km)]]*0.4)*100</f>
        <v>1432</v>
      </c>
      <c r="R310" s="25">
        <v>108.54</v>
      </c>
      <c r="S310" s="10">
        <f>Table1[[#This Row],[ATG (ha)]]/Table1[[#This Row],[Linear Area (ha)]]</f>
        <v>7.5796089385474871E-2</v>
      </c>
      <c r="T310" s="11" t="s">
        <v>22</v>
      </c>
      <c r="U310" s="11" t="s">
        <v>22</v>
      </c>
      <c r="V310" s="25">
        <v>108.54</v>
      </c>
      <c r="W310" s="25">
        <v>43.415999999999997</v>
      </c>
      <c r="X310" s="13">
        <v>396.60087132453901</v>
      </c>
      <c r="Y310" s="12">
        <f>Table1[[#This Row],[Raw Terrestrial Score]]/Table1[[#This Row],[Summed Raw Scores]]</f>
        <v>0.88912171108378379</v>
      </c>
      <c r="Z310" s="13">
        <v>49.458274887409097</v>
      </c>
      <c r="AA310" s="12">
        <f>Table1[[#This Row],[Raw Freshwater Score]]/Table1[[#This Row],[Summed Raw Scores]]</f>
        <v>0.11087828891621616</v>
      </c>
      <c r="AB310" s="12">
        <f>Table1[[#This Row],[Raw Terrestrial Score]]+Table1[[#This Row],[Raw Freshwater Score]]</f>
        <v>446.05914621194813</v>
      </c>
      <c r="AC310" s="14">
        <f>Table1[[#This Row],[Terrestrial % of Summed Score]]*Table1[[#This Row],[Scaled Summed Score]]</f>
        <v>6.1852664725614265E-2</v>
      </c>
      <c r="AD310" s="14">
        <f>Table1[[#This Row],[Freshwater % of Summed Score]]*Table1[[#This Row],[Scaled Summed Score]]</f>
        <v>7.7133620112874012E-3</v>
      </c>
      <c r="AE310" s="21">
        <f>Table1[[#This Row],[Summed Raw Scores]]/MAX(Table1[Summed Raw Scores])</f>
        <v>6.9566026736901668E-2</v>
      </c>
    </row>
    <row r="311" spans="1:31" x14ac:dyDescent="0.3">
      <c r="A311" s="7" t="s">
        <v>312</v>
      </c>
      <c r="B311" s="7" t="s">
        <v>58</v>
      </c>
      <c r="C311" s="7" t="s">
        <v>95</v>
      </c>
      <c r="D311" s="7"/>
      <c r="E311" s="25">
        <v>49.574248390000001</v>
      </c>
      <c r="F311" s="25">
        <v>-115.8622891</v>
      </c>
      <c r="G311" s="25">
        <v>28.113230770000001</v>
      </c>
      <c r="H311" s="7" t="s">
        <v>22</v>
      </c>
      <c r="I311" s="7" t="s">
        <v>22</v>
      </c>
      <c r="J311" s="25">
        <v>49.920582590000002</v>
      </c>
      <c r="K311" s="25">
        <v>130.6943167</v>
      </c>
      <c r="L311" s="8" t="s">
        <v>22</v>
      </c>
      <c r="M311" s="25">
        <v>0.4</v>
      </c>
      <c r="N311" s="25">
        <v>9</v>
      </c>
      <c r="O311" s="8">
        <f>Table1[[#This Row],[R1 Length (km)]]+Table1[[#This Row],[T1 Length (km)]]</f>
        <v>9.4</v>
      </c>
      <c r="P311" s="32">
        <v>69</v>
      </c>
      <c r="Q311" s="8">
        <f>(Table1[[#This Row],[Linear Features (km)]]*0.4)*100</f>
        <v>376</v>
      </c>
      <c r="R311" s="25">
        <v>114.21</v>
      </c>
      <c r="S311" s="10">
        <f>Table1[[#This Row],[ATG (ha)]]/Table1[[#This Row],[Linear Area (ha)]]</f>
        <v>0.30374999999999996</v>
      </c>
      <c r="T311" s="11" t="s">
        <v>22</v>
      </c>
      <c r="U311" s="11" t="s">
        <v>22</v>
      </c>
      <c r="V311" s="25">
        <v>114.21</v>
      </c>
      <c r="W311" s="25">
        <v>45.683999999999997</v>
      </c>
      <c r="X311" s="13">
        <v>185.25953149795501</v>
      </c>
      <c r="Y311" s="12">
        <f>Table1[[#This Row],[Raw Terrestrial Score]]/Table1[[#This Row],[Summed Raw Scores]]</f>
        <v>0.78450357604742982</v>
      </c>
      <c r="Z311" s="13">
        <v>50.889209125191002</v>
      </c>
      <c r="AA311" s="12">
        <f>Table1[[#This Row],[Raw Freshwater Score]]/Table1[[#This Row],[Summed Raw Scores]]</f>
        <v>0.21549642395257015</v>
      </c>
      <c r="AB311" s="12">
        <f>Table1[[#This Row],[Raw Terrestrial Score]]+Table1[[#This Row],[Raw Freshwater Score]]</f>
        <v>236.14874062314601</v>
      </c>
      <c r="AC311" s="14">
        <f>Table1[[#This Row],[Terrestrial % of Summed Score]]*Table1[[#This Row],[Scaled Summed Score]]</f>
        <v>2.889251264299578E-2</v>
      </c>
      <c r="AD311" s="14">
        <f>Table1[[#This Row],[Freshwater % of Summed Score]]*Table1[[#This Row],[Scaled Summed Score]]</f>
        <v>7.9365261595615525E-3</v>
      </c>
      <c r="AE311" s="21">
        <f>Table1[[#This Row],[Summed Raw Scores]]/MAX(Table1[Summed Raw Scores])</f>
        <v>3.6829038802557335E-2</v>
      </c>
    </row>
    <row r="312" spans="1:31" x14ac:dyDescent="0.3">
      <c r="A312" s="7" t="s">
        <v>409</v>
      </c>
      <c r="B312" s="7" t="s">
        <v>58</v>
      </c>
      <c r="C312" s="7" t="s">
        <v>40</v>
      </c>
      <c r="D312" s="7"/>
      <c r="E312" s="25">
        <v>49.03846231</v>
      </c>
      <c r="F312" s="25">
        <v>-119.4321216</v>
      </c>
      <c r="G312" s="25">
        <v>27.315692309999999</v>
      </c>
      <c r="H312" s="7" t="s">
        <v>22</v>
      </c>
      <c r="I312" s="7" t="s">
        <v>22</v>
      </c>
      <c r="J312" s="25">
        <v>50.403647630000002</v>
      </c>
      <c r="K312" s="25">
        <v>202.4849293</v>
      </c>
      <c r="L312" s="8" t="s">
        <v>22</v>
      </c>
      <c r="M312" s="25">
        <v>0</v>
      </c>
      <c r="N312" s="25">
        <v>27.2</v>
      </c>
      <c r="O312" s="8">
        <f>Table1[[#This Row],[R1 Length (km)]]+Table1[[#This Row],[T1 Length (km)]]</f>
        <v>27.2</v>
      </c>
      <c r="P312" s="32">
        <v>130</v>
      </c>
      <c r="Q312" s="8">
        <f>(Table1[[#This Row],[Linear Features (km)]]*0.4)*100</f>
        <v>1088</v>
      </c>
      <c r="R312" s="25">
        <v>110.97</v>
      </c>
      <c r="S312" s="10">
        <f>Table1[[#This Row],[ATG (ha)]]/Table1[[#This Row],[Linear Area (ha)]]</f>
        <v>0.10199448529411764</v>
      </c>
      <c r="T312" s="11" t="s">
        <v>22</v>
      </c>
      <c r="U312" s="11" t="s">
        <v>22</v>
      </c>
      <c r="V312" s="25">
        <v>110.97</v>
      </c>
      <c r="W312" s="25">
        <v>44.387999999999998</v>
      </c>
      <c r="X312" s="13">
        <v>656.62885284423805</v>
      </c>
      <c r="Y312" s="12">
        <f>Table1[[#This Row],[Raw Terrestrial Score]]/Table1[[#This Row],[Summed Raw Scores]]</f>
        <v>0.95182862762346399</v>
      </c>
      <c r="Z312" s="13">
        <v>33.231520954053799</v>
      </c>
      <c r="AA312" s="12">
        <f>Table1[[#This Row],[Raw Freshwater Score]]/Table1[[#This Row],[Summed Raw Scores]]</f>
        <v>4.8171372376535945E-2</v>
      </c>
      <c r="AB312" s="12">
        <f>Table1[[#This Row],[Raw Terrestrial Score]]+Table1[[#This Row],[Raw Freshwater Score]]</f>
        <v>689.8603737982919</v>
      </c>
      <c r="AC312" s="14">
        <f>Table1[[#This Row],[Terrestrial % of Summed Score]]*Table1[[#This Row],[Scaled Summed Score]]</f>
        <v>0.10240583725522044</v>
      </c>
      <c r="AD312" s="14">
        <f>Table1[[#This Row],[Freshwater % of Summed Score]]*Table1[[#This Row],[Scaled Summed Score]]</f>
        <v>5.1826868585251561E-3</v>
      </c>
      <c r="AE312" s="21">
        <f>Table1[[#This Row],[Summed Raw Scores]]/MAX(Table1[Summed Raw Scores])</f>
        <v>0.1075885241137456</v>
      </c>
    </row>
    <row r="313" spans="1:31" x14ac:dyDescent="0.3">
      <c r="A313" s="7" t="s">
        <v>413</v>
      </c>
      <c r="B313" s="7" t="s">
        <v>58</v>
      </c>
      <c r="C313" s="7" t="s">
        <v>40</v>
      </c>
      <c r="D313" s="7"/>
      <c r="E313" s="25">
        <v>49.086061770000001</v>
      </c>
      <c r="F313" s="25">
        <v>-119.1086566</v>
      </c>
      <c r="G313" s="25">
        <v>23.527384619999999</v>
      </c>
      <c r="H313" s="7" t="s">
        <v>22</v>
      </c>
      <c r="I313" s="7" t="s">
        <v>22</v>
      </c>
      <c r="J313" s="25">
        <v>42.918905299999999</v>
      </c>
      <c r="K313" s="25">
        <v>240.89373699999999</v>
      </c>
      <c r="L313" s="8" t="s">
        <v>22</v>
      </c>
      <c r="M313" s="25">
        <v>0</v>
      </c>
      <c r="N313" s="25">
        <v>40.6</v>
      </c>
      <c r="O313" s="8">
        <f>Table1[[#This Row],[R1 Length (km)]]+Table1[[#This Row],[T1 Length (km)]]</f>
        <v>40.6</v>
      </c>
      <c r="P313" s="32">
        <v>130</v>
      </c>
      <c r="Q313" s="8">
        <f>(Table1[[#This Row],[Linear Features (km)]]*0.4)*100</f>
        <v>1624.0000000000002</v>
      </c>
      <c r="R313" s="25">
        <v>95.58</v>
      </c>
      <c r="S313" s="10">
        <f>Table1[[#This Row],[ATG (ha)]]/Table1[[#This Row],[Linear Area (ha)]]</f>
        <v>5.8854679802955653E-2</v>
      </c>
      <c r="T313" s="11" t="s">
        <v>22</v>
      </c>
      <c r="U313" s="11" t="s">
        <v>22</v>
      </c>
      <c r="V313" s="25">
        <v>95.58</v>
      </c>
      <c r="W313" s="25">
        <v>38.231999999999999</v>
      </c>
      <c r="X313" s="13">
        <v>662.88010734319698</v>
      </c>
      <c r="Y313" s="12">
        <f>Table1[[#This Row],[Raw Terrestrial Score]]/Table1[[#This Row],[Summed Raw Scores]]</f>
        <v>0.95688829923120278</v>
      </c>
      <c r="Z313" s="13">
        <v>29.865438689477699</v>
      </c>
      <c r="AA313" s="12">
        <f>Table1[[#This Row],[Raw Freshwater Score]]/Table1[[#This Row],[Summed Raw Scores]]</f>
        <v>4.3111700768797202E-2</v>
      </c>
      <c r="AB313" s="12">
        <f>Table1[[#This Row],[Raw Terrestrial Score]]+Table1[[#This Row],[Raw Freshwater Score]]</f>
        <v>692.74554603267472</v>
      </c>
      <c r="AC313" s="14">
        <f>Table1[[#This Row],[Terrestrial % of Summed Score]]*Table1[[#This Row],[Scaled Summed Score]]</f>
        <v>0.10338076387942897</v>
      </c>
      <c r="AD313" s="14">
        <f>Table1[[#This Row],[Freshwater % of Summed Score]]*Table1[[#This Row],[Scaled Summed Score]]</f>
        <v>4.6577229141588046E-3</v>
      </c>
      <c r="AE313" s="21">
        <f>Table1[[#This Row],[Summed Raw Scores]]/MAX(Table1[Summed Raw Scores])</f>
        <v>0.10803848679358778</v>
      </c>
    </row>
    <row r="314" spans="1:31" x14ac:dyDescent="0.3">
      <c r="A314" s="7" t="s">
        <v>408</v>
      </c>
      <c r="B314" s="7" t="s">
        <v>58</v>
      </c>
      <c r="C314" s="7" t="s">
        <v>40</v>
      </c>
      <c r="D314" s="7"/>
      <c r="E314" s="25">
        <v>49.236297530000002</v>
      </c>
      <c r="F314" s="25">
        <v>-118.0536295</v>
      </c>
      <c r="G314" s="25">
        <v>24.524307690000001</v>
      </c>
      <c r="H314" s="7" t="s">
        <v>22</v>
      </c>
      <c r="I314" s="7" t="s">
        <v>22</v>
      </c>
      <c r="J314" s="25">
        <v>42.714905270000003</v>
      </c>
      <c r="K314" s="25">
        <v>200.18533529999999</v>
      </c>
      <c r="L314" s="8" t="s">
        <v>22</v>
      </c>
      <c r="M314" s="25">
        <v>0.3</v>
      </c>
      <c r="N314" s="25">
        <v>47.6</v>
      </c>
      <c r="O314" s="8">
        <f>Table1[[#This Row],[R1 Length (km)]]+Table1[[#This Row],[T1 Length (km)]]</f>
        <v>47.9</v>
      </c>
      <c r="P314" s="32">
        <v>69</v>
      </c>
      <c r="Q314" s="8">
        <f>(Table1[[#This Row],[Linear Features (km)]]*0.4)*100</f>
        <v>1916</v>
      </c>
      <c r="R314" s="25">
        <v>99.63</v>
      </c>
      <c r="S314" s="10">
        <f>Table1[[#This Row],[ATG (ha)]]/Table1[[#This Row],[Linear Area (ha)]]</f>
        <v>5.199895615866388E-2</v>
      </c>
      <c r="T314" s="11" t="s">
        <v>22</v>
      </c>
      <c r="U314" s="11" t="s">
        <v>22</v>
      </c>
      <c r="V314" s="25">
        <v>99.63</v>
      </c>
      <c r="W314" s="25">
        <v>39.851999999999997</v>
      </c>
      <c r="X314" s="13">
        <v>548.89758396148704</v>
      </c>
      <c r="Y314" s="12">
        <f>Table1[[#This Row],[Raw Terrestrial Score]]/Table1[[#This Row],[Summed Raw Scores]]</f>
        <v>0.82422780017229724</v>
      </c>
      <c r="Z314" s="13">
        <v>117.056153399404</v>
      </c>
      <c r="AA314" s="12">
        <f>Table1[[#This Row],[Raw Freshwater Score]]/Table1[[#This Row],[Summed Raw Scores]]</f>
        <v>0.1757721998277027</v>
      </c>
      <c r="AB314" s="12">
        <f>Table1[[#This Row],[Raw Terrestrial Score]]+Table1[[#This Row],[Raw Freshwater Score]]</f>
        <v>665.95373736089107</v>
      </c>
      <c r="AC314" s="14">
        <f>Table1[[#This Row],[Terrestrial % of Summed Score]]*Table1[[#This Row],[Scaled Summed Score]]</f>
        <v>8.5604396470646174E-2</v>
      </c>
      <c r="AD314" s="14">
        <f>Table1[[#This Row],[Freshwater % of Summed Score]]*Table1[[#This Row],[Scaled Summed Score]]</f>
        <v>1.8255721390885986E-2</v>
      </c>
      <c r="AE314" s="21">
        <f>Table1[[#This Row],[Summed Raw Scores]]/MAX(Table1[Summed Raw Scores])</f>
        <v>0.10386011786153217</v>
      </c>
    </row>
    <row r="315" spans="1:31" x14ac:dyDescent="0.3">
      <c r="A315" s="7" t="s">
        <v>378</v>
      </c>
      <c r="B315" s="7" t="s">
        <v>58</v>
      </c>
      <c r="C315" s="7" t="s">
        <v>40</v>
      </c>
      <c r="D315" s="7"/>
      <c r="E315" s="25">
        <v>49.292254130000003</v>
      </c>
      <c r="F315" s="25">
        <v>-117.6463486</v>
      </c>
      <c r="G315" s="25">
        <v>64.8</v>
      </c>
      <c r="H315" s="7" t="s">
        <v>22</v>
      </c>
      <c r="I315" s="7" t="s">
        <v>22</v>
      </c>
      <c r="J315" s="25">
        <v>107.23228450000001</v>
      </c>
      <c r="K315" s="25">
        <v>152.60262230000001</v>
      </c>
      <c r="L315" s="8" t="s">
        <v>22</v>
      </c>
      <c r="M315" s="25">
        <v>0.3</v>
      </c>
      <c r="N315" s="25">
        <v>29.8</v>
      </c>
      <c r="O315" s="8">
        <f>Table1[[#This Row],[R1 Length (km)]]+Table1[[#This Row],[T1 Length (km)]]</f>
        <v>30.1</v>
      </c>
      <c r="P315" s="32">
        <v>230</v>
      </c>
      <c r="Q315" s="8">
        <f>(Table1[[#This Row],[Linear Features (km)]]*0.4)*100</f>
        <v>1204</v>
      </c>
      <c r="R315" s="25">
        <v>263.25</v>
      </c>
      <c r="S315" s="10">
        <f>Table1[[#This Row],[ATG (ha)]]/Table1[[#This Row],[Linear Area (ha)]]</f>
        <v>0.21864617940199335</v>
      </c>
      <c r="T315" s="11" t="s">
        <v>22</v>
      </c>
      <c r="U315" s="11" t="s">
        <v>22</v>
      </c>
      <c r="V315" s="25">
        <v>263.25</v>
      </c>
      <c r="W315" s="25">
        <v>105.3</v>
      </c>
      <c r="X315" s="13">
        <v>355.240668535233</v>
      </c>
      <c r="Y315" s="12">
        <f>Table1[[#This Row],[Raw Terrestrial Score]]/Table1[[#This Row],[Summed Raw Scores]]</f>
        <v>0.83053652393764266</v>
      </c>
      <c r="Z315" s="13">
        <v>72.483649777714206</v>
      </c>
      <c r="AA315" s="12">
        <f>Table1[[#This Row],[Raw Freshwater Score]]/Table1[[#This Row],[Summed Raw Scores]]</f>
        <v>0.16946347606235726</v>
      </c>
      <c r="AB315" s="12">
        <f>Table1[[#This Row],[Raw Terrestrial Score]]+Table1[[#This Row],[Raw Freshwater Score]]</f>
        <v>427.72431831294722</v>
      </c>
      <c r="AC315" s="14">
        <f>Table1[[#This Row],[Terrestrial % of Summed Score]]*Table1[[#This Row],[Scaled Summed Score]]</f>
        <v>5.5402253389989761E-2</v>
      </c>
      <c r="AD315" s="14">
        <f>Table1[[#This Row],[Freshwater % of Summed Score]]*Table1[[#This Row],[Scaled Summed Score]]</f>
        <v>1.1304329394982863E-2</v>
      </c>
      <c r="AE315" s="21">
        <f>Table1[[#This Row],[Summed Raw Scores]]/MAX(Table1[Summed Raw Scores])</f>
        <v>6.6706582784972629E-2</v>
      </c>
    </row>
    <row r="316" spans="1:31" x14ac:dyDescent="0.3">
      <c r="A316" s="7" t="s">
        <v>276</v>
      </c>
      <c r="B316" s="7" t="s">
        <v>58</v>
      </c>
      <c r="C316" s="7" t="s">
        <v>95</v>
      </c>
      <c r="D316" s="7"/>
      <c r="E316" s="25">
        <v>49.478360520000003</v>
      </c>
      <c r="F316" s="25">
        <v>-115.82734960000001</v>
      </c>
      <c r="G316" s="25">
        <v>31.103999999999999</v>
      </c>
      <c r="H316" s="7" t="s">
        <v>22</v>
      </c>
      <c r="I316" s="7" t="s">
        <v>22</v>
      </c>
      <c r="J316" s="15">
        <v>56.30024616</v>
      </c>
      <c r="K316" s="15">
        <v>123.52039379999999</v>
      </c>
      <c r="L316" s="8" t="s">
        <v>22</v>
      </c>
      <c r="M316" s="25">
        <v>0.3</v>
      </c>
      <c r="N316" s="25">
        <v>6.8</v>
      </c>
      <c r="O316" s="8">
        <f>Table1[[#This Row],[R1 Length (km)]]+Table1[[#This Row],[T1 Length (km)]]</f>
        <v>7.1</v>
      </c>
      <c r="P316" s="32">
        <v>69</v>
      </c>
      <c r="Q316" s="8">
        <f>(Table1[[#This Row],[Linear Features (km)]]*0.4)*100</f>
        <v>284</v>
      </c>
      <c r="R316" s="25">
        <v>126.36</v>
      </c>
      <c r="S316" s="10">
        <f>Table1[[#This Row],[ATG (ha)]]/Table1[[#This Row],[Linear Area (ha)]]</f>
        <v>0.44492957746478873</v>
      </c>
      <c r="T316" s="11" t="s">
        <v>22</v>
      </c>
      <c r="U316" s="11" t="s">
        <v>22</v>
      </c>
      <c r="V316" s="25">
        <v>126.36</v>
      </c>
      <c r="W316" s="25">
        <v>50.543999999999997</v>
      </c>
      <c r="X316" s="13">
        <v>159.925973594189</v>
      </c>
      <c r="Y316" s="12">
        <f>Table1[[#This Row],[Raw Terrestrial Score]]/Table1[[#This Row],[Summed Raw Scores]]</f>
        <v>0.88216117560158558</v>
      </c>
      <c r="Z316" s="13">
        <v>21.362863431684701</v>
      </c>
      <c r="AA316" s="12">
        <f>Table1[[#This Row],[Raw Freshwater Score]]/Table1[[#This Row],[Summed Raw Scores]]</f>
        <v>0.11783882439841442</v>
      </c>
      <c r="AB316" s="12">
        <f>Table1[[#This Row],[Raw Terrestrial Score]]+Table1[[#This Row],[Raw Freshwater Score]]</f>
        <v>181.2888370258737</v>
      </c>
      <c r="AC316" s="14">
        <f>Table1[[#This Row],[Terrestrial % of Summed Score]]*Table1[[#This Row],[Scaled Summed Score]]</f>
        <v>2.4941568062124355E-2</v>
      </c>
      <c r="AD316" s="14">
        <f>Table1[[#This Row],[Freshwater % of Summed Score]]*Table1[[#This Row],[Scaled Summed Score]]</f>
        <v>3.3316871569296601E-3</v>
      </c>
      <c r="AE316" s="21">
        <f>Table1[[#This Row],[Summed Raw Scores]]/MAX(Table1[Summed Raw Scores])</f>
        <v>2.8273255219054015E-2</v>
      </c>
    </row>
    <row r="317" spans="1:31" x14ac:dyDescent="0.3">
      <c r="A317" s="7" t="s">
        <v>94</v>
      </c>
      <c r="B317" s="7" t="s">
        <v>58</v>
      </c>
      <c r="C317" s="7" t="s">
        <v>95</v>
      </c>
      <c r="D317" s="7"/>
      <c r="E317" s="23">
        <v>49.546591419999999</v>
      </c>
      <c r="F317" s="23">
        <v>-115.68028320000001</v>
      </c>
      <c r="G317" s="23">
        <v>82.146461538500006</v>
      </c>
      <c r="H317" s="8" t="s">
        <v>22</v>
      </c>
      <c r="I317" s="8" t="s">
        <v>22</v>
      </c>
      <c r="J317" s="23">
        <v>145.58409507610833</v>
      </c>
      <c r="K317" s="23">
        <v>103.70798631766935</v>
      </c>
      <c r="L317" s="8" t="s">
        <v>22</v>
      </c>
      <c r="M317" s="23">
        <v>1.8</v>
      </c>
      <c r="N317" s="23">
        <v>9.4</v>
      </c>
      <c r="O317" s="8">
        <f>Table1[[#This Row],[R1 Length (km)]]+Table1[[#This Row],[T1 Length (km)]]</f>
        <v>11.200000000000001</v>
      </c>
      <c r="P317" s="13">
        <v>230</v>
      </c>
      <c r="Q317" s="8">
        <f>(Table1[[#This Row],[Linear Features (km)]]*0.4)*100</f>
        <v>448.00000000000006</v>
      </c>
      <c r="R317" s="23">
        <v>845.64</v>
      </c>
      <c r="S317" s="21">
        <f>Table1[[#This Row],[ATG (ha)]]/Table1[[#This Row],[Linear Area (ha)]]</f>
        <v>1.8875892857142855</v>
      </c>
      <c r="T317" s="11" t="s">
        <v>22</v>
      </c>
      <c r="U317" s="11" t="s">
        <v>22</v>
      </c>
      <c r="V317" s="23">
        <v>845.64</v>
      </c>
      <c r="W317" s="23">
        <v>338.25600000000003</v>
      </c>
      <c r="X317" s="13">
        <v>441.88842964172397</v>
      </c>
      <c r="Y317" s="12">
        <f>Table1[[#This Row],[Raw Terrestrial Score]]/Table1[[#This Row],[Summed Raw Scores]]</f>
        <v>0.88432106381936215</v>
      </c>
      <c r="Z317" s="13">
        <v>57.803874116390901</v>
      </c>
      <c r="AA317" s="12">
        <f>Table1[[#This Row],[Raw Freshwater Score]]/Table1[[#This Row],[Summed Raw Scores]]</f>
        <v>0.1156789361806379</v>
      </c>
      <c r="AB317" s="12">
        <f>Table1[[#This Row],[Raw Terrestrial Score]]+Table1[[#This Row],[Raw Freshwater Score]]</f>
        <v>499.69230375811486</v>
      </c>
      <c r="AC317" s="14">
        <f>Table1[[#This Row],[Terrestrial % of Summed Score]]*Table1[[#This Row],[Scaled Summed Score]]</f>
        <v>6.8915574475356997E-2</v>
      </c>
      <c r="AD317" s="14">
        <f>Table1[[#This Row],[Freshwater % of Summed Score]]*Table1[[#This Row],[Scaled Summed Score]]</f>
        <v>9.0149162648637919E-3</v>
      </c>
      <c r="AE317" s="21">
        <f>Table1[[#This Row],[Summed Raw Scores]]/MAX(Table1[Summed Raw Scores])</f>
        <v>7.7930490740220779E-2</v>
      </c>
    </row>
    <row r="318" spans="1:31" x14ac:dyDescent="0.3">
      <c r="A318" s="7" t="s">
        <v>328</v>
      </c>
      <c r="B318" s="7" t="s">
        <v>58</v>
      </c>
      <c r="C318" s="7" t="s">
        <v>95</v>
      </c>
      <c r="D318" s="7"/>
      <c r="E318" s="25">
        <v>49.528722129999998</v>
      </c>
      <c r="F318" s="25">
        <v>-115.4161629</v>
      </c>
      <c r="G318" s="25">
        <v>12.162461540000001</v>
      </c>
      <c r="H318" s="7" t="s">
        <v>22</v>
      </c>
      <c r="I318" s="7" t="s">
        <v>22</v>
      </c>
      <c r="J318" s="25">
        <v>20.61246491</v>
      </c>
      <c r="K318" s="25">
        <v>133.9561937</v>
      </c>
      <c r="L318" s="8" t="s">
        <v>22</v>
      </c>
      <c r="M318" s="25">
        <v>3.4</v>
      </c>
      <c r="N318" s="25">
        <v>5.4</v>
      </c>
      <c r="O318" s="8">
        <f>Table1[[#This Row],[R1 Length (km)]]+Table1[[#This Row],[T1 Length (km)]]</f>
        <v>8.8000000000000007</v>
      </c>
      <c r="P318" s="32">
        <v>25</v>
      </c>
      <c r="Q318" s="8">
        <f>(Table1[[#This Row],[Linear Features (km)]]*0.4)*100</f>
        <v>352.00000000000006</v>
      </c>
      <c r="R318" s="25">
        <v>49.41</v>
      </c>
      <c r="S318" s="10">
        <f>Table1[[#This Row],[ATG (ha)]]/Table1[[#This Row],[Linear Area (ha)]]</f>
        <v>0.14036931818181814</v>
      </c>
      <c r="T318" s="11" t="s">
        <v>22</v>
      </c>
      <c r="U318" s="11" t="s">
        <v>22</v>
      </c>
      <c r="V318" s="25">
        <v>49.41</v>
      </c>
      <c r="W318" s="25">
        <v>19.763999999999999</v>
      </c>
      <c r="X318" s="13">
        <v>145.857474446297</v>
      </c>
      <c r="Y318" s="12">
        <f>Table1[[#This Row],[Raw Terrestrial Score]]/Table1[[#This Row],[Summed Raw Scores]]</f>
        <v>0.90538839954592665</v>
      </c>
      <c r="Z318" s="13">
        <v>15.241866476833801</v>
      </c>
      <c r="AA318" s="12">
        <f>Table1[[#This Row],[Raw Freshwater Score]]/Table1[[#This Row],[Summed Raw Scores]]</f>
        <v>9.4611600454073366E-2</v>
      </c>
      <c r="AB318" s="12">
        <f>Table1[[#This Row],[Raw Terrestrial Score]]+Table1[[#This Row],[Raw Freshwater Score]]</f>
        <v>161.0993409231308</v>
      </c>
      <c r="AC318" s="14">
        <f>Table1[[#This Row],[Terrestrial % of Summed Score]]*Table1[[#This Row],[Scaled Summed Score]]</f>
        <v>2.2747487756448248E-2</v>
      </c>
      <c r="AD318" s="14">
        <f>Table1[[#This Row],[Freshwater % of Summed Score]]*Table1[[#This Row],[Scaled Summed Score]]</f>
        <v>2.3770751028247923E-3</v>
      </c>
      <c r="AE318" s="21">
        <f>Table1[[#This Row],[Summed Raw Scores]]/MAX(Table1[Summed Raw Scores])</f>
        <v>2.5124562859273041E-2</v>
      </c>
    </row>
    <row r="319" spans="1:31" x14ac:dyDescent="0.3">
      <c r="A319" s="7" t="s">
        <v>331</v>
      </c>
      <c r="B319" s="7" t="s">
        <v>58</v>
      </c>
      <c r="C319" s="7" t="s">
        <v>95</v>
      </c>
      <c r="D319" s="7"/>
      <c r="E319" s="25">
        <v>49.42023451</v>
      </c>
      <c r="F319" s="25">
        <v>-115.8920045</v>
      </c>
      <c r="G319" s="25">
        <v>25.12246154</v>
      </c>
      <c r="H319" s="7" t="s">
        <v>22</v>
      </c>
      <c r="I319" s="7" t="s">
        <v>22</v>
      </c>
      <c r="J319" s="25">
        <v>46.020053150000003</v>
      </c>
      <c r="K319" s="25">
        <v>135.1440547</v>
      </c>
      <c r="L319" s="8" t="s">
        <v>22</v>
      </c>
      <c r="M319" s="25">
        <v>0.6</v>
      </c>
      <c r="N319" s="25">
        <v>14.8</v>
      </c>
      <c r="O319" s="8">
        <f>Table1[[#This Row],[R1 Length (km)]]+Table1[[#This Row],[T1 Length (km)]]</f>
        <v>15.4</v>
      </c>
      <c r="P319" s="32">
        <v>69</v>
      </c>
      <c r="Q319" s="8">
        <f>(Table1[[#This Row],[Linear Features (km)]]*0.4)*100</f>
        <v>616</v>
      </c>
      <c r="R319" s="25">
        <v>102.06</v>
      </c>
      <c r="S319" s="10">
        <f>Table1[[#This Row],[ATG (ha)]]/Table1[[#This Row],[Linear Area (ha)]]</f>
        <v>0.16568181818181818</v>
      </c>
      <c r="T319" s="11" t="s">
        <v>22</v>
      </c>
      <c r="U319" s="11" t="s">
        <v>22</v>
      </c>
      <c r="V319" s="25">
        <v>102.06</v>
      </c>
      <c r="W319" s="25">
        <v>40.823999999999998</v>
      </c>
      <c r="X319" s="13">
        <v>243.69178247451799</v>
      </c>
      <c r="Y319" s="12">
        <f>Table1[[#This Row],[Raw Terrestrial Score]]/Table1[[#This Row],[Summed Raw Scores]]</f>
        <v>0.93228250733114526</v>
      </c>
      <c r="Z319" s="13">
        <v>17.700853940099499</v>
      </c>
      <c r="AA319" s="12">
        <f>Table1[[#This Row],[Raw Freshwater Score]]/Table1[[#This Row],[Summed Raw Scores]]</f>
        <v>6.7717492668854851E-2</v>
      </c>
      <c r="AB319" s="12">
        <f>Table1[[#This Row],[Raw Terrestrial Score]]+Table1[[#This Row],[Raw Freshwater Score]]</f>
        <v>261.39263641461747</v>
      </c>
      <c r="AC319" s="14">
        <f>Table1[[#This Row],[Terrestrial % of Summed Score]]*Table1[[#This Row],[Scaled Summed Score]]</f>
        <v>3.8005428650330526E-2</v>
      </c>
      <c r="AD319" s="14">
        <f>Table1[[#This Row],[Freshwater % of Summed Score]]*Table1[[#This Row],[Scaled Summed Score]]</f>
        <v>2.7605713029766128E-3</v>
      </c>
      <c r="AE319" s="21">
        <f>Table1[[#This Row],[Summed Raw Scores]]/MAX(Table1[Summed Raw Scores])</f>
        <v>4.0765999953307132E-2</v>
      </c>
    </row>
    <row r="320" spans="1:31" x14ac:dyDescent="0.3">
      <c r="A320" s="7" t="s">
        <v>375</v>
      </c>
      <c r="B320" s="7" t="s">
        <v>58</v>
      </c>
      <c r="C320" s="7" t="s">
        <v>40</v>
      </c>
      <c r="D320" s="7"/>
      <c r="E320" s="25">
        <v>49.042633840000001</v>
      </c>
      <c r="F320" s="25">
        <v>-117.6332014</v>
      </c>
      <c r="G320" s="25">
        <v>36.287999999999997</v>
      </c>
      <c r="H320" s="7" t="s">
        <v>22</v>
      </c>
      <c r="I320" s="7" t="s">
        <v>22</v>
      </c>
      <c r="J320" s="25">
        <v>61.39926131</v>
      </c>
      <c r="K320" s="25">
        <v>151.9266222</v>
      </c>
      <c r="L320" s="8" t="s">
        <v>22</v>
      </c>
      <c r="M320" s="25">
        <v>2.2000000000000002</v>
      </c>
      <c r="N320" s="25">
        <v>10</v>
      </c>
      <c r="O320" s="8">
        <f>Table1[[#This Row],[R1 Length (km)]]+Table1[[#This Row],[T1 Length (km)]]</f>
        <v>12.2</v>
      </c>
      <c r="P320" s="32">
        <v>69</v>
      </c>
      <c r="Q320" s="8">
        <f>(Table1[[#This Row],[Linear Features (km)]]*0.4)*100</f>
        <v>488</v>
      </c>
      <c r="R320" s="25">
        <v>147.41999999999999</v>
      </c>
      <c r="S320" s="10">
        <f>Table1[[#This Row],[ATG (ha)]]/Table1[[#This Row],[Linear Area (ha)]]</f>
        <v>0.30209016393442623</v>
      </c>
      <c r="T320" s="11" t="s">
        <v>22</v>
      </c>
      <c r="U320" s="11" t="s">
        <v>22</v>
      </c>
      <c r="V320" s="15">
        <v>147.41999999999999</v>
      </c>
      <c r="W320" s="15">
        <v>58.968000000000004</v>
      </c>
      <c r="X320" s="13">
        <v>239.02171468734701</v>
      </c>
      <c r="Y320" s="12">
        <f>Table1[[#This Row],[Raw Terrestrial Score]]/Table1[[#This Row],[Summed Raw Scores]]</f>
        <v>0.90135731328591584</v>
      </c>
      <c r="Z320" s="13">
        <v>26.158043843693999</v>
      </c>
      <c r="AA320" s="12">
        <f>Table1[[#This Row],[Raw Freshwater Score]]/Table1[[#This Row],[Summed Raw Scores]]</f>
        <v>9.8642686714084299E-2</v>
      </c>
      <c r="AB320" s="12">
        <f>Table1[[#This Row],[Raw Terrestrial Score]]+Table1[[#This Row],[Raw Freshwater Score]]</f>
        <v>265.17975853104099</v>
      </c>
      <c r="AC320" s="14">
        <f>Table1[[#This Row],[Terrestrial % of Summed Score]]*Table1[[#This Row],[Scaled Summed Score]]</f>
        <v>3.727709909290651E-2</v>
      </c>
      <c r="AD320" s="14">
        <f>Table1[[#This Row],[Freshwater % of Summed Score]]*Table1[[#This Row],[Scaled Summed Score]]</f>
        <v>4.0795288985080343E-3</v>
      </c>
      <c r="AE320" s="21">
        <f>Table1[[#This Row],[Summed Raw Scores]]/MAX(Table1[Summed Raw Scores])</f>
        <v>4.1356627991414541E-2</v>
      </c>
    </row>
    <row r="321" spans="1:31" x14ac:dyDescent="0.3">
      <c r="A321" s="7" t="s">
        <v>346</v>
      </c>
      <c r="B321" s="7" t="s">
        <v>58</v>
      </c>
      <c r="C321" s="7" t="s">
        <v>40</v>
      </c>
      <c r="D321" s="7"/>
      <c r="E321" s="25">
        <v>49.145262299999999</v>
      </c>
      <c r="F321" s="25">
        <v>-117.24546170000001</v>
      </c>
      <c r="G321" s="25">
        <v>49.84615385</v>
      </c>
      <c r="H321" s="7" t="s">
        <v>22</v>
      </c>
      <c r="I321" s="7" t="s">
        <v>22</v>
      </c>
      <c r="J321" s="25">
        <v>83.972166369999997</v>
      </c>
      <c r="K321" s="25">
        <v>140.4407076</v>
      </c>
      <c r="L321" s="8" t="s">
        <v>22</v>
      </c>
      <c r="M321" s="25">
        <v>0.3</v>
      </c>
      <c r="N321" s="25">
        <v>18.3</v>
      </c>
      <c r="O321" s="8">
        <f>Table1[[#This Row],[R1 Length (km)]]+Table1[[#This Row],[T1 Length (km)]]</f>
        <v>18.600000000000001</v>
      </c>
      <c r="P321" s="32">
        <v>69</v>
      </c>
      <c r="Q321" s="8">
        <f>(Table1[[#This Row],[Linear Features (km)]]*0.4)*100</f>
        <v>744.00000000000011</v>
      </c>
      <c r="R321" s="25">
        <v>202.5</v>
      </c>
      <c r="S321" s="10">
        <f>Table1[[#This Row],[ATG (ha)]]/Table1[[#This Row],[Linear Area (ha)]]</f>
        <v>0.27217741935483869</v>
      </c>
      <c r="T321" s="11" t="s">
        <v>22</v>
      </c>
      <c r="U321" s="11" t="s">
        <v>22</v>
      </c>
      <c r="V321" s="15">
        <v>202.5</v>
      </c>
      <c r="W321" s="15">
        <v>81</v>
      </c>
      <c r="X321" s="13">
        <v>270.31862288713501</v>
      </c>
      <c r="Y321" s="12">
        <f>Table1[[#This Row],[Raw Terrestrial Score]]/Table1[[#This Row],[Summed Raw Scores]]</f>
        <v>0.86202125163686372</v>
      </c>
      <c r="Z321" s="13">
        <v>43.268336104694797</v>
      </c>
      <c r="AA321" s="12">
        <f>Table1[[#This Row],[Raw Freshwater Score]]/Table1[[#This Row],[Summed Raw Scores]]</f>
        <v>0.1379787483631362</v>
      </c>
      <c r="AB321" s="12">
        <f>Table1[[#This Row],[Raw Terrestrial Score]]+Table1[[#This Row],[Raw Freshwater Score]]</f>
        <v>313.58695899182982</v>
      </c>
      <c r="AC321" s="14">
        <f>Table1[[#This Row],[Terrestrial % of Summed Score]]*Table1[[#This Row],[Scaled Summed Score]]</f>
        <v>4.2158069634813743E-2</v>
      </c>
      <c r="AD321" s="14">
        <f>Table1[[#This Row],[Freshwater % of Summed Score]]*Table1[[#This Row],[Scaled Summed Score]]</f>
        <v>6.7479979995527777E-3</v>
      </c>
      <c r="AE321" s="21">
        <f>Table1[[#This Row],[Summed Raw Scores]]/MAX(Table1[Summed Raw Scores])</f>
        <v>4.8906067634366522E-2</v>
      </c>
    </row>
    <row r="322" spans="1:31" x14ac:dyDescent="0.3">
      <c r="A322" s="7" t="s">
        <v>392</v>
      </c>
      <c r="B322" s="7" t="s">
        <v>58</v>
      </c>
      <c r="C322" s="7" t="s">
        <v>40</v>
      </c>
      <c r="D322" s="7"/>
      <c r="E322" s="25">
        <v>49.097512539999997</v>
      </c>
      <c r="F322" s="25">
        <v>-117.22692290000001</v>
      </c>
      <c r="G322" s="25">
        <v>12.56123077</v>
      </c>
      <c r="H322" s="7" t="s">
        <v>22</v>
      </c>
      <c r="I322" s="7" t="s">
        <v>22</v>
      </c>
      <c r="J322" s="25">
        <v>21.13956245</v>
      </c>
      <c r="K322" s="25">
        <v>159.00699689999999</v>
      </c>
      <c r="L322" s="8" t="s">
        <v>22</v>
      </c>
      <c r="M322" s="25">
        <v>2.8</v>
      </c>
      <c r="N322" s="25">
        <v>14.1</v>
      </c>
      <c r="O322" s="8">
        <f>Table1[[#This Row],[R1 Length (km)]]+Table1[[#This Row],[T1 Length (km)]]</f>
        <v>16.899999999999999</v>
      </c>
      <c r="P322" s="32">
        <v>25</v>
      </c>
      <c r="Q322" s="8">
        <f>(Table1[[#This Row],[Linear Features (km)]]*0.4)*100</f>
        <v>676</v>
      </c>
      <c r="R322" s="25">
        <v>51.03</v>
      </c>
      <c r="S322" s="10">
        <f>Table1[[#This Row],[ATG (ha)]]/Table1[[#This Row],[Linear Area (ha)]]</f>
        <v>7.5488165680473368E-2</v>
      </c>
      <c r="T322" s="11" t="s">
        <v>22</v>
      </c>
      <c r="U322" s="11" t="s">
        <v>22</v>
      </c>
      <c r="V322" s="15">
        <v>51.03</v>
      </c>
      <c r="W322" s="15">
        <v>20.411999999999999</v>
      </c>
      <c r="X322" s="13">
        <v>216.08115923404699</v>
      </c>
      <c r="Y322" s="12">
        <f>Table1[[#This Row],[Raw Terrestrial Score]]/Table1[[#This Row],[Summed Raw Scores]]</f>
        <v>0.91062918038776208</v>
      </c>
      <c r="Z322" s="13">
        <v>21.206601676531101</v>
      </c>
      <c r="AA322" s="12">
        <f>Table1[[#This Row],[Raw Freshwater Score]]/Table1[[#This Row],[Summed Raw Scores]]</f>
        <v>8.9370819612237862E-2</v>
      </c>
      <c r="AB322" s="12">
        <f>Table1[[#This Row],[Raw Terrestrial Score]]+Table1[[#This Row],[Raw Freshwater Score]]</f>
        <v>237.2877609105781</v>
      </c>
      <c r="AC322" s="14">
        <f>Table1[[#This Row],[Terrestrial % of Summed Score]]*Table1[[#This Row],[Scaled Summed Score]]</f>
        <v>3.3699359890434578E-2</v>
      </c>
      <c r="AD322" s="14">
        <f>Table1[[#This Row],[Freshwater % of Summed Score]]*Table1[[#This Row],[Scaled Summed Score]]</f>
        <v>3.3073170492224514E-3</v>
      </c>
      <c r="AE322" s="21">
        <f>Table1[[#This Row],[Summed Raw Scores]]/MAX(Table1[Summed Raw Scores])</f>
        <v>3.7006676939657035E-2</v>
      </c>
    </row>
    <row r="323" spans="1:31" x14ac:dyDescent="0.3">
      <c r="A323" s="7" t="s">
        <v>109</v>
      </c>
      <c r="B323" s="7" t="s">
        <v>97</v>
      </c>
      <c r="C323" s="7" t="s">
        <v>32</v>
      </c>
      <c r="D323" s="7" t="s">
        <v>250</v>
      </c>
      <c r="E323" s="15">
        <v>50.52</v>
      </c>
      <c r="F323" s="15">
        <v>-123.24</v>
      </c>
      <c r="G323" s="8">
        <v>45.1</v>
      </c>
      <c r="H323" s="8">
        <v>40</v>
      </c>
      <c r="I323" s="8">
        <v>7</v>
      </c>
      <c r="J323" s="16">
        <v>231</v>
      </c>
      <c r="K323" s="16">
        <v>72.571789578361177</v>
      </c>
      <c r="L323" s="8" t="s">
        <v>22</v>
      </c>
      <c r="M323" s="15">
        <v>0.3</v>
      </c>
      <c r="N323" s="9">
        <v>61.883766184071128</v>
      </c>
      <c r="O323" s="9">
        <f>Table1[[#This Row],[R1 Length (km)]]+Table1[[#This Row],[T1 Length (km)]]</f>
        <v>62.183766184071125</v>
      </c>
      <c r="P323" s="24">
        <v>230</v>
      </c>
      <c r="Q323" s="9">
        <f>(Table1[[#This Row],[Linear Features (km)]]*0.4)*100</f>
        <v>2487.3506473628454</v>
      </c>
      <c r="R323" s="9">
        <v>61.88</v>
      </c>
      <c r="S323" s="10">
        <f>Table1[[#This Row],[ATG (ha)]]/Table1[[#This Row],[Linear Area (ha)]]</f>
        <v>2.4877875608574452E-2</v>
      </c>
      <c r="T323" s="11" t="s">
        <v>22</v>
      </c>
      <c r="U323" s="11" t="s">
        <v>22</v>
      </c>
      <c r="V323" s="11" t="s">
        <v>22</v>
      </c>
      <c r="W323" s="11" t="s">
        <v>22</v>
      </c>
      <c r="X323" s="13">
        <v>613.94994190335296</v>
      </c>
      <c r="Y323" s="12">
        <f>Table1[[#This Row],[Raw Terrestrial Score]]/Table1[[#This Row],[Summed Raw Scores]]</f>
        <v>0.41128696943895526</v>
      </c>
      <c r="Z323" s="13">
        <v>878.80326333641995</v>
      </c>
      <c r="AA323" s="12">
        <f>Table1[[#This Row],[Raw Freshwater Score]]/Table1[[#This Row],[Summed Raw Scores]]</f>
        <v>0.58871303056104485</v>
      </c>
      <c r="AB323" s="12">
        <f>Table1[[#This Row],[Raw Terrestrial Score]]+Table1[[#This Row],[Raw Freshwater Score]]</f>
        <v>1492.7532052397728</v>
      </c>
      <c r="AC323" s="14">
        <f>Table1[[#This Row],[Terrestrial % of Summed Score]]*Table1[[#This Row],[Scaled Summed Score]]</f>
        <v>9.5749764210134355E-2</v>
      </c>
      <c r="AD323" s="14">
        <f>Table1[[#This Row],[Freshwater % of Summed Score]]*Table1[[#This Row],[Scaled Summed Score]]</f>
        <v>0.1370554820653519</v>
      </c>
      <c r="AE323" s="21">
        <f>Table1[[#This Row],[Summed Raw Scores]]/MAX(Table1[Summed Raw Scores])</f>
        <v>0.23280524627548624</v>
      </c>
    </row>
    <row r="324" spans="1:31" x14ac:dyDescent="0.3">
      <c r="A324" s="7" t="s">
        <v>110</v>
      </c>
      <c r="B324" s="7" t="s">
        <v>97</v>
      </c>
      <c r="C324" s="7" t="s">
        <v>32</v>
      </c>
      <c r="D324" s="7" t="s">
        <v>250</v>
      </c>
      <c r="E324" s="17">
        <v>49.68</v>
      </c>
      <c r="F324" s="17">
        <v>-121.53</v>
      </c>
      <c r="G324" s="8">
        <v>40.4</v>
      </c>
      <c r="H324" s="8">
        <v>40</v>
      </c>
      <c r="I324" s="8">
        <v>8</v>
      </c>
      <c r="J324" s="16">
        <v>134.80000000000001</v>
      </c>
      <c r="K324" s="16">
        <v>88.061461448598124</v>
      </c>
      <c r="L324" s="8" t="s">
        <v>22</v>
      </c>
      <c r="M324" s="17">
        <v>0</v>
      </c>
      <c r="N324" s="9">
        <v>9.6941125496967455</v>
      </c>
      <c r="O324" s="9">
        <f>Table1[[#This Row],[R1 Length (km)]]+Table1[[#This Row],[T1 Length (km)]]</f>
        <v>9.6941125496967455</v>
      </c>
      <c r="P324" s="24">
        <v>69</v>
      </c>
      <c r="Q324" s="9">
        <f>(Table1[[#This Row],[Linear Features (km)]]*0.4)*100</f>
        <v>387.76450198786983</v>
      </c>
      <c r="R324" s="9">
        <v>9.02</v>
      </c>
      <c r="S324" s="10">
        <f>Table1[[#This Row],[ATG (ha)]]/Table1[[#This Row],[Linear Area (ha)]]</f>
        <v>2.3261541357599995E-2</v>
      </c>
      <c r="T324" s="11" t="s">
        <v>22</v>
      </c>
      <c r="U324" s="11" t="s">
        <v>22</v>
      </c>
      <c r="V324" s="11" t="s">
        <v>22</v>
      </c>
      <c r="W324" s="11" t="s">
        <v>22</v>
      </c>
      <c r="X324" s="13">
        <v>12.603204607963599</v>
      </c>
      <c r="Y324" s="12">
        <f>Table1[[#This Row],[Raw Terrestrial Score]]/Table1[[#This Row],[Summed Raw Scores]]</f>
        <v>0.34430768409583495</v>
      </c>
      <c r="Z324" s="13">
        <v>24.001277923583999</v>
      </c>
      <c r="AA324" s="12">
        <f>Table1[[#This Row],[Raw Freshwater Score]]/Table1[[#This Row],[Summed Raw Scores]]</f>
        <v>0.6556923159041651</v>
      </c>
      <c r="AB324" s="12">
        <f>Table1[[#This Row],[Raw Terrestrial Score]]+Table1[[#This Row],[Raw Freshwater Score]]</f>
        <v>36.604482531547596</v>
      </c>
      <c r="AC324" s="14">
        <f>Table1[[#This Row],[Terrestrial % of Summed Score]]*Table1[[#This Row],[Scaled Summed Score]]</f>
        <v>1.965557429264418E-3</v>
      </c>
      <c r="AD324" s="14">
        <f>Table1[[#This Row],[Freshwater % of Summed Score]]*Table1[[#This Row],[Scaled Summed Score]]</f>
        <v>3.7431662503306122E-3</v>
      </c>
      <c r="AE324" s="21">
        <f>Table1[[#This Row],[Summed Raw Scores]]/MAX(Table1[Summed Raw Scores])</f>
        <v>5.7087236795950302E-3</v>
      </c>
    </row>
    <row r="325" spans="1:31" x14ac:dyDescent="0.3">
      <c r="A325" s="7" t="s">
        <v>111</v>
      </c>
      <c r="B325" s="7" t="s">
        <v>97</v>
      </c>
      <c r="C325" s="7" t="s">
        <v>32</v>
      </c>
      <c r="D325" s="7" t="s">
        <v>250</v>
      </c>
      <c r="E325" s="8">
        <v>50.08</v>
      </c>
      <c r="F325" s="8">
        <v>-123.36</v>
      </c>
      <c r="G325" s="8">
        <v>67.7</v>
      </c>
      <c r="H325" s="8">
        <v>40</v>
      </c>
      <c r="I325" s="8">
        <v>10</v>
      </c>
      <c r="J325" s="8">
        <v>345</v>
      </c>
      <c r="K325" s="8">
        <v>92.74</v>
      </c>
      <c r="L325" s="8" t="s">
        <v>22</v>
      </c>
      <c r="M325" s="8">
        <f>299.999999998137/1000</f>
        <v>0.29999999999813703</v>
      </c>
      <c r="N325" s="8">
        <v>38.788899999999998</v>
      </c>
      <c r="O325" s="8">
        <f>Table1[[#This Row],[R1 Length (km)]]+Table1[[#This Row],[T1 Length (km)]]</f>
        <v>39.088899999998134</v>
      </c>
      <c r="P325" s="13">
        <v>130</v>
      </c>
      <c r="Q325" s="8">
        <f>(Table1[[#This Row],[Linear Features (km)]]*0.4)*100</f>
        <v>1563.5559999999255</v>
      </c>
      <c r="R325" s="9">
        <v>133.80000000000001</v>
      </c>
      <c r="S325" s="10">
        <f>Table1[[#This Row],[ATG (ha)]]/Table1[[#This Row],[Linear Area (ha)]]</f>
        <v>8.5574165555954748E-2</v>
      </c>
      <c r="T325" s="11" t="s">
        <v>22</v>
      </c>
      <c r="U325" s="11" t="s">
        <v>22</v>
      </c>
      <c r="V325" s="11" t="s">
        <v>22</v>
      </c>
      <c r="W325" s="11" t="s">
        <v>22</v>
      </c>
      <c r="X325" s="13">
        <v>301.72825336456299</v>
      </c>
      <c r="Y325" s="12">
        <f>Table1[[#This Row],[Raw Terrestrial Score]]/Table1[[#This Row],[Summed Raw Scores]]</f>
        <v>0.26548571040000274</v>
      </c>
      <c r="Z325" s="13">
        <v>834.78584718704201</v>
      </c>
      <c r="AA325" s="12">
        <f>Table1[[#This Row],[Raw Freshwater Score]]/Table1[[#This Row],[Summed Raw Scores]]</f>
        <v>0.73451428959999732</v>
      </c>
      <c r="AB325" s="12">
        <f>Table1[[#This Row],[Raw Terrestrial Score]]+Table1[[#This Row],[Raw Freshwater Score]]</f>
        <v>1136.514100551605</v>
      </c>
      <c r="AC325" s="14">
        <f>Table1[[#This Row],[Terrestrial % of Summed Score]]*Table1[[#This Row],[Scaled Summed Score]]</f>
        <v>4.7056620000039788E-2</v>
      </c>
      <c r="AD325" s="14">
        <f>Table1[[#This Row],[Freshwater % of Summed Score]]*Table1[[#This Row],[Scaled Summed Score]]</f>
        <v>0.13019065982206587</v>
      </c>
      <c r="AE325" s="21">
        <f>Table1[[#This Row],[Summed Raw Scores]]/MAX(Table1[Summed Raw Scores])</f>
        <v>0.17724727982210564</v>
      </c>
    </row>
    <row r="326" spans="1:31" x14ac:dyDescent="0.3">
      <c r="A326" s="7" t="s">
        <v>251</v>
      </c>
      <c r="B326" s="7" t="s">
        <v>259</v>
      </c>
      <c r="C326" s="7" t="s">
        <v>417</v>
      </c>
      <c r="D326" s="7" t="s">
        <v>250</v>
      </c>
      <c r="E326" s="7" t="s">
        <v>22</v>
      </c>
      <c r="F326" s="7" t="s">
        <v>22</v>
      </c>
      <c r="G326" s="7" t="s">
        <v>22</v>
      </c>
      <c r="H326" s="7" t="s">
        <v>22</v>
      </c>
      <c r="I326" s="7" t="s">
        <v>22</v>
      </c>
      <c r="J326" s="7" t="s">
        <v>22</v>
      </c>
      <c r="K326" s="7" t="s">
        <v>22</v>
      </c>
      <c r="L326" s="7" t="s">
        <v>22</v>
      </c>
      <c r="M326" s="7" t="s">
        <v>22</v>
      </c>
      <c r="N326" s="7" t="s">
        <v>22</v>
      </c>
      <c r="O326" s="8">
        <f>67236.2659153/1000</f>
        <v>67.236265915299995</v>
      </c>
      <c r="P326" s="13">
        <v>230</v>
      </c>
      <c r="Q326" s="8">
        <f>(Table1[[#This Row],[Linear Features (km)]]*0.4)*100</f>
        <v>2689.4506366119999</v>
      </c>
      <c r="R326" s="7" t="s">
        <v>22</v>
      </c>
      <c r="S326" s="7" t="s">
        <v>22</v>
      </c>
      <c r="T326" s="11" t="s">
        <v>22</v>
      </c>
      <c r="U326" s="11" t="s">
        <v>22</v>
      </c>
      <c r="V326" s="11" t="s">
        <v>22</v>
      </c>
      <c r="W326" s="11" t="s">
        <v>22</v>
      </c>
      <c r="X326" s="13">
        <v>931.86755758209597</v>
      </c>
      <c r="Y326" s="12">
        <f>Table1[[#This Row],[Raw Terrestrial Score]]/Table1[[#This Row],[Summed Raw Scores]]</f>
        <v>0.73634606644457634</v>
      </c>
      <c r="Z326" s="13">
        <v>333.661790705984</v>
      </c>
      <c r="AA326" s="12">
        <f>Table1[[#This Row],[Raw Freshwater Score]]/Table1[[#This Row],[Summed Raw Scores]]</f>
        <v>0.2636539335554236</v>
      </c>
      <c r="AB326" s="12">
        <f>Table1[[#This Row],[Raw Terrestrial Score]]+Table1[[#This Row],[Raw Freshwater Score]]</f>
        <v>1265.52934828808</v>
      </c>
      <c r="AC326" s="14">
        <f>Table1[[#This Row],[Terrestrial % of Summed Score]]*Table1[[#This Row],[Scaled Summed Score]]</f>
        <v>0.14533122787982169</v>
      </c>
      <c r="AD326" s="14">
        <f>Table1[[#This Row],[Freshwater % of Summed Score]]*Table1[[#This Row],[Scaled Summed Score]]</f>
        <v>5.2036877285116474E-2</v>
      </c>
      <c r="AE326" s="21">
        <f>Table1[[#This Row],[Summed Raw Scores]]/MAX(Table1[Summed Raw Scores])</f>
        <v>0.19736810516493819</v>
      </c>
    </row>
    <row r="327" spans="1:31" x14ac:dyDescent="0.3">
      <c r="A327" s="7" t="s">
        <v>252</v>
      </c>
      <c r="B327" s="7" t="s">
        <v>259</v>
      </c>
      <c r="C327" s="7" t="s">
        <v>418</v>
      </c>
      <c r="D327" s="7" t="s">
        <v>250</v>
      </c>
      <c r="E327" s="7" t="s">
        <v>22</v>
      </c>
      <c r="F327" s="7" t="s">
        <v>22</v>
      </c>
      <c r="G327" s="7" t="s">
        <v>22</v>
      </c>
      <c r="H327" s="7" t="s">
        <v>22</v>
      </c>
      <c r="I327" s="7" t="s">
        <v>22</v>
      </c>
      <c r="J327" s="7" t="s">
        <v>22</v>
      </c>
      <c r="K327" s="7" t="s">
        <v>22</v>
      </c>
      <c r="L327" s="7" t="s">
        <v>22</v>
      </c>
      <c r="M327" s="7" t="s">
        <v>22</v>
      </c>
      <c r="N327" s="7" t="s">
        <v>22</v>
      </c>
      <c r="O327" s="8">
        <f>138413.826987/1000</f>
        <v>138.41382698700002</v>
      </c>
      <c r="P327" s="13">
        <v>500</v>
      </c>
      <c r="Q327" s="8">
        <f>(Table1[[#This Row],[Linear Features (km)]]*0.4)*100</f>
        <v>5536.5530794800006</v>
      </c>
      <c r="R327" s="7" t="s">
        <v>22</v>
      </c>
      <c r="S327" s="7" t="s">
        <v>22</v>
      </c>
      <c r="T327" s="11" t="s">
        <v>22</v>
      </c>
      <c r="U327" s="11" t="s">
        <v>22</v>
      </c>
      <c r="V327" s="11" t="s">
        <v>22</v>
      </c>
      <c r="W327" s="11" t="s">
        <v>22</v>
      </c>
      <c r="X327" s="13">
        <v>2054.25432090089</v>
      </c>
      <c r="Y327" s="12">
        <f>Table1[[#This Row],[Raw Terrestrial Score]]/Table1[[#This Row],[Summed Raw Scores]]</f>
        <v>0.58180210283312106</v>
      </c>
      <c r="Z327" s="13">
        <v>1476.5928707774699</v>
      </c>
      <c r="AA327" s="12">
        <f>Table1[[#This Row],[Raw Freshwater Score]]/Table1[[#This Row],[Summed Raw Scores]]</f>
        <v>0.41819789716687888</v>
      </c>
      <c r="AB327" s="12">
        <f>Table1[[#This Row],[Raw Terrestrial Score]]+Table1[[#This Row],[Raw Freshwater Score]]</f>
        <v>3530.8471916783601</v>
      </c>
      <c r="AC327" s="14">
        <f>Table1[[#This Row],[Terrestrial % of Summed Score]]*Table1[[#This Row],[Scaled Summed Score]]</f>
        <v>0.32037525118761756</v>
      </c>
      <c r="AD327" s="14">
        <f>Table1[[#This Row],[Freshwater % of Summed Score]]*Table1[[#This Row],[Scaled Summed Score]]</f>
        <v>0.23028492970126302</v>
      </c>
      <c r="AE327" s="21">
        <f>Table1[[#This Row],[Summed Raw Scores]]/MAX(Table1[Summed Raw Scores])</f>
        <v>0.55066018088888058</v>
      </c>
    </row>
    <row r="328" spans="1:31" x14ac:dyDescent="0.3">
      <c r="A328" s="7" t="s">
        <v>253</v>
      </c>
      <c r="B328" s="7" t="s">
        <v>259</v>
      </c>
      <c r="C328" s="7" t="s">
        <v>419</v>
      </c>
      <c r="D328" s="7" t="s">
        <v>250</v>
      </c>
      <c r="E328" s="7" t="s">
        <v>22</v>
      </c>
      <c r="F328" s="7" t="s">
        <v>22</v>
      </c>
      <c r="G328" s="7" t="s">
        <v>22</v>
      </c>
      <c r="H328" s="7" t="s">
        <v>22</v>
      </c>
      <c r="I328" s="7" t="s">
        <v>22</v>
      </c>
      <c r="J328" s="7" t="s">
        <v>22</v>
      </c>
      <c r="K328" s="7" t="s">
        <v>22</v>
      </c>
      <c r="L328" s="7" t="s">
        <v>22</v>
      </c>
      <c r="M328" s="7" t="s">
        <v>22</v>
      </c>
      <c r="N328" s="7" t="s">
        <v>22</v>
      </c>
      <c r="O328" s="8">
        <f>138747.847713/1000</f>
        <v>138.747847713</v>
      </c>
      <c r="P328" s="13">
        <v>500</v>
      </c>
      <c r="Q328" s="8">
        <f>(Table1[[#This Row],[Linear Features (km)]]*0.4)*100</f>
        <v>5549.9139085200004</v>
      </c>
      <c r="R328" s="7" t="s">
        <v>22</v>
      </c>
      <c r="S328" s="7" t="s">
        <v>22</v>
      </c>
      <c r="T328" s="11" t="s">
        <v>22</v>
      </c>
      <c r="U328" s="11" t="s">
        <v>22</v>
      </c>
      <c r="V328" s="11" t="s">
        <v>22</v>
      </c>
      <c r="W328" s="11" t="s">
        <v>22</v>
      </c>
      <c r="X328" s="13">
        <v>901.76590472459804</v>
      </c>
      <c r="Y328" s="12">
        <f>Table1[[#This Row],[Raw Terrestrial Score]]/Table1[[#This Row],[Summed Raw Scores]]</f>
        <v>0.65951194172113126</v>
      </c>
      <c r="Z328" s="13">
        <v>465.55718327173997</v>
      </c>
      <c r="AA328" s="12">
        <f>Table1[[#This Row],[Raw Freshwater Score]]/Table1[[#This Row],[Summed Raw Scores]]</f>
        <v>0.3404880582788688</v>
      </c>
      <c r="AB328" s="12">
        <f>Table1[[#This Row],[Raw Terrestrial Score]]+Table1[[#This Row],[Raw Freshwater Score]]</f>
        <v>1367.323087996338</v>
      </c>
      <c r="AC328" s="14">
        <f>Table1[[#This Row],[Terrestrial % of Summed Score]]*Table1[[#This Row],[Scaled Summed Score]]</f>
        <v>0.14063666572300265</v>
      </c>
      <c r="AD328" s="14">
        <f>Table1[[#This Row],[Freshwater % of Summed Score]]*Table1[[#This Row],[Scaled Summed Score]]</f>
        <v>7.2606881248993838E-2</v>
      </c>
      <c r="AE328" s="21">
        <f>Table1[[#This Row],[Summed Raw Scores]]/MAX(Table1[Summed Raw Scores])</f>
        <v>0.21324354697199649</v>
      </c>
    </row>
    <row r="329" spans="1:31" x14ac:dyDescent="0.3">
      <c r="A329" s="7" t="s">
        <v>254</v>
      </c>
      <c r="B329" s="7" t="s">
        <v>259</v>
      </c>
      <c r="C329" s="7" t="s">
        <v>420</v>
      </c>
      <c r="D329" s="7" t="s">
        <v>250</v>
      </c>
      <c r="E329" s="7" t="s">
        <v>22</v>
      </c>
      <c r="F329" s="7" t="s">
        <v>22</v>
      </c>
      <c r="G329" s="7" t="s">
        <v>22</v>
      </c>
      <c r="H329" s="7" t="s">
        <v>22</v>
      </c>
      <c r="I329" s="7" t="s">
        <v>22</v>
      </c>
      <c r="J329" s="7" t="s">
        <v>22</v>
      </c>
      <c r="K329" s="7" t="s">
        <v>22</v>
      </c>
      <c r="L329" s="7" t="s">
        <v>22</v>
      </c>
      <c r="M329" s="7" t="s">
        <v>22</v>
      </c>
      <c r="N329" s="7" t="s">
        <v>22</v>
      </c>
      <c r="O329" s="8">
        <f>330138.916532/1000</f>
        <v>330.138916532</v>
      </c>
      <c r="P329" s="13">
        <v>500</v>
      </c>
      <c r="Q329" s="8">
        <f>(Table1[[#This Row],[Linear Features (km)]]*0.4)*100</f>
        <v>13205.556661279999</v>
      </c>
      <c r="R329" s="7" t="s">
        <v>22</v>
      </c>
      <c r="S329" s="7" t="s">
        <v>22</v>
      </c>
      <c r="T329" s="11" t="s">
        <v>22</v>
      </c>
      <c r="U329" s="11" t="s">
        <v>22</v>
      </c>
      <c r="V329" s="11" t="s">
        <v>22</v>
      </c>
      <c r="W329" s="11" t="s">
        <v>22</v>
      </c>
      <c r="X329" s="13">
        <v>3966.8448703885101</v>
      </c>
      <c r="Y329" s="12">
        <f>Table1[[#This Row],[Raw Terrestrial Score]]/Table1[[#This Row],[Summed Raw Scores]]</f>
        <v>0.61865705177910446</v>
      </c>
      <c r="Z329" s="13">
        <v>2445.1807567030201</v>
      </c>
      <c r="AA329" s="12">
        <f>Table1[[#This Row],[Raw Freshwater Score]]/Table1[[#This Row],[Summed Raw Scores]]</f>
        <v>0.38134294822089543</v>
      </c>
      <c r="AB329" s="12">
        <f>Table1[[#This Row],[Raw Terrestrial Score]]+Table1[[#This Row],[Raw Freshwater Score]]</f>
        <v>6412.0256270915306</v>
      </c>
      <c r="AC329" s="14">
        <f>Table1[[#This Row],[Terrestrial % of Summed Score]]*Table1[[#This Row],[Scaled Summed Score]]</f>
        <v>0.61865705177910446</v>
      </c>
      <c r="AD329" s="14">
        <f>Table1[[#This Row],[Freshwater % of Summed Score]]*Table1[[#This Row],[Scaled Summed Score]]</f>
        <v>0.38134294822089543</v>
      </c>
      <c r="AE329" s="21">
        <f>Table1[[#This Row],[Summed Raw Scores]]/MAX(Table1[Summed Raw Scores])</f>
        <v>1</v>
      </c>
    </row>
    <row r="330" spans="1:31" x14ac:dyDescent="0.3">
      <c r="A330" s="7" t="s">
        <v>255</v>
      </c>
      <c r="B330" s="7" t="s">
        <v>259</v>
      </c>
      <c r="C330" s="7" t="s">
        <v>421</v>
      </c>
      <c r="D330" s="7" t="s">
        <v>250</v>
      </c>
      <c r="E330" s="7" t="s">
        <v>22</v>
      </c>
      <c r="F330" s="7" t="s">
        <v>22</v>
      </c>
      <c r="G330" s="7" t="s">
        <v>22</v>
      </c>
      <c r="H330" s="7" t="s">
        <v>22</v>
      </c>
      <c r="I330" s="7" t="s">
        <v>22</v>
      </c>
      <c r="J330" s="7" t="s">
        <v>22</v>
      </c>
      <c r="K330" s="7" t="s">
        <v>22</v>
      </c>
      <c r="L330" s="7" t="s">
        <v>22</v>
      </c>
      <c r="M330" s="7" t="s">
        <v>22</v>
      </c>
      <c r="N330" s="7" t="s">
        <v>22</v>
      </c>
      <c r="O330" s="8">
        <f>196893.054937999/1000</f>
        <v>196.89305493799901</v>
      </c>
      <c r="P330" s="13">
        <v>500</v>
      </c>
      <c r="Q330" s="8">
        <f>(Table1[[#This Row],[Linear Features (km)]]*0.4)*100</f>
        <v>7875.7221975199609</v>
      </c>
      <c r="R330" s="7" t="s">
        <v>22</v>
      </c>
      <c r="S330" s="7" t="s">
        <v>22</v>
      </c>
      <c r="T330" s="11" t="s">
        <v>22</v>
      </c>
      <c r="U330" s="11" t="s">
        <v>22</v>
      </c>
      <c r="V330" s="11" t="s">
        <v>22</v>
      </c>
      <c r="W330" s="11" t="s">
        <v>22</v>
      </c>
      <c r="X330" s="13">
        <v>2661.78362469375</v>
      </c>
      <c r="Y330" s="12">
        <f>Table1[[#This Row],[Raw Terrestrial Score]]/Table1[[#This Row],[Summed Raw Scores]]</f>
        <v>0.51845570071702662</v>
      </c>
      <c r="Z330" s="13">
        <v>2472.2782074213001</v>
      </c>
      <c r="AA330" s="12">
        <f>Table1[[#This Row],[Raw Freshwater Score]]/Table1[[#This Row],[Summed Raw Scores]]</f>
        <v>0.48154429928297332</v>
      </c>
      <c r="AB330" s="12">
        <f>Table1[[#This Row],[Raw Terrestrial Score]]+Table1[[#This Row],[Raw Freshwater Score]]</f>
        <v>5134.0618321150505</v>
      </c>
      <c r="AC330" s="14">
        <f>Table1[[#This Row],[Terrestrial % of Summed Score]]*Table1[[#This Row],[Scaled Summed Score]]</f>
        <v>0.41512367222105512</v>
      </c>
      <c r="AD330" s="14">
        <f>Table1[[#This Row],[Freshwater % of Summed Score]]*Table1[[#This Row],[Scaled Summed Score]]</f>
        <v>0.38556898415621521</v>
      </c>
      <c r="AE330" s="21">
        <f>Table1[[#This Row],[Summed Raw Scores]]/MAX(Table1[Summed Raw Scores])</f>
        <v>0.80069265637727038</v>
      </c>
    </row>
    <row r="331" spans="1:31" x14ac:dyDescent="0.3">
      <c r="A331" s="7" t="s">
        <v>256</v>
      </c>
      <c r="B331" s="7" t="s">
        <v>259</v>
      </c>
      <c r="C331" s="7" t="s">
        <v>422</v>
      </c>
      <c r="D331" s="7" t="s">
        <v>250</v>
      </c>
      <c r="E331" s="13" t="s">
        <v>22</v>
      </c>
      <c r="F331" s="13" t="s">
        <v>22</v>
      </c>
      <c r="G331" s="13" t="s">
        <v>22</v>
      </c>
      <c r="H331" s="7" t="s">
        <v>22</v>
      </c>
      <c r="I331" s="7" t="s">
        <v>22</v>
      </c>
      <c r="J331" s="7" t="s">
        <v>22</v>
      </c>
      <c r="K331" s="7" t="s">
        <v>22</v>
      </c>
      <c r="L331" s="7" t="s">
        <v>22</v>
      </c>
      <c r="M331" s="13" t="s">
        <v>22</v>
      </c>
      <c r="N331" s="13" t="s">
        <v>22</v>
      </c>
      <c r="O331" s="8">
        <f>174721.972977/1000</f>
        <v>174.72197297700001</v>
      </c>
      <c r="P331" s="13">
        <v>500</v>
      </c>
      <c r="Q331" s="8">
        <f>(Table1[[#This Row],[Linear Features (km)]]*0.4)*100</f>
        <v>6988.8789190800007</v>
      </c>
      <c r="R331" s="13" t="s">
        <v>22</v>
      </c>
      <c r="S331" s="7" t="s">
        <v>22</v>
      </c>
      <c r="T331" s="11" t="s">
        <v>22</v>
      </c>
      <c r="U331" s="11" t="s">
        <v>22</v>
      </c>
      <c r="V331" s="11" t="s">
        <v>22</v>
      </c>
      <c r="W331" s="11" t="s">
        <v>22</v>
      </c>
      <c r="X331" s="13">
        <v>1812.67105031386</v>
      </c>
      <c r="Y331" s="12">
        <f>Table1[[#This Row],[Raw Terrestrial Score]]/Table1[[#This Row],[Summed Raw Scores]]</f>
        <v>0.55828316001009581</v>
      </c>
      <c r="Z331" s="13">
        <v>1434.1957372874001</v>
      </c>
      <c r="AA331" s="12">
        <f>Table1[[#This Row],[Raw Freshwater Score]]/Table1[[#This Row],[Summed Raw Scores]]</f>
        <v>0.44171683998990424</v>
      </c>
      <c r="AB331" s="12">
        <f>Table1[[#This Row],[Raw Terrestrial Score]]+Table1[[#This Row],[Raw Freshwater Score]]</f>
        <v>3246.8667876012601</v>
      </c>
      <c r="AC331" s="14">
        <f>Table1[[#This Row],[Terrestrial % of Summed Score]]*Table1[[#This Row],[Scaled Summed Score]]</f>
        <v>0.28269865963341145</v>
      </c>
      <c r="AD331" s="14">
        <f>Table1[[#This Row],[Freshwater % of Summed Score]]*Table1[[#This Row],[Scaled Summed Score]]</f>
        <v>0.22367280180973728</v>
      </c>
      <c r="AE331" s="21">
        <f>Table1[[#This Row],[Summed Raw Scores]]/MAX(Table1[Summed Raw Scores])</f>
        <v>0.50637146144314871</v>
      </c>
    </row>
    <row r="332" spans="1:31" x14ac:dyDescent="0.3">
      <c r="A332" s="7" t="s">
        <v>257</v>
      </c>
      <c r="B332" s="7" t="s">
        <v>259</v>
      </c>
      <c r="C332" s="7" t="s">
        <v>423</v>
      </c>
      <c r="D332" s="7" t="s">
        <v>250</v>
      </c>
      <c r="E332" s="13" t="s">
        <v>22</v>
      </c>
      <c r="F332" s="13" t="s">
        <v>22</v>
      </c>
      <c r="G332" s="13" t="s">
        <v>22</v>
      </c>
      <c r="H332" s="7" t="s">
        <v>22</v>
      </c>
      <c r="I332" s="7" t="s">
        <v>22</v>
      </c>
      <c r="J332" s="7" t="s">
        <v>22</v>
      </c>
      <c r="K332" s="7" t="s">
        <v>22</v>
      </c>
      <c r="L332" s="7" t="s">
        <v>22</v>
      </c>
      <c r="M332" s="13" t="s">
        <v>22</v>
      </c>
      <c r="N332" s="13" t="s">
        <v>22</v>
      </c>
      <c r="O332" s="8">
        <f>130726.193069/1000</f>
        <v>130.726193069</v>
      </c>
      <c r="P332" s="13">
        <v>500</v>
      </c>
      <c r="Q332" s="8">
        <f>(Table1[[#This Row],[Linear Features (km)]]*0.4)*100</f>
        <v>5229.0477227600004</v>
      </c>
      <c r="R332" s="13" t="s">
        <v>22</v>
      </c>
      <c r="S332" s="7" t="s">
        <v>22</v>
      </c>
      <c r="T332" s="11" t="s">
        <v>22</v>
      </c>
      <c r="U332" s="11" t="s">
        <v>22</v>
      </c>
      <c r="V332" s="11" t="s">
        <v>22</v>
      </c>
      <c r="W332" s="11" t="s">
        <v>22</v>
      </c>
      <c r="X332" s="13">
        <v>619.12176876515196</v>
      </c>
      <c r="Y332" s="12">
        <f>Table1[[#This Row],[Raw Terrestrial Score]]/Table1[[#This Row],[Summed Raw Scores]]</f>
        <v>0.28290137242923025</v>
      </c>
      <c r="Z332" s="13">
        <v>1569.3503600508</v>
      </c>
      <c r="AA332" s="12">
        <f>Table1[[#This Row],[Raw Freshwater Score]]/Table1[[#This Row],[Summed Raw Scores]]</f>
        <v>0.71709862757076981</v>
      </c>
      <c r="AB332" s="12">
        <f>Table1[[#This Row],[Raw Terrestrial Score]]+Table1[[#This Row],[Raw Freshwater Score]]</f>
        <v>2188.4721288159517</v>
      </c>
      <c r="AC332" s="14">
        <f>Table1[[#This Row],[Terrestrial % of Summed Score]]*Table1[[#This Row],[Scaled Summed Score]]</f>
        <v>9.6556346585592645E-2</v>
      </c>
      <c r="AD332" s="14">
        <f>Table1[[#This Row],[Freshwater % of Summed Score]]*Table1[[#This Row],[Scaled Summed Score]]</f>
        <v>0.24475110539485648</v>
      </c>
      <c r="AE332" s="21">
        <f>Table1[[#This Row],[Summed Raw Scores]]/MAX(Table1[Summed Raw Scores])</f>
        <v>0.34130745198044909</v>
      </c>
    </row>
    <row r="333" spans="1:31" x14ac:dyDescent="0.3">
      <c r="A333" s="7" t="s">
        <v>258</v>
      </c>
      <c r="B333" s="7" t="s">
        <v>259</v>
      </c>
      <c r="C333" s="7" t="s">
        <v>424</v>
      </c>
      <c r="D333" s="7" t="s">
        <v>250</v>
      </c>
      <c r="E333" s="13" t="s">
        <v>22</v>
      </c>
      <c r="F333" s="13" t="s">
        <v>22</v>
      </c>
      <c r="G333" s="13" t="s">
        <v>22</v>
      </c>
      <c r="H333" s="7" t="s">
        <v>22</v>
      </c>
      <c r="I333" s="7" t="s">
        <v>22</v>
      </c>
      <c r="J333" s="7" t="s">
        <v>22</v>
      </c>
      <c r="K333" s="7" t="s">
        <v>22</v>
      </c>
      <c r="L333" s="7" t="s">
        <v>22</v>
      </c>
      <c r="M333" s="13" t="s">
        <v>22</v>
      </c>
      <c r="N333" s="13" t="s">
        <v>22</v>
      </c>
      <c r="O333" s="8">
        <f>142790.050594/1000</f>
        <v>142.79005059400001</v>
      </c>
      <c r="P333" s="13">
        <v>500</v>
      </c>
      <c r="Q333" s="8">
        <f>(Table1[[#This Row],[Linear Features (km)]]*0.4)*100</f>
        <v>5711.6020237600005</v>
      </c>
      <c r="R333" s="13" t="s">
        <v>22</v>
      </c>
      <c r="S333" s="7" t="s">
        <v>22</v>
      </c>
      <c r="T333" s="11" t="s">
        <v>22</v>
      </c>
      <c r="U333" s="11" t="s">
        <v>22</v>
      </c>
      <c r="V333" s="11" t="s">
        <v>22</v>
      </c>
      <c r="W333" s="11" t="s">
        <v>22</v>
      </c>
      <c r="X333" s="13">
        <v>1285.02035500854</v>
      </c>
      <c r="Y333" s="12">
        <f>Table1[[#This Row],[Raw Terrestrial Score]]/Table1[[#This Row],[Summed Raw Scores]]</f>
        <v>0.47885009965861974</v>
      </c>
      <c r="Z333" s="13">
        <v>1398.53417682648</v>
      </c>
      <c r="AA333" s="12">
        <f>Table1[[#This Row],[Raw Freshwater Score]]/Table1[[#This Row],[Summed Raw Scores]]</f>
        <v>0.5211499003413802</v>
      </c>
      <c r="AB333" s="12">
        <f>Table1[[#This Row],[Raw Terrestrial Score]]+Table1[[#This Row],[Raw Freshwater Score]]</f>
        <v>2683.55453183502</v>
      </c>
      <c r="AC333" s="14">
        <f>Table1[[#This Row],[Terrestrial % of Summed Score]]*Table1[[#This Row],[Scaled Summed Score]]</f>
        <v>0.20040786324670698</v>
      </c>
      <c r="AD333" s="14">
        <f>Table1[[#This Row],[Freshwater % of Summed Score]]*Table1[[#This Row],[Scaled Summed Score]]</f>
        <v>0.21811113338622906</v>
      </c>
      <c r="AE333" s="21">
        <f>Table1[[#This Row],[Summed Raw Scores]]/MAX(Table1[Summed Raw Scores])</f>
        <v>0.41851899663293607</v>
      </c>
    </row>
    <row r="334" spans="1:31" x14ac:dyDescent="0.3">
      <c r="A334" s="7" t="s">
        <v>48</v>
      </c>
      <c r="B334" s="7" t="s">
        <v>42</v>
      </c>
      <c r="C334" s="7" t="s">
        <v>30</v>
      </c>
      <c r="D334" s="7" t="s">
        <v>250</v>
      </c>
      <c r="E334" s="23">
        <v>54.183812750400001</v>
      </c>
      <c r="F334" s="23">
        <v>-127.97489492699999</v>
      </c>
      <c r="G334" s="23">
        <v>1000</v>
      </c>
      <c r="H334" s="8" t="s">
        <v>22</v>
      </c>
      <c r="I334" s="8">
        <v>1000</v>
      </c>
      <c r="J334" s="7" t="s">
        <v>22</v>
      </c>
      <c r="K334" s="7" t="s">
        <v>22</v>
      </c>
      <c r="L334" s="16">
        <v>182.65150565656566</v>
      </c>
      <c r="M334" s="25">
        <v>3.0727922061400563</v>
      </c>
      <c r="N334" s="26">
        <v>55.326406871194145</v>
      </c>
      <c r="O334" s="9">
        <f>Table1[[#This Row],[R1 Length (km)]]+Table1[[#This Row],[T1 Length (km)]]</f>
        <v>58.399199077334202</v>
      </c>
      <c r="P334" s="24">
        <v>500</v>
      </c>
      <c r="Q334" s="9">
        <f>(Table1[[#This Row],[Linear Features (km)]]*0.4)*100</f>
        <v>2335.9679630933683</v>
      </c>
      <c r="R334" s="26">
        <v>55.33</v>
      </c>
      <c r="S334" s="10">
        <f>Table1[[#This Row],[ATG (ha)]]/Table1[[#This Row],[Linear Area (ha)]]</f>
        <v>2.3686112512746164E-2</v>
      </c>
      <c r="T334" s="11" t="s">
        <v>22</v>
      </c>
      <c r="U334" s="11" t="s">
        <v>22</v>
      </c>
      <c r="V334" s="11" t="s">
        <v>22</v>
      </c>
      <c r="W334" s="11" t="s">
        <v>22</v>
      </c>
      <c r="X334" s="13">
        <v>582.535689592361</v>
      </c>
      <c r="Y334" s="12">
        <f>Table1[[#This Row],[Raw Terrestrial Score]]/Table1[[#This Row],[Summed Raw Scores]]</f>
        <v>0.53618848685055831</v>
      </c>
      <c r="Z334" s="13">
        <v>503.90257582813501</v>
      </c>
      <c r="AA334" s="12">
        <f>Table1[[#This Row],[Raw Freshwater Score]]/Table1[[#This Row],[Summed Raw Scores]]</f>
        <v>0.46381151314944169</v>
      </c>
      <c r="AB334" s="12">
        <f>Table1[[#This Row],[Raw Terrestrial Score]]+Table1[[#This Row],[Raw Freshwater Score]]</f>
        <v>1086.438265420496</v>
      </c>
      <c r="AC334" s="14">
        <f>Table1[[#This Row],[Terrestrial % of Summed Score]]*Table1[[#This Row],[Scaled Summed Score]]</f>
        <v>9.0850493037813534E-2</v>
      </c>
      <c r="AD334" s="14">
        <f>Table1[[#This Row],[Freshwater % of Summed Score]]*Table1[[#This Row],[Scaled Summed Score]]</f>
        <v>7.8587111957115374E-2</v>
      </c>
      <c r="AE334" s="21">
        <f>Table1[[#This Row],[Summed Raw Scores]]/MAX(Table1[Summed Raw Scores])</f>
        <v>0.16943760499492891</v>
      </c>
    </row>
    <row r="335" spans="1:31" x14ac:dyDescent="0.3">
      <c r="A335" s="7" t="s">
        <v>49</v>
      </c>
      <c r="B335" s="7" t="s">
        <v>42</v>
      </c>
      <c r="C335" s="7" t="s">
        <v>32</v>
      </c>
      <c r="D335" s="7" t="s">
        <v>250</v>
      </c>
      <c r="E335" s="25">
        <v>50.1539637132</v>
      </c>
      <c r="F335" s="25">
        <v>-123.68430182500001</v>
      </c>
      <c r="G335" s="23">
        <v>1000</v>
      </c>
      <c r="H335" s="8" t="s">
        <v>22</v>
      </c>
      <c r="I335" s="9">
        <v>495</v>
      </c>
      <c r="J335" s="7" t="s">
        <v>22</v>
      </c>
      <c r="K335" s="7" t="s">
        <v>22</v>
      </c>
      <c r="L335" s="16">
        <v>171.27576141414141</v>
      </c>
      <c r="M335" s="25">
        <v>1.9313709716799998</v>
      </c>
      <c r="N335" s="26">
        <v>64.098070312499999</v>
      </c>
      <c r="O335" s="9">
        <f>Table1[[#This Row],[R1 Length (km)]]+Table1[[#This Row],[T1 Length (km)]]</f>
        <v>66.029441284179995</v>
      </c>
      <c r="P335" s="24">
        <v>500</v>
      </c>
      <c r="Q335" s="9">
        <f>(Table1[[#This Row],[Linear Features (km)]]*0.4)*100</f>
        <v>2641.1776513671998</v>
      </c>
      <c r="R335" s="26">
        <v>65.650000000000006</v>
      </c>
      <c r="S335" s="10">
        <f>Table1[[#This Row],[ATG (ha)]]/Table1[[#This Row],[Linear Area (ha)]]</f>
        <v>2.4856336326341558E-2</v>
      </c>
      <c r="T335" s="11" t="s">
        <v>22</v>
      </c>
      <c r="U335" s="11" t="s">
        <v>22</v>
      </c>
      <c r="V335" s="11" t="s">
        <v>22</v>
      </c>
      <c r="W335" s="11" t="s">
        <v>22</v>
      </c>
      <c r="X335" s="13">
        <v>517.81032580137298</v>
      </c>
      <c r="Y335" s="12">
        <f>Table1[[#This Row],[Raw Terrestrial Score]]/Table1[[#This Row],[Summed Raw Scores]]</f>
        <v>0.33613839152607672</v>
      </c>
      <c r="Z335" s="13">
        <v>1022.6573472023</v>
      </c>
      <c r="AA335" s="12">
        <f>Table1[[#This Row],[Raw Freshwater Score]]/Table1[[#This Row],[Summed Raw Scores]]</f>
        <v>0.66386160847392317</v>
      </c>
      <c r="AB335" s="12">
        <f>Table1[[#This Row],[Raw Terrestrial Score]]+Table1[[#This Row],[Raw Freshwater Score]]</f>
        <v>1540.4676730036731</v>
      </c>
      <c r="AC335" s="14">
        <f>Table1[[#This Row],[Terrestrial % of Summed Score]]*Table1[[#This Row],[Scaled Summed Score]]</f>
        <v>8.0756122310797707E-2</v>
      </c>
      <c r="AD335" s="14">
        <f>Table1[[#This Row],[Freshwater % of Summed Score]]*Table1[[#This Row],[Scaled Summed Score]]</f>
        <v>0.15949052712476031</v>
      </c>
      <c r="AE335" s="21">
        <f>Table1[[#This Row],[Summed Raw Scores]]/MAX(Table1[Summed Raw Scores])</f>
        <v>0.24024664943555804</v>
      </c>
    </row>
    <row r="336" spans="1:31" x14ac:dyDescent="0.3">
      <c r="A336" s="7" t="s">
        <v>50</v>
      </c>
      <c r="B336" s="7" t="s">
        <v>42</v>
      </c>
      <c r="C336" s="7" t="s">
        <v>32</v>
      </c>
      <c r="D336" s="7" t="s">
        <v>250</v>
      </c>
      <c r="E336" s="25">
        <v>49.755810000899999</v>
      </c>
      <c r="F336" s="25">
        <v>-123.601969999</v>
      </c>
      <c r="G336" s="23">
        <v>1000</v>
      </c>
      <c r="H336" s="8" t="s">
        <v>22</v>
      </c>
      <c r="I336" s="9">
        <v>495</v>
      </c>
      <c r="J336" s="13" t="s">
        <v>22</v>
      </c>
      <c r="K336" s="13" t="s">
        <v>22</v>
      </c>
      <c r="L336" s="16">
        <v>170.55434646464647</v>
      </c>
      <c r="M336" s="25">
        <v>0.42426406860400001</v>
      </c>
      <c r="N336" s="26">
        <v>31.430865786513319</v>
      </c>
      <c r="O336" s="9">
        <f>Table1[[#This Row],[R1 Length (km)]]+Table1[[#This Row],[T1 Length (km)]]</f>
        <v>31.855129855117319</v>
      </c>
      <c r="P336" s="24">
        <v>500</v>
      </c>
      <c r="Q336" s="9">
        <f>(Table1[[#This Row],[Linear Features (km)]]*0.4)*100</f>
        <v>1274.2051942046928</v>
      </c>
      <c r="R336" s="26">
        <v>31.43</v>
      </c>
      <c r="S336" s="10">
        <f>Table1[[#This Row],[ATG (ha)]]/Table1[[#This Row],[Linear Area (ha)]]</f>
        <v>2.466635683400846E-2</v>
      </c>
      <c r="T336" s="11" t="s">
        <v>22</v>
      </c>
      <c r="U336" s="11" t="s">
        <v>22</v>
      </c>
      <c r="V336" s="11" t="s">
        <v>22</v>
      </c>
      <c r="W336" s="11" t="s">
        <v>22</v>
      </c>
      <c r="X336" s="13">
        <v>301.83926180005102</v>
      </c>
      <c r="Y336" s="12">
        <f>Table1[[#This Row],[Raw Terrestrial Score]]/Table1[[#This Row],[Summed Raw Scores]]</f>
        <v>0.43732516857725662</v>
      </c>
      <c r="Z336" s="13">
        <v>388.35486259032001</v>
      </c>
      <c r="AA336" s="12">
        <f>Table1[[#This Row],[Raw Freshwater Score]]/Table1[[#This Row],[Summed Raw Scores]]</f>
        <v>0.56267483142274344</v>
      </c>
      <c r="AB336" s="12">
        <f>Table1[[#This Row],[Raw Terrestrial Score]]+Table1[[#This Row],[Raw Freshwater Score]]</f>
        <v>690.19412439037103</v>
      </c>
      <c r="AC336" s="14">
        <f>Table1[[#This Row],[Terrestrial % of Summed Score]]*Table1[[#This Row],[Scaled Summed Score]]</f>
        <v>4.7073932537753146E-2</v>
      </c>
      <c r="AD336" s="14">
        <f>Table1[[#This Row],[Freshwater % of Summed Score]]*Table1[[#This Row],[Scaled Summed Score]]</f>
        <v>6.0566642302469435E-2</v>
      </c>
      <c r="AE336" s="21">
        <f>Table1[[#This Row],[Summed Raw Scores]]/MAX(Table1[Summed Raw Scores])</f>
        <v>0.10764057484022257</v>
      </c>
    </row>
    <row r="337" spans="1:31" x14ac:dyDescent="0.3">
      <c r="A337" s="7" t="s">
        <v>51</v>
      </c>
      <c r="B337" s="7" t="s">
        <v>42</v>
      </c>
      <c r="C337" s="7" t="s">
        <v>32</v>
      </c>
      <c r="D337" s="7" t="s">
        <v>250</v>
      </c>
      <c r="E337" s="25">
        <v>49.912636246700004</v>
      </c>
      <c r="F337" s="25">
        <v>-123.731816256</v>
      </c>
      <c r="G337" s="23">
        <v>1000</v>
      </c>
      <c r="H337" s="8" t="s">
        <v>22</v>
      </c>
      <c r="I337" s="9">
        <v>495</v>
      </c>
      <c r="J337" s="13" t="s">
        <v>22</v>
      </c>
      <c r="K337" s="13" t="s">
        <v>22</v>
      </c>
      <c r="L337" s="16">
        <v>170.62377878787873</v>
      </c>
      <c r="M337" s="25">
        <v>10.0225371094</v>
      </c>
      <c r="N337" s="26">
        <v>34.413203435597197</v>
      </c>
      <c r="O337" s="9">
        <f>Table1[[#This Row],[R1 Length (km)]]+Table1[[#This Row],[T1 Length (km)]]</f>
        <v>44.435740544997195</v>
      </c>
      <c r="P337" s="24">
        <v>500</v>
      </c>
      <c r="Q337" s="9">
        <f>(Table1[[#This Row],[Linear Features (km)]]*0.4)*100</f>
        <v>1777.4296217998876</v>
      </c>
      <c r="R337" s="26">
        <v>11.75</v>
      </c>
      <c r="S337" s="10">
        <f>Table1[[#This Row],[ATG (ha)]]/Table1[[#This Row],[Linear Area (ha)]]</f>
        <v>6.6106696185818806E-3</v>
      </c>
      <c r="T337" s="11" t="s">
        <v>22</v>
      </c>
      <c r="U337" s="11" t="s">
        <v>22</v>
      </c>
      <c r="V337" s="11" t="s">
        <v>22</v>
      </c>
      <c r="W337" s="11" t="s">
        <v>22</v>
      </c>
      <c r="X337" s="13">
        <v>486.335129916668</v>
      </c>
      <c r="Y337" s="12">
        <f>Table1[[#This Row],[Raw Terrestrial Score]]/Table1[[#This Row],[Summed Raw Scores]]</f>
        <v>0.51128239855114177</v>
      </c>
      <c r="Z337" s="13">
        <v>464.87134872376902</v>
      </c>
      <c r="AA337" s="12">
        <f>Table1[[#This Row],[Raw Freshwater Score]]/Table1[[#This Row],[Summed Raw Scores]]</f>
        <v>0.48871760144885829</v>
      </c>
      <c r="AB337" s="12">
        <f>Table1[[#This Row],[Raw Terrestrial Score]]+Table1[[#This Row],[Raw Freshwater Score]]</f>
        <v>951.20647864043701</v>
      </c>
      <c r="AC337" s="14">
        <f>Table1[[#This Row],[Terrestrial % of Summed Score]]*Table1[[#This Row],[Scaled Summed Score]]</f>
        <v>7.5847346564219473E-2</v>
      </c>
      <c r="AD337" s="14">
        <f>Table1[[#This Row],[Freshwater % of Summed Score]]*Table1[[#This Row],[Scaled Summed Score]]</f>
        <v>7.2499920580422386E-2</v>
      </c>
      <c r="AE337" s="21">
        <f>Table1[[#This Row],[Summed Raw Scores]]/MAX(Table1[Summed Raw Scores])</f>
        <v>0.14834726714464186</v>
      </c>
    </row>
    <row r="338" spans="1:31" x14ac:dyDescent="0.3">
      <c r="A338" s="7" t="s">
        <v>212</v>
      </c>
      <c r="B338" s="7" t="s">
        <v>114</v>
      </c>
      <c r="C338" s="7" t="s">
        <v>21</v>
      </c>
      <c r="D338" s="7" t="s">
        <v>250</v>
      </c>
      <c r="E338" s="23">
        <v>50.806605189999999</v>
      </c>
      <c r="F338" s="23">
        <v>-128.13496689999999</v>
      </c>
      <c r="G338" s="23">
        <v>147</v>
      </c>
      <c r="H338" s="7" t="s">
        <v>22</v>
      </c>
      <c r="I338" s="8">
        <v>42</v>
      </c>
      <c r="J338" s="23">
        <v>514.16819999999996</v>
      </c>
      <c r="K338" s="23">
        <v>77.965470085587228</v>
      </c>
      <c r="L338" s="8" t="s">
        <v>22</v>
      </c>
      <c r="M338" s="23">
        <v>3.5</v>
      </c>
      <c r="N338" s="23">
        <v>69</v>
      </c>
      <c r="O338" s="8">
        <f>Table1[[#This Row],[R1 Length (km)]]+Table1[[#This Row],[T1 Length (km)]]</f>
        <v>72.5</v>
      </c>
      <c r="P338" s="13">
        <v>130</v>
      </c>
      <c r="Q338" s="8">
        <f>(Table1[[#This Row],[Linear Features (km)]]*0.4)*100</f>
        <v>2900</v>
      </c>
      <c r="R338" s="26">
        <f>((PI()*(45^2))*Table1[[#This Row],[Number of Turbines - WIND]])/10000</f>
        <v>22.266037932317658</v>
      </c>
      <c r="S338" s="10">
        <f>Table1[[#This Row],[ATG (ha)]]/Table1[[#This Row],[Linear Area (ha)]]</f>
        <v>7.6779441145922956E-3</v>
      </c>
      <c r="T338" s="7" t="s">
        <v>115</v>
      </c>
      <c r="U338" s="7">
        <v>35</v>
      </c>
      <c r="V338" s="11" t="s">
        <v>22</v>
      </c>
      <c r="W338" s="11" t="s">
        <v>22</v>
      </c>
      <c r="X338" s="13">
        <v>812.55261000990902</v>
      </c>
      <c r="Y338" s="12">
        <f>Table1[[#This Row],[Raw Terrestrial Score]]/Table1[[#This Row],[Summed Raw Scores]]</f>
        <v>0.28754528914286093</v>
      </c>
      <c r="Z338" s="13">
        <v>2013.2721928656099</v>
      </c>
      <c r="AA338" s="12">
        <f>Table1[[#This Row],[Raw Freshwater Score]]/Table1[[#This Row],[Summed Raw Scores]]</f>
        <v>0.71245471085713907</v>
      </c>
      <c r="AB338" s="12">
        <f>Table1[[#This Row],[Raw Terrestrial Score]]+Table1[[#This Row],[Raw Freshwater Score]]</f>
        <v>2825.8248028755188</v>
      </c>
      <c r="AC338" s="14">
        <f>Table1[[#This Row],[Terrestrial % of Summed Score]]*Table1[[#This Row],[Scaled Summed Score]]</f>
        <v>0.12672323182502307</v>
      </c>
      <c r="AD338" s="14">
        <f>Table1[[#This Row],[Freshwater % of Summed Score]]*Table1[[#This Row],[Scaled Summed Score]]</f>
        <v>0.31398380323985414</v>
      </c>
      <c r="AE338" s="21">
        <f>Table1[[#This Row],[Summed Raw Scores]]/MAX(Table1[Summed Raw Scores])</f>
        <v>0.44070703506487724</v>
      </c>
    </row>
    <row r="339" spans="1:31" x14ac:dyDescent="0.3">
      <c r="A339" s="7" t="s">
        <v>213</v>
      </c>
      <c r="B339" s="7" t="s">
        <v>114</v>
      </c>
      <c r="C339" s="7" t="s">
        <v>21</v>
      </c>
      <c r="D339" s="7" t="s">
        <v>250</v>
      </c>
      <c r="E339" s="23">
        <v>50.776845999999999</v>
      </c>
      <c r="F339" s="23">
        <v>-127.8682787</v>
      </c>
      <c r="G339" s="23">
        <v>60</v>
      </c>
      <c r="H339" s="7" t="s">
        <v>22</v>
      </c>
      <c r="I339" s="8">
        <v>14.399999999999999</v>
      </c>
      <c r="J339" s="23">
        <v>188.21735999999999</v>
      </c>
      <c r="K339" s="23">
        <v>101.1195555834226</v>
      </c>
      <c r="L339" s="8" t="s">
        <v>22</v>
      </c>
      <c r="M339" s="23">
        <v>2.1798991699200001</v>
      </c>
      <c r="N339" s="23">
        <v>48.825691406250002</v>
      </c>
      <c r="O339" s="8">
        <f>Table1[[#This Row],[R1 Length (km)]]+Table1[[#This Row],[T1 Length (km)]]</f>
        <v>51.00559057617</v>
      </c>
      <c r="P339" s="13">
        <v>130</v>
      </c>
      <c r="Q339" s="8">
        <f>(Table1[[#This Row],[Linear Features (km)]]*0.4)*100</f>
        <v>2040.2236230468002</v>
      </c>
      <c r="R339" s="26">
        <f>((PI()*(45^2))*Table1[[#This Row],[Number of Turbines - WIND]])/10000</f>
        <v>7.6340701482231959</v>
      </c>
      <c r="S339" s="10">
        <f>Table1[[#This Row],[ATG (ha)]]/Table1[[#This Row],[Linear Area (ha)]]</f>
        <v>3.7417810783029444E-3</v>
      </c>
      <c r="T339" s="7" t="s">
        <v>115</v>
      </c>
      <c r="U339" s="7">
        <v>12</v>
      </c>
      <c r="V339" s="11" t="s">
        <v>22</v>
      </c>
      <c r="W339" s="11" t="s">
        <v>22</v>
      </c>
      <c r="X339" s="13">
        <v>594.31702875811595</v>
      </c>
      <c r="Y339" s="12">
        <f>Table1[[#This Row],[Raw Terrestrial Score]]/Table1[[#This Row],[Summed Raw Scores]]</f>
        <v>0.25413025171108738</v>
      </c>
      <c r="Z339" s="13">
        <v>1744.3145381510301</v>
      </c>
      <c r="AA339" s="12">
        <f>Table1[[#This Row],[Raw Freshwater Score]]/Table1[[#This Row],[Summed Raw Scores]]</f>
        <v>0.74586974828891262</v>
      </c>
      <c r="AB339" s="12">
        <f>Table1[[#This Row],[Raw Terrestrial Score]]+Table1[[#This Row],[Raw Freshwater Score]]</f>
        <v>2338.6315669091459</v>
      </c>
      <c r="AC339" s="14">
        <f>Table1[[#This Row],[Terrestrial % of Summed Score]]*Table1[[#This Row],[Scaled Summed Score]]</f>
        <v>9.2687874834289419E-2</v>
      </c>
      <c r="AD339" s="14">
        <f>Table1[[#This Row],[Freshwater % of Summed Score]]*Table1[[#This Row],[Scaled Summed Score]]</f>
        <v>0.27203798605874319</v>
      </c>
      <c r="AE339" s="21">
        <f>Table1[[#This Row],[Summed Raw Scores]]/MAX(Table1[Summed Raw Scores])</f>
        <v>0.36472586089303261</v>
      </c>
    </row>
    <row r="340" spans="1:31" x14ac:dyDescent="0.3">
      <c r="A340" s="7" t="s">
        <v>214</v>
      </c>
      <c r="B340" s="7" t="s">
        <v>114</v>
      </c>
      <c r="C340" s="7" t="s">
        <v>21</v>
      </c>
      <c r="D340" s="7" t="s">
        <v>250</v>
      </c>
      <c r="E340" s="23">
        <v>50.739074709999997</v>
      </c>
      <c r="F340" s="23">
        <v>-127.770989</v>
      </c>
      <c r="G340" s="23">
        <v>255</v>
      </c>
      <c r="H340" s="7" t="s">
        <v>22</v>
      </c>
      <c r="I340" s="8">
        <v>61.199999999999996</v>
      </c>
      <c r="J340" s="23">
        <v>786.74436000000003</v>
      </c>
      <c r="K340" s="23">
        <v>93.499766923626581</v>
      </c>
      <c r="L340" s="8" t="s">
        <v>22</v>
      </c>
      <c r="M340" s="23">
        <v>0.7</v>
      </c>
      <c r="N340" s="23">
        <v>173.4</v>
      </c>
      <c r="O340" s="8">
        <f>Table1[[#This Row],[R1 Length (km)]]+Table1[[#This Row],[T1 Length (km)]]</f>
        <v>174.1</v>
      </c>
      <c r="P340" s="13">
        <v>230</v>
      </c>
      <c r="Q340" s="8">
        <f>(Table1[[#This Row],[Linear Features (km)]]*0.4)*100</f>
        <v>6964</v>
      </c>
      <c r="R340" s="26">
        <f>((PI()*(45^2))*Table1[[#This Row],[Number of Turbines - WIND]])/10000</f>
        <v>32.444798129948587</v>
      </c>
      <c r="S340" s="10">
        <f>Table1[[#This Row],[ATG (ha)]]/Table1[[#This Row],[Linear Area (ha)]]</f>
        <v>4.6589313799466668E-3</v>
      </c>
      <c r="T340" s="7" t="s">
        <v>115</v>
      </c>
      <c r="U340" s="7">
        <v>51</v>
      </c>
      <c r="V340" s="11" t="s">
        <v>22</v>
      </c>
      <c r="W340" s="11" t="s">
        <v>22</v>
      </c>
      <c r="X340" s="13">
        <v>726.32064377144002</v>
      </c>
      <c r="Y340" s="12">
        <f>Table1[[#This Row],[Raw Terrestrial Score]]/Table1[[#This Row],[Summed Raw Scores]]</f>
        <v>0.29940238821681675</v>
      </c>
      <c r="Z340" s="13">
        <v>1699.5806594789001</v>
      </c>
      <c r="AA340" s="12">
        <f>Table1[[#This Row],[Raw Freshwater Score]]/Table1[[#This Row],[Summed Raw Scores]]</f>
        <v>0.70059761178318336</v>
      </c>
      <c r="AB340" s="12">
        <f>Table1[[#This Row],[Raw Terrestrial Score]]+Table1[[#This Row],[Raw Freshwater Score]]</f>
        <v>2425.9013032503399</v>
      </c>
      <c r="AC340" s="14">
        <f>Table1[[#This Row],[Terrestrial % of Summed Score]]*Table1[[#This Row],[Scaled Summed Score]]</f>
        <v>0.11327475684168407</v>
      </c>
      <c r="AD340" s="14">
        <f>Table1[[#This Row],[Freshwater % of Summed Score]]*Table1[[#This Row],[Scaled Summed Score]]</f>
        <v>0.26506142650116377</v>
      </c>
      <c r="AE340" s="21">
        <f>Table1[[#This Row],[Summed Raw Scores]]/MAX(Table1[Summed Raw Scores])</f>
        <v>0.3783361833428478</v>
      </c>
    </row>
    <row r="341" spans="1:31" x14ac:dyDescent="0.3">
      <c r="A341" s="7" t="s">
        <v>215</v>
      </c>
      <c r="B341" s="7" t="s">
        <v>114</v>
      </c>
      <c r="C341" s="7" t="s">
        <v>21</v>
      </c>
      <c r="D341" s="7" t="s">
        <v>250</v>
      </c>
      <c r="E341" s="23">
        <v>50.78142433</v>
      </c>
      <c r="F341" s="23">
        <v>-127.6862897</v>
      </c>
      <c r="G341" s="23">
        <v>117</v>
      </c>
      <c r="H341" s="7" t="s">
        <v>22</v>
      </c>
      <c r="I341" s="8">
        <v>27.599999999999998</v>
      </c>
      <c r="J341" s="23">
        <v>358.53366</v>
      </c>
      <c r="K341" s="23">
        <v>83.915463409001291</v>
      </c>
      <c r="L341" s="8" t="s">
        <v>22</v>
      </c>
      <c r="M341" s="23">
        <v>1.7</v>
      </c>
      <c r="N341" s="23">
        <v>36</v>
      </c>
      <c r="O341" s="8">
        <f>Table1[[#This Row],[R1 Length (km)]]+Table1[[#This Row],[T1 Length (km)]]</f>
        <v>37.700000000000003</v>
      </c>
      <c r="P341" s="13">
        <v>130</v>
      </c>
      <c r="Q341" s="8">
        <f>(Table1[[#This Row],[Linear Features (km)]]*0.4)*100</f>
        <v>1508.0000000000002</v>
      </c>
      <c r="R341" s="26">
        <f>((PI()*(45^2))*Table1[[#This Row],[Number of Turbines - WIND]])/10000</f>
        <v>14.631967784094462</v>
      </c>
      <c r="S341" s="10">
        <f>Table1[[#This Row],[ATG (ha)]]/Table1[[#This Row],[Linear Area (ha)]]</f>
        <v>9.7028964085507027E-3</v>
      </c>
      <c r="T341" s="7" t="s">
        <v>115</v>
      </c>
      <c r="U341" s="7">
        <v>23</v>
      </c>
      <c r="V341" s="11" t="s">
        <v>22</v>
      </c>
      <c r="W341" s="11" t="s">
        <v>22</v>
      </c>
      <c r="X341" s="13">
        <v>601.61269058380299</v>
      </c>
      <c r="Y341" s="12">
        <f>Table1[[#This Row],[Raw Terrestrial Score]]/Table1[[#This Row],[Summed Raw Scores]]</f>
        <v>0.26683972409277606</v>
      </c>
      <c r="Z341" s="13">
        <v>1652.9717519283299</v>
      </c>
      <c r="AA341" s="12">
        <f>Table1[[#This Row],[Raw Freshwater Score]]/Table1[[#This Row],[Summed Raw Scores]]</f>
        <v>0.73316027590722377</v>
      </c>
      <c r="AB341" s="12">
        <f>Table1[[#This Row],[Raw Terrestrial Score]]+Table1[[#This Row],[Raw Freshwater Score]]</f>
        <v>2254.5844425121331</v>
      </c>
      <c r="AC341" s="14">
        <f>Table1[[#This Row],[Terrestrial % of Summed Score]]*Table1[[#This Row],[Scaled Summed Score]]</f>
        <v>9.3825684046227376E-2</v>
      </c>
      <c r="AD341" s="14">
        <f>Table1[[#This Row],[Freshwater % of Summed Score]]*Table1[[#This Row],[Scaled Summed Score]]</f>
        <v>0.25779244314687982</v>
      </c>
      <c r="AE341" s="21">
        <f>Table1[[#This Row],[Summed Raw Scores]]/MAX(Table1[Summed Raw Scores])</f>
        <v>0.35161812719310725</v>
      </c>
    </row>
    <row r="342" spans="1:31" x14ac:dyDescent="0.3">
      <c r="A342" s="7" t="s">
        <v>216</v>
      </c>
      <c r="B342" s="7" t="s">
        <v>114</v>
      </c>
      <c r="C342" s="7" t="s">
        <v>21</v>
      </c>
      <c r="D342" s="7" t="s">
        <v>250</v>
      </c>
      <c r="E342" s="23">
        <v>50.644801700000002</v>
      </c>
      <c r="F342" s="23">
        <v>-126.9632505</v>
      </c>
      <c r="G342" s="23">
        <v>165</v>
      </c>
      <c r="H342" s="7" t="s">
        <v>22</v>
      </c>
      <c r="I342" s="8">
        <v>39.6</v>
      </c>
      <c r="J342" s="23">
        <v>522.07848000000001</v>
      </c>
      <c r="K342" s="23">
        <v>88.642968937247929</v>
      </c>
      <c r="L342" s="8" t="s">
        <v>22</v>
      </c>
      <c r="M342" s="23">
        <v>0.2</v>
      </c>
      <c r="N342" s="23">
        <v>122.2</v>
      </c>
      <c r="O342" s="8">
        <f>Table1[[#This Row],[R1 Length (km)]]+Table1[[#This Row],[T1 Length (km)]]</f>
        <v>122.4</v>
      </c>
      <c r="P342" s="13">
        <v>230</v>
      </c>
      <c r="Q342" s="8">
        <f>(Table1[[#This Row],[Linear Features (km)]]*0.4)*100</f>
        <v>4896.0000000000009</v>
      </c>
      <c r="R342" s="26">
        <f>((PI()*(45^2))*Table1[[#This Row],[Number of Turbines - WIND]])/10000</f>
        <v>20.993692907613791</v>
      </c>
      <c r="S342" s="10">
        <f>Table1[[#This Row],[ATG (ha)]]/Table1[[#This Row],[Linear Area (ha)]]</f>
        <v>4.2879274729603328E-3</v>
      </c>
      <c r="T342" s="7" t="s">
        <v>115</v>
      </c>
      <c r="U342" s="7">
        <v>33</v>
      </c>
      <c r="V342" s="11" t="s">
        <v>22</v>
      </c>
      <c r="W342" s="11" t="s">
        <v>22</v>
      </c>
      <c r="X342" s="13">
        <v>496.06165285315399</v>
      </c>
      <c r="Y342" s="12">
        <f>Table1[[#This Row],[Raw Terrestrial Score]]/Table1[[#This Row],[Summed Raw Scores]]</f>
        <v>0.28557479621178083</v>
      </c>
      <c r="Z342" s="13">
        <v>1241.0021897321601</v>
      </c>
      <c r="AA342" s="12">
        <f>Table1[[#This Row],[Raw Freshwater Score]]/Table1[[#This Row],[Summed Raw Scores]]</f>
        <v>0.71442520378821928</v>
      </c>
      <c r="AB342" s="12">
        <f>Table1[[#This Row],[Raw Terrestrial Score]]+Table1[[#This Row],[Raw Freshwater Score]]</f>
        <v>1737.063842585314</v>
      </c>
      <c r="AC342" s="14">
        <f>Table1[[#This Row],[Terrestrial % of Summed Score]]*Table1[[#This Row],[Scaled Summed Score]]</f>
        <v>7.7364265475989E-2</v>
      </c>
      <c r="AD342" s="14">
        <f>Table1[[#This Row],[Freshwater % of Summed Score]]*Table1[[#This Row],[Scaled Summed Score]]</f>
        <v>0.19354292417185393</v>
      </c>
      <c r="AE342" s="21">
        <f>Table1[[#This Row],[Summed Raw Scores]]/MAX(Table1[Summed Raw Scores])</f>
        <v>0.27090718964784288</v>
      </c>
    </row>
    <row r="343" spans="1:31" x14ac:dyDescent="0.3">
      <c r="A343" s="7" t="s">
        <v>217</v>
      </c>
      <c r="B343" s="7" t="s">
        <v>114</v>
      </c>
      <c r="C343" s="7" t="s">
        <v>21</v>
      </c>
      <c r="D343" s="7"/>
      <c r="E343" s="23">
        <v>50.655786939999999</v>
      </c>
      <c r="F343" s="23">
        <v>-127.75765079999999</v>
      </c>
      <c r="G343" s="23">
        <v>39</v>
      </c>
      <c r="H343" s="7" t="s">
        <v>22</v>
      </c>
      <c r="I343" s="8">
        <v>9.6</v>
      </c>
      <c r="J343" s="23">
        <v>119.73168000000001</v>
      </c>
      <c r="K343" s="23">
        <v>108.76961582803685</v>
      </c>
      <c r="L343" s="8" t="s">
        <v>22</v>
      </c>
      <c r="M343" s="23">
        <v>1.2242640380900001</v>
      </c>
      <c r="N343" s="23">
        <v>21.085281250000001</v>
      </c>
      <c r="O343" s="8">
        <f>Table1[[#This Row],[R1 Length (km)]]+Table1[[#This Row],[T1 Length (km)]]</f>
        <v>22.30954528809</v>
      </c>
      <c r="P343" s="13">
        <v>69</v>
      </c>
      <c r="Q343" s="8">
        <f>(Table1[[#This Row],[Linear Features (km)]]*0.4)*100</f>
        <v>892.38181152360005</v>
      </c>
      <c r="R343" s="26">
        <f>((PI()*(45^2))*Table1[[#This Row],[Number of Turbines - WIND]])/10000</f>
        <v>5.0893800988154645</v>
      </c>
      <c r="S343" s="10">
        <f>Table1[[#This Row],[ATG (ha)]]/Table1[[#This Row],[Linear Area (ha)]]</f>
        <v>5.7031418985626315E-3</v>
      </c>
      <c r="T343" s="7" t="s">
        <v>115</v>
      </c>
      <c r="U343" s="7">
        <v>8</v>
      </c>
      <c r="V343" s="11" t="s">
        <v>22</v>
      </c>
      <c r="W343" s="11" t="s">
        <v>22</v>
      </c>
      <c r="X343" s="13">
        <v>99.207532629370704</v>
      </c>
      <c r="Y343" s="12">
        <f>Table1[[#This Row],[Raw Terrestrial Score]]/Table1[[#This Row],[Summed Raw Scores]]</f>
        <v>0.33271555124402674</v>
      </c>
      <c r="Z343" s="13">
        <v>198.96768718957901</v>
      </c>
      <c r="AA343" s="12">
        <f>Table1[[#This Row],[Raw Freshwater Score]]/Table1[[#This Row],[Summed Raw Scores]]</f>
        <v>0.66728444875597326</v>
      </c>
      <c r="AB343" s="12">
        <f>Table1[[#This Row],[Raw Terrestrial Score]]+Table1[[#This Row],[Raw Freshwater Score]]</f>
        <v>298.1752198189497</v>
      </c>
      <c r="AC343" s="14">
        <f>Table1[[#This Row],[Terrestrial % of Summed Score]]*Table1[[#This Row],[Scaled Summed Score]]</f>
        <v>1.5472104822882757E-2</v>
      </c>
      <c r="AD343" s="14">
        <f>Table1[[#This Row],[Freshwater % of Summed Score]]*Table1[[#This Row],[Scaled Summed Score]]</f>
        <v>3.1030394880038864E-2</v>
      </c>
      <c r="AE343" s="21">
        <f>Table1[[#This Row],[Summed Raw Scores]]/MAX(Table1[Summed Raw Scores])</f>
        <v>4.6502499702921619E-2</v>
      </c>
    </row>
    <row r="344" spans="1:31" x14ac:dyDescent="0.3">
      <c r="A344" s="7" t="s">
        <v>218</v>
      </c>
      <c r="B344" s="7" t="s">
        <v>114</v>
      </c>
      <c r="C344" s="7" t="s">
        <v>21</v>
      </c>
      <c r="D344" s="7" t="s">
        <v>250</v>
      </c>
      <c r="E344" s="23">
        <v>50.587989550000003</v>
      </c>
      <c r="F344" s="23">
        <v>-128.2024973</v>
      </c>
      <c r="G344" s="23">
        <v>54</v>
      </c>
      <c r="H344" s="7" t="s">
        <v>22</v>
      </c>
      <c r="I344" s="8">
        <v>13.2</v>
      </c>
      <c r="J344" s="23">
        <v>168.34091999999998</v>
      </c>
      <c r="K344" s="23">
        <v>94.726775014035169</v>
      </c>
      <c r="L344" s="8" t="s">
        <v>22</v>
      </c>
      <c r="M344" s="23">
        <v>0.68284271240200001</v>
      </c>
      <c r="N344" s="23">
        <v>211</v>
      </c>
      <c r="O344" s="8">
        <f>Table1[[#This Row],[R1 Length (km)]]+Table1[[#This Row],[T1 Length (km)]]</f>
        <v>211.68284271240199</v>
      </c>
      <c r="P344" s="13">
        <v>69</v>
      </c>
      <c r="Q344" s="8">
        <f>(Table1[[#This Row],[Linear Features (km)]]*0.4)*100</f>
        <v>8467.3137084960799</v>
      </c>
      <c r="R344" s="26">
        <f>((PI()*(45^2))*Table1[[#This Row],[Number of Turbines - WIND]])/10000</f>
        <v>4.453207586463531</v>
      </c>
      <c r="S344" s="10">
        <f>Table1[[#This Row],[ATG (ha)]]/Table1[[#This Row],[Linear Area (ha)]]</f>
        <v>5.2592920727564333E-4</v>
      </c>
      <c r="T344" s="7" t="s">
        <v>115</v>
      </c>
      <c r="U344" s="7">
        <v>7</v>
      </c>
      <c r="V344" s="11" t="s">
        <v>22</v>
      </c>
      <c r="W344" s="11" t="s">
        <v>22</v>
      </c>
      <c r="X344" s="13">
        <v>755.65848806221004</v>
      </c>
      <c r="Y344" s="12">
        <f>Table1[[#This Row],[Raw Terrestrial Score]]/Table1[[#This Row],[Summed Raw Scores]]</f>
        <v>0.31500308900282969</v>
      </c>
      <c r="Z344" s="13">
        <v>1643.2338226586601</v>
      </c>
      <c r="AA344" s="12">
        <f>Table1[[#This Row],[Raw Freshwater Score]]/Table1[[#This Row],[Summed Raw Scores]]</f>
        <v>0.68499691099717031</v>
      </c>
      <c r="AB344" s="12">
        <f>Table1[[#This Row],[Raw Terrestrial Score]]+Table1[[#This Row],[Raw Freshwater Score]]</f>
        <v>2398.8923107208702</v>
      </c>
      <c r="AC344" s="14">
        <f>Table1[[#This Row],[Terrestrial % of Summed Score]]*Table1[[#This Row],[Scaled Summed Score]]</f>
        <v>0.11785019773930219</v>
      </c>
      <c r="AD344" s="14">
        <f>Table1[[#This Row],[Freshwater % of Summed Score]]*Table1[[#This Row],[Scaled Summed Score]]</f>
        <v>0.25627374533810532</v>
      </c>
      <c r="AE344" s="21">
        <f>Table1[[#This Row],[Summed Raw Scores]]/MAX(Table1[Summed Raw Scores])</f>
        <v>0.37412394307740754</v>
      </c>
    </row>
    <row r="345" spans="1:31" x14ac:dyDescent="0.3">
      <c r="A345" s="7" t="s">
        <v>219</v>
      </c>
      <c r="B345" s="7" t="s">
        <v>114</v>
      </c>
      <c r="C345" s="7" t="s">
        <v>21</v>
      </c>
      <c r="D345" s="7"/>
      <c r="E345" s="23">
        <v>50.701239829999999</v>
      </c>
      <c r="F345" s="23">
        <v>-128.19938149999999</v>
      </c>
      <c r="G345" s="23">
        <v>33</v>
      </c>
      <c r="H345" s="7" t="s">
        <v>22</v>
      </c>
      <c r="I345" s="8">
        <v>8.4</v>
      </c>
      <c r="J345" s="23">
        <v>100.50348</v>
      </c>
      <c r="K345" s="23">
        <v>115.04631020901492</v>
      </c>
      <c r="L345" s="8" t="s">
        <v>22</v>
      </c>
      <c r="M345" s="23">
        <v>0.14142135620100002</v>
      </c>
      <c r="N345" s="23">
        <v>50.245585937500003</v>
      </c>
      <c r="O345" s="8">
        <f>Table1[[#This Row],[R1 Length (km)]]+Table1[[#This Row],[T1 Length (km)]]</f>
        <v>50.387007293701004</v>
      </c>
      <c r="P345" s="13">
        <v>69</v>
      </c>
      <c r="Q345" s="8">
        <f>(Table1[[#This Row],[Linear Features (km)]]*0.4)*100</f>
        <v>2015.4802917480404</v>
      </c>
      <c r="R345" s="26">
        <f>145718.9/10000</f>
        <v>14.57189</v>
      </c>
      <c r="S345" s="10">
        <f>Table1[[#This Row],[ATG (ha)]]/Table1[[#This Row],[Linear Area (ha)]]</f>
        <v>7.2299838701780092E-3</v>
      </c>
      <c r="T345" s="7" t="s">
        <v>136</v>
      </c>
      <c r="U345" s="11" t="s">
        <v>22</v>
      </c>
      <c r="V345" s="11" t="s">
        <v>22</v>
      </c>
      <c r="W345" s="11" t="s">
        <v>22</v>
      </c>
      <c r="X345" s="13">
        <v>112.66033737734</v>
      </c>
      <c r="Y345" s="12">
        <f>Table1[[#This Row],[Raw Terrestrial Score]]/Table1[[#This Row],[Summed Raw Scores]]</f>
        <v>0.18529641507014344</v>
      </c>
      <c r="Z345" s="13">
        <v>495.34029412269598</v>
      </c>
      <c r="AA345" s="12">
        <f>Table1[[#This Row],[Raw Freshwater Score]]/Table1[[#This Row],[Summed Raw Scores]]</f>
        <v>0.81470358492985651</v>
      </c>
      <c r="AB345" s="12">
        <f>Table1[[#This Row],[Raw Terrestrial Score]]+Table1[[#This Row],[Raw Freshwater Score]]</f>
        <v>608.00063150003598</v>
      </c>
      <c r="AC345" s="14">
        <f>Table1[[#This Row],[Terrestrial % of Summed Score]]*Table1[[#This Row],[Scaled Summed Score]]</f>
        <v>1.7570163303985774E-2</v>
      </c>
      <c r="AD345" s="14">
        <f>Table1[[#This Row],[Freshwater % of Summed Score]]*Table1[[#This Row],[Scaled Summed Score]]</f>
        <v>7.7251764564044687E-2</v>
      </c>
      <c r="AE345" s="21">
        <f>Table1[[#This Row],[Summed Raw Scores]]/MAX(Table1[Summed Raw Scores])</f>
        <v>9.4821927868030467E-2</v>
      </c>
    </row>
    <row r="346" spans="1:31" x14ac:dyDescent="0.3">
      <c r="A346" s="7" t="s">
        <v>220</v>
      </c>
      <c r="B346" s="7" t="s">
        <v>114</v>
      </c>
      <c r="C346" s="7" t="s">
        <v>21</v>
      </c>
      <c r="D346" s="7" t="s">
        <v>250</v>
      </c>
      <c r="E346" s="23">
        <v>48.524384269999999</v>
      </c>
      <c r="F346" s="23">
        <v>-124.04424469999999</v>
      </c>
      <c r="G346" s="23">
        <v>48</v>
      </c>
      <c r="H346" s="7" t="s">
        <v>22</v>
      </c>
      <c r="I346" s="8">
        <v>12</v>
      </c>
      <c r="J346" s="23">
        <v>127.8522</v>
      </c>
      <c r="K346" s="23">
        <v>102.72014729515422</v>
      </c>
      <c r="L346" s="8" t="s">
        <v>22</v>
      </c>
      <c r="M346" s="23">
        <v>0.68284277343800004</v>
      </c>
      <c r="N346" s="23">
        <v>34.066906250000002</v>
      </c>
      <c r="O346" s="8">
        <f>Table1[[#This Row],[R1 Length (km)]]+Table1[[#This Row],[T1 Length (km)]]</f>
        <v>34.749749023438</v>
      </c>
      <c r="P346" s="13">
        <v>69</v>
      </c>
      <c r="Q346" s="8">
        <f>(Table1[[#This Row],[Linear Features (km)]]*0.4)*100</f>
        <v>1389.98996093752</v>
      </c>
      <c r="R346" s="26">
        <v>6.36</v>
      </c>
      <c r="S346" s="10">
        <f>Table1[[#This Row],[ATG (ha)]]/Table1[[#This Row],[Linear Area (ha)]]</f>
        <v>4.5755726147189649E-3</v>
      </c>
      <c r="T346" s="7" t="s">
        <v>136</v>
      </c>
      <c r="U346" s="11" t="s">
        <v>22</v>
      </c>
      <c r="V346" s="11" t="s">
        <v>22</v>
      </c>
      <c r="W346" s="11" t="s">
        <v>22</v>
      </c>
      <c r="X346" s="13">
        <v>62.828645855188398</v>
      </c>
      <c r="Y346" s="12">
        <f>Table1[[#This Row],[Raw Terrestrial Score]]/Table1[[#This Row],[Summed Raw Scores]]</f>
        <v>0.35190155890506586</v>
      </c>
      <c r="Z346" s="13">
        <v>115.711756326258</v>
      </c>
      <c r="AA346" s="12">
        <f>Table1[[#This Row],[Raw Freshwater Score]]/Table1[[#This Row],[Summed Raw Scores]]</f>
        <v>0.6480984410949342</v>
      </c>
      <c r="AB346" s="12">
        <f>Table1[[#This Row],[Raw Terrestrial Score]]+Table1[[#This Row],[Raw Freshwater Score]]</f>
        <v>178.54040218144638</v>
      </c>
      <c r="AC346" s="14">
        <f>Table1[[#This Row],[Terrestrial % of Summed Score]]*Table1[[#This Row],[Scaled Summed Score]]</f>
        <v>9.7985643709423576E-3</v>
      </c>
      <c r="AD346" s="14">
        <f>Table1[[#This Row],[Freshwater % of Summed Score]]*Table1[[#This Row],[Scaled Summed Score]]</f>
        <v>1.8046053315408282E-2</v>
      </c>
      <c r="AE346" s="21">
        <f>Table1[[#This Row],[Summed Raw Scores]]/MAX(Table1[Summed Raw Scores])</f>
        <v>2.7844617686350638E-2</v>
      </c>
    </row>
    <row r="347" spans="1:31" x14ac:dyDescent="0.3">
      <c r="A347" s="7" t="s">
        <v>221</v>
      </c>
      <c r="B347" s="7" t="s">
        <v>114</v>
      </c>
      <c r="C347" s="7" t="s">
        <v>21</v>
      </c>
      <c r="D347" s="7" t="s">
        <v>250</v>
      </c>
      <c r="E347" s="23">
        <v>50.496697820000001</v>
      </c>
      <c r="F347" s="23">
        <v>-126.76762239999999</v>
      </c>
      <c r="G347" s="23">
        <v>48</v>
      </c>
      <c r="H347" s="7" t="s">
        <v>22</v>
      </c>
      <c r="I347" s="8">
        <v>12</v>
      </c>
      <c r="J347" s="23">
        <v>164.90700000000001</v>
      </c>
      <c r="K347" s="23">
        <v>88.165206651257805</v>
      </c>
      <c r="L347" s="8" t="s">
        <v>22</v>
      </c>
      <c r="M347" s="23">
        <v>0.7</v>
      </c>
      <c r="N347" s="23">
        <v>9.1999999999999993</v>
      </c>
      <c r="O347" s="8">
        <f>Table1[[#This Row],[R1 Length (km)]]+Table1[[#This Row],[T1 Length (km)]]</f>
        <v>9.8999999999999986</v>
      </c>
      <c r="P347" s="13">
        <v>130</v>
      </c>
      <c r="Q347" s="8">
        <f>(Table1[[#This Row],[Linear Features (km)]]*0.4)*100</f>
        <v>395.99999999999994</v>
      </c>
      <c r="R347" s="26">
        <v>6.36</v>
      </c>
      <c r="S347" s="10">
        <f>Table1[[#This Row],[ATG (ha)]]/Table1[[#This Row],[Linear Area (ha)]]</f>
        <v>1.6060606060606063E-2</v>
      </c>
      <c r="T347" s="7" t="s">
        <v>136</v>
      </c>
      <c r="U347" s="7" t="s">
        <v>22</v>
      </c>
      <c r="V347" s="11" t="s">
        <v>22</v>
      </c>
      <c r="W347" s="11" t="s">
        <v>22</v>
      </c>
      <c r="X347" s="13">
        <v>61.615151176229098</v>
      </c>
      <c r="Y347" s="12">
        <f>Table1[[#This Row],[Raw Terrestrial Score]]/Table1[[#This Row],[Summed Raw Scores]]</f>
        <v>0.33003122189236744</v>
      </c>
      <c r="Z347" s="13">
        <v>125.079764604568</v>
      </c>
      <c r="AA347" s="12">
        <f>Table1[[#This Row],[Raw Freshwater Score]]/Table1[[#This Row],[Summed Raw Scores]]</f>
        <v>0.66996877810763256</v>
      </c>
      <c r="AB347" s="12">
        <f>Table1[[#This Row],[Raw Terrestrial Score]]+Table1[[#This Row],[Raw Freshwater Score]]</f>
        <v>186.69491578079709</v>
      </c>
      <c r="AC347" s="14">
        <f>Table1[[#This Row],[Terrestrial % of Summed Score]]*Table1[[#This Row],[Scaled Summed Score]]</f>
        <v>9.6093114344238031E-3</v>
      </c>
      <c r="AD347" s="14">
        <f>Table1[[#This Row],[Freshwater % of Summed Score]]*Table1[[#This Row],[Scaled Summed Score]]</f>
        <v>1.9507059372328755E-2</v>
      </c>
      <c r="AE347" s="21">
        <f>Table1[[#This Row],[Summed Raw Scores]]/MAX(Table1[Summed Raw Scores])</f>
        <v>2.9116370806752556E-2</v>
      </c>
    </row>
    <row r="348" spans="1:31" x14ac:dyDescent="0.3">
      <c r="A348" s="7" t="s">
        <v>222</v>
      </c>
      <c r="B348" s="7" t="s">
        <v>114</v>
      </c>
      <c r="C348" s="7" t="s">
        <v>21</v>
      </c>
      <c r="D348" s="7" t="s">
        <v>250</v>
      </c>
      <c r="E348" s="23">
        <v>50.494692499999999</v>
      </c>
      <c r="F348" s="23">
        <v>-127.07283200000001</v>
      </c>
      <c r="G348" s="23">
        <v>33</v>
      </c>
      <c r="H348" s="7" t="s">
        <v>22</v>
      </c>
      <c r="I348" s="8">
        <v>8.4</v>
      </c>
      <c r="J348" s="23">
        <v>113.50331999999999</v>
      </c>
      <c r="K348" s="23">
        <v>87.113135229108053</v>
      </c>
      <c r="L348" s="8" t="s">
        <v>22</v>
      </c>
      <c r="M348" s="23">
        <v>1</v>
      </c>
      <c r="N348" s="23">
        <v>8.8000000000000007</v>
      </c>
      <c r="O348" s="8">
        <f>Table1[[#This Row],[R1 Length (km)]]+Table1[[#This Row],[T1 Length (km)]]</f>
        <v>9.8000000000000007</v>
      </c>
      <c r="P348" s="13">
        <v>130</v>
      </c>
      <c r="Q348" s="8">
        <f>(Table1[[#This Row],[Linear Features (km)]]*0.4)*100</f>
        <v>392.00000000000006</v>
      </c>
      <c r="R348" s="26">
        <f>((PI()*(45^2))*Table1[[#This Row],[Number of Turbines - WIND]])/10000</f>
        <v>4.453207586463531</v>
      </c>
      <c r="S348" s="10">
        <f>Table1[[#This Row],[ATG (ha)]]/Table1[[#This Row],[Linear Area (ha)]]</f>
        <v>1.1360223434855946E-2</v>
      </c>
      <c r="T348" s="7" t="s">
        <v>115</v>
      </c>
      <c r="U348" s="7">
        <v>7</v>
      </c>
      <c r="V348" s="11" t="s">
        <v>22</v>
      </c>
      <c r="W348" s="11" t="s">
        <v>22</v>
      </c>
      <c r="X348" s="13">
        <v>32.029469296336202</v>
      </c>
      <c r="Y348" s="12">
        <f>Table1[[#This Row],[Raw Terrestrial Score]]/Table1[[#This Row],[Summed Raw Scores]]</f>
        <v>0.18796082652460808</v>
      </c>
      <c r="Z348" s="13">
        <v>138.375555455685</v>
      </c>
      <c r="AA348" s="12">
        <f>Table1[[#This Row],[Raw Freshwater Score]]/Table1[[#This Row],[Summed Raw Scores]]</f>
        <v>0.8120391734753919</v>
      </c>
      <c r="AB348" s="12">
        <f>Table1[[#This Row],[Raw Terrestrial Score]]+Table1[[#This Row],[Raw Freshwater Score]]</f>
        <v>170.40502475202121</v>
      </c>
      <c r="AC348" s="14">
        <f>Table1[[#This Row],[Terrestrial % of Summed Score]]*Table1[[#This Row],[Scaled Summed Score]]</f>
        <v>4.9952185407694076E-3</v>
      </c>
      <c r="AD348" s="14">
        <f>Table1[[#This Row],[Freshwater % of Summed Score]]*Table1[[#This Row],[Scaled Summed Score]]</f>
        <v>2.1580630443994591E-2</v>
      </c>
      <c r="AE348" s="21">
        <f>Table1[[#This Row],[Summed Raw Scores]]/MAX(Table1[Summed Raw Scores])</f>
        <v>2.6575848984763999E-2</v>
      </c>
    </row>
    <row r="349" spans="1:31" x14ac:dyDescent="0.3">
      <c r="A349" s="7" t="s">
        <v>223</v>
      </c>
      <c r="B349" s="7" t="s">
        <v>114</v>
      </c>
      <c r="C349" s="7" t="s">
        <v>21</v>
      </c>
      <c r="D349" s="7" t="s">
        <v>250</v>
      </c>
      <c r="E349" s="23">
        <v>50.446005470000003</v>
      </c>
      <c r="F349" s="23">
        <v>-127.2969015</v>
      </c>
      <c r="G349" s="23">
        <v>33</v>
      </c>
      <c r="H349" s="7" t="s">
        <v>22</v>
      </c>
      <c r="I349" s="8">
        <v>8.4</v>
      </c>
      <c r="J349" s="23">
        <v>129.44651999999999</v>
      </c>
      <c r="K349" s="23">
        <v>88.609477321999194</v>
      </c>
      <c r="L349" s="8" t="s">
        <v>22</v>
      </c>
      <c r="M349" s="23">
        <v>0.9</v>
      </c>
      <c r="N349" s="23">
        <v>17.8</v>
      </c>
      <c r="O349" s="8">
        <f>Table1[[#This Row],[R1 Length (km)]]+Table1[[#This Row],[T1 Length (km)]]</f>
        <v>18.7</v>
      </c>
      <c r="P349" s="13">
        <v>130</v>
      </c>
      <c r="Q349" s="8">
        <f>(Table1[[#This Row],[Linear Features (km)]]*0.4)*100</f>
        <v>748</v>
      </c>
      <c r="R349" s="26">
        <v>4.45</v>
      </c>
      <c r="S349" s="10">
        <f>Table1[[#This Row],[ATG (ha)]]/Table1[[#This Row],[Linear Area (ha)]]</f>
        <v>5.9491978609625667E-3</v>
      </c>
      <c r="T349" s="7" t="s">
        <v>136</v>
      </c>
      <c r="U349" s="11" t="s">
        <v>22</v>
      </c>
      <c r="V349" s="11" t="s">
        <v>22</v>
      </c>
      <c r="W349" s="11" t="s">
        <v>22</v>
      </c>
      <c r="X349" s="13">
        <v>94.023282930254894</v>
      </c>
      <c r="Y349" s="12">
        <f>Table1[[#This Row],[Raw Terrestrial Score]]/Table1[[#This Row],[Summed Raw Scores]]</f>
        <v>0.4719176326343269</v>
      </c>
      <c r="Z349" s="13">
        <v>105.213355898857</v>
      </c>
      <c r="AA349" s="12">
        <f>Table1[[#This Row],[Raw Freshwater Score]]/Table1[[#This Row],[Summed Raw Scores]]</f>
        <v>0.52808236736567316</v>
      </c>
      <c r="AB349" s="12">
        <f>Table1[[#This Row],[Raw Terrestrial Score]]+Table1[[#This Row],[Raw Freshwater Score]]</f>
        <v>199.23663882911188</v>
      </c>
      <c r="AC349" s="14">
        <f>Table1[[#This Row],[Terrestrial % of Summed Score]]*Table1[[#This Row],[Scaled Summed Score]]</f>
        <v>1.4663585019528918E-2</v>
      </c>
      <c r="AD349" s="14">
        <f>Table1[[#This Row],[Freshwater % of Summed Score]]*Table1[[#This Row],[Scaled Summed Score]]</f>
        <v>1.6408754739581626E-2</v>
      </c>
      <c r="AE349" s="21">
        <f>Table1[[#This Row],[Summed Raw Scores]]/MAX(Table1[Summed Raw Scores])</f>
        <v>3.1072339759110543E-2</v>
      </c>
    </row>
    <row r="350" spans="1:31" x14ac:dyDescent="0.3">
      <c r="A350" s="7" t="s">
        <v>224</v>
      </c>
      <c r="B350" s="7" t="s">
        <v>114</v>
      </c>
      <c r="C350" s="7" t="s">
        <v>21</v>
      </c>
      <c r="D350" s="7" t="s">
        <v>250</v>
      </c>
      <c r="E350" s="23">
        <v>50.563312949999997</v>
      </c>
      <c r="F350" s="23">
        <v>-127.93100939999999</v>
      </c>
      <c r="G350" s="23">
        <v>39</v>
      </c>
      <c r="H350" s="7" t="s">
        <v>22</v>
      </c>
      <c r="I350" s="8">
        <v>9.6</v>
      </c>
      <c r="J350" s="23">
        <v>131.15472</v>
      </c>
      <c r="K350" s="23">
        <v>103.77850274255869</v>
      </c>
      <c r="L350" s="8" t="s">
        <v>22</v>
      </c>
      <c r="M350" s="23">
        <v>0.44142135620099998</v>
      </c>
      <c r="N350" s="23">
        <v>37.785996093750001</v>
      </c>
      <c r="O350" s="8">
        <f>Table1[[#This Row],[R1 Length (km)]]+Table1[[#This Row],[T1 Length (km)]]</f>
        <v>38.227417449950998</v>
      </c>
      <c r="P350" s="13">
        <v>69</v>
      </c>
      <c r="Q350" s="8">
        <f>(Table1[[#This Row],[Linear Features (km)]]*0.4)*100</f>
        <v>1529.0966979980401</v>
      </c>
      <c r="R350" s="26">
        <v>5.08</v>
      </c>
      <c r="S350" s="10">
        <f>Table1[[#This Row],[ATG (ha)]]/Table1[[#This Row],[Linear Area (ha)]]</f>
        <v>3.3222228565733987E-3</v>
      </c>
      <c r="T350" s="7" t="s">
        <v>136</v>
      </c>
      <c r="U350" s="11" t="s">
        <v>22</v>
      </c>
      <c r="V350" s="11" t="s">
        <v>22</v>
      </c>
      <c r="W350" s="11" t="s">
        <v>22</v>
      </c>
      <c r="X350" s="13">
        <v>223.12790771096499</v>
      </c>
      <c r="Y350" s="12">
        <f>Table1[[#This Row],[Raw Terrestrial Score]]/Table1[[#This Row],[Summed Raw Scores]]</f>
        <v>0.53061883659569498</v>
      </c>
      <c r="Z350" s="13">
        <v>197.37715604156301</v>
      </c>
      <c r="AA350" s="12">
        <f>Table1[[#This Row],[Raw Freshwater Score]]/Table1[[#This Row],[Summed Raw Scores]]</f>
        <v>0.46938116340430491</v>
      </c>
      <c r="AB350" s="12">
        <f>Table1[[#This Row],[Raw Terrestrial Score]]+Table1[[#This Row],[Raw Freshwater Score]]</f>
        <v>420.50506375252803</v>
      </c>
      <c r="AC350" s="14">
        <f>Table1[[#This Row],[Terrestrial % of Summed Score]]*Table1[[#This Row],[Scaled Summed Score]]</f>
        <v>3.4798349334136225E-2</v>
      </c>
      <c r="AD350" s="14">
        <f>Table1[[#This Row],[Freshwater % of Summed Score]]*Table1[[#This Row],[Scaled Summed Score]]</f>
        <v>3.0782340483422634E-2</v>
      </c>
      <c r="AE350" s="21">
        <f>Table1[[#This Row],[Summed Raw Scores]]/MAX(Table1[Summed Raw Scores])</f>
        <v>6.5580689817558865E-2</v>
      </c>
    </row>
    <row r="351" spans="1:31" x14ac:dyDescent="0.3">
      <c r="A351" s="7" t="s">
        <v>225</v>
      </c>
      <c r="B351" s="7" t="s">
        <v>37</v>
      </c>
      <c r="C351" s="7" t="s">
        <v>59</v>
      </c>
      <c r="D351" s="7" t="s">
        <v>250</v>
      </c>
      <c r="E351" s="23">
        <v>51.936409428200001</v>
      </c>
      <c r="F351" s="23">
        <v>-122.97709502799999</v>
      </c>
      <c r="G351" s="23">
        <v>11.4920585116</v>
      </c>
      <c r="H351" s="8">
        <v>11</v>
      </c>
      <c r="I351" s="8" t="s">
        <v>22</v>
      </c>
      <c r="J351" s="23">
        <v>92</v>
      </c>
      <c r="K351" s="23">
        <v>132.65</v>
      </c>
      <c r="L351" s="8" t="s">
        <v>22</v>
      </c>
      <c r="M351" s="23">
        <v>0</v>
      </c>
      <c r="N351" s="23">
        <v>68.169799999999995</v>
      </c>
      <c r="O351" s="8">
        <f>Table1[[#This Row],[R1 Length (km)]]+Table1[[#This Row],[T1 Length (km)]]</f>
        <v>68.169799999999995</v>
      </c>
      <c r="P351" s="13">
        <v>230</v>
      </c>
      <c r="Q351" s="8">
        <f>(Table1[[#This Row],[Linear Features (km)]]*0.4)*100</f>
        <v>2726.7919999999999</v>
      </c>
      <c r="R351" s="26">
        <v>10</v>
      </c>
      <c r="S351" s="10">
        <f>Table1[[#This Row],[ATG (ha)]]/Table1[[#This Row],[Linear Area (ha)]]</f>
        <v>3.6673130917209674E-3</v>
      </c>
      <c r="T351" s="7" t="s">
        <v>22</v>
      </c>
      <c r="U351" s="7" t="s">
        <v>22</v>
      </c>
      <c r="V351" s="11" t="s">
        <v>22</v>
      </c>
      <c r="W351" s="11" t="s">
        <v>22</v>
      </c>
      <c r="X351" s="13">
        <v>595.16749024391197</v>
      </c>
      <c r="Y351" s="12">
        <f>Table1[[#This Row],[Raw Terrestrial Score]]/Table1[[#This Row],[Summed Raw Scores]]</f>
        <v>0.57016845272704353</v>
      </c>
      <c r="Z351" s="13">
        <v>448.67751275003002</v>
      </c>
      <c r="AA351" s="12">
        <f>Table1[[#This Row],[Raw Freshwater Score]]/Table1[[#This Row],[Summed Raw Scores]]</f>
        <v>0.42983154727295653</v>
      </c>
      <c r="AB351" s="12">
        <f>Table1[[#This Row],[Raw Terrestrial Score]]+Table1[[#This Row],[Raw Freshwater Score]]</f>
        <v>1043.845002993942</v>
      </c>
      <c r="AC351" s="14">
        <f>Table1[[#This Row],[Terrestrial % of Summed Score]]*Table1[[#This Row],[Scaled Summed Score]]</f>
        <v>9.2820510218995747E-2</v>
      </c>
      <c r="AD351" s="14">
        <f>Table1[[#This Row],[Freshwater % of Summed Score]]*Table1[[#This Row],[Scaled Summed Score]]</f>
        <v>6.9974379212446841E-2</v>
      </c>
      <c r="AE351" s="21">
        <f>Table1[[#This Row],[Summed Raw Scores]]/MAX(Table1[Summed Raw Scores])</f>
        <v>0.16279488943144257</v>
      </c>
    </row>
    <row r="352" spans="1:31" x14ac:dyDescent="0.3">
      <c r="A352" s="7" t="s">
        <v>226</v>
      </c>
      <c r="B352" s="7" t="s">
        <v>37</v>
      </c>
      <c r="C352" s="7" t="s">
        <v>32</v>
      </c>
      <c r="D352" s="7" t="s">
        <v>250</v>
      </c>
      <c r="E352" s="23">
        <v>49.079444444499998</v>
      </c>
      <c r="F352" s="23">
        <v>-122.483055556</v>
      </c>
      <c r="G352" s="23">
        <v>46.954864498399999</v>
      </c>
      <c r="H352" s="8">
        <v>45</v>
      </c>
      <c r="I352" s="8" t="s">
        <v>22</v>
      </c>
      <c r="J352" s="23">
        <v>374</v>
      </c>
      <c r="K352" s="23">
        <v>134.79</v>
      </c>
      <c r="L352" s="8" t="s">
        <v>22</v>
      </c>
      <c r="M352" s="23">
        <f>600/1000</f>
        <v>0.6</v>
      </c>
      <c r="N352" s="23">
        <v>3.67279</v>
      </c>
      <c r="O352" s="8">
        <f>Table1[[#This Row],[R1 Length (km)]]+Table1[[#This Row],[T1 Length (km)]]</f>
        <v>4.2727899999999996</v>
      </c>
      <c r="P352" s="13">
        <v>69</v>
      </c>
      <c r="Q352" s="8">
        <f>(Table1[[#This Row],[Linear Features (km)]]*0.4)*100</f>
        <v>170.91159999999999</v>
      </c>
      <c r="R352" s="26">
        <v>10</v>
      </c>
      <c r="S352" s="10">
        <f>Table1[[#This Row],[ATG (ha)]]/Table1[[#This Row],[Linear Area (ha)]]</f>
        <v>5.8509779324516301E-2</v>
      </c>
      <c r="T352" s="7" t="s">
        <v>22</v>
      </c>
      <c r="U352" s="7" t="s">
        <v>22</v>
      </c>
      <c r="V352" s="11" t="s">
        <v>22</v>
      </c>
      <c r="W352" s="11" t="s">
        <v>22</v>
      </c>
      <c r="X352" s="13">
        <v>93.829605728387804</v>
      </c>
      <c r="Y352" s="12">
        <f>Table1[[#This Row],[Raw Terrestrial Score]]/Table1[[#This Row],[Summed Raw Scores]]</f>
        <v>0.65258298349886923</v>
      </c>
      <c r="Z352" s="13">
        <v>49.952270448207898</v>
      </c>
      <c r="AA352" s="12">
        <f>Table1[[#This Row],[Raw Freshwater Score]]/Table1[[#This Row],[Summed Raw Scores]]</f>
        <v>0.34741701650113088</v>
      </c>
      <c r="AB352" s="12">
        <f>Table1[[#This Row],[Raw Terrestrial Score]]+Table1[[#This Row],[Raw Freshwater Score]]</f>
        <v>143.78187617659569</v>
      </c>
      <c r="AC352" s="14">
        <f>Table1[[#This Row],[Terrestrial % of Summed Score]]*Table1[[#This Row],[Scaled Summed Score]]</f>
        <v>1.4633379712636698E-2</v>
      </c>
      <c r="AD352" s="14">
        <f>Table1[[#This Row],[Freshwater % of Summed Score]]*Table1[[#This Row],[Scaled Summed Score]]</f>
        <v>7.7904040553353265E-3</v>
      </c>
      <c r="AE352" s="21">
        <f>Table1[[#This Row],[Summed Raw Scores]]/MAX(Table1[Summed Raw Scores])</f>
        <v>2.2423783767972022E-2</v>
      </c>
    </row>
    <row r="353" spans="1:31" x14ac:dyDescent="0.3">
      <c r="A353" s="7" t="s">
        <v>227</v>
      </c>
      <c r="B353" s="7" t="s">
        <v>37</v>
      </c>
      <c r="C353" s="7" t="s">
        <v>32</v>
      </c>
      <c r="D353" s="7" t="s">
        <v>250</v>
      </c>
      <c r="E353" s="23">
        <v>49.079444444499998</v>
      </c>
      <c r="F353" s="23">
        <v>-122.483055556</v>
      </c>
      <c r="G353" s="23">
        <v>38.505777818399999</v>
      </c>
      <c r="H353" s="8">
        <v>37</v>
      </c>
      <c r="I353" s="8" t="s">
        <v>22</v>
      </c>
      <c r="J353" s="23">
        <v>307</v>
      </c>
      <c r="K353" s="23">
        <v>104.73</v>
      </c>
      <c r="L353" s="8" t="s">
        <v>22</v>
      </c>
      <c r="M353" s="23">
        <v>0</v>
      </c>
      <c r="N353" s="23">
        <v>3.67279</v>
      </c>
      <c r="O353" s="8">
        <f>Table1[[#This Row],[R1 Length (km)]]+Table1[[#This Row],[T1 Length (km)]]</f>
        <v>3.67279</v>
      </c>
      <c r="P353" s="13">
        <v>69</v>
      </c>
      <c r="Q353" s="8">
        <f>(Table1[[#This Row],[Linear Features (km)]]*0.4)*100</f>
        <v>146.91160000000002</v>
      </c>
      <c r="R353" s="26">
        <v>10</v>
      </c>
      <c r="S353" s="10">
        <f>Table1[[#This Row],[ATG (ha)]]/Table1[[#This Row],[Linear Area (ha)]]</f>
        <v>6.8068144380702397E-2</v>
      </c>
      <c r="T353" s="7" t="s">
        <v>22</v>
      </c>
      <c r="U353" s="7" t="s">
        <v>22</v>
      </c>
      <c r="V353" s="11" t="s">
        <v>22</v>
      </c>
      <c r="W353" s="11" t="s">
        <v>22</v>
      </c>
      <c r="X353" s="13">
        <v>93.829605728387804</v>
      </c>
      <c r="Y353" s="12">
        <f>Table1[[#This Row],[Raw Terrestrial Score]]/Table1[[#This Row],[Summed Raw Scores]]</f>
        <v>0.65258298349886923</v>
      </c>
      <c r="Z353" s="13">
        <v>49.952270448207898</v>
      </c>
      <c r="AA353" s="12">
        <f>Table1[[#This Row],[Raw Freshwater Score]]/Table1[[#This Row],[Summed Raw Scores]]</f>
        <v>0.34741701650113088</v>
      </c>
      <c r="AB353" s="12">
        <f>Table1[[#This Row],[Raw Terrestrial Score]]+Table1[[#This Row],[Raw Freshwater Score]]</f>
        <v>143.78187617659569</v>
      </c>
      <c r="AC353" s="14">
        <f>Table1[[#This Row],[Terrestrial % of Summed Score]]*Table1[[#This Row],[Scaled Summed Score]]</f>
        <v>1.4633379712636698E-2</v>
      </c>
      <c r="AD353" s="14">
        <f>Table1[[#This Row],[Freshwater % of Summed Score]]*Table1[[#This Row],[Scaled Summed Score]]</f>
        <v>7.7904040553353265E-3</v>
      </c>
      <c r="AE353" s="21">
        <f>Table1[[#This Row],[Summed Raw Scores]]/MAX(Table1[Summed Raw Scores])</f>
        <v>2.2423783767972022E-2</v>
      </c>
    </row>
    <row r="354" spans="1:31" x14ac:dyDescent="0.3">
      <c r="A354" s="7" t="s">
        <v>228</v>
      </c>
      <c r="B354" s="7" t="s">
        <v>37</v>
      </c>
      <c r="C354" s="7" t="s">
        <v>32</v>
      </c>
      <c r="D354" s="7" t="s">
        <v>250</v>
      </c>
      <c r="E354" s="23">
        <v>49.079444444499998</v>
      </c>
      <c r="F354" s="23">
        <v>-122.483055556</v>
      </c>
      <c r="G354" s="23">
        <v>38.505777818399999</v>
      </c>
      <c r="H354" s="8">
        <v>37</v>
      </c>
      <c r="I354" s="8" t="s">
        <v>22</v>
      </c>
      <c r="J354" s="23">
        <v>307</v>
      </c>
      <c r="K354" s="23">
        <v>104.73</v>
      </c>
      <c r="L354" s="8" t="s">
        <v>22</v>
      </c>
      <c r="M354" s="23">
        <f>600/1000</f>
        <v>0.6</v>
      </c>
      <c r="N354" s="23">
        <v>3.67279</v>
      </c>
      <c r="O354" s="8">
        <f>Table1[[#This Row],[R1 Length (km)]]+Table1[[#This Row],[T1 Length (km)]]</f>
        <v>4.2727899999999996</v>
      </c>
      <c r="P354" s="13">
        <v>69</v>
      </c>
      <c r="Q354" s="8">
        <f>(Table1[[#This Row],[Linear Features (km)]]*0.4)*100</f>
        <v>170.91159999999999</v>
      </c>
      <c r="R354" s="26">
        <v>10</v>
      </c>
      <c r="S354" s="10">
        <f>Table1[[#This Row],[ATG (ha)]]/Table1[[#This Row],[Linear Area (ha)]]</f>
        <v>5.8509779324516301E-2</v>
      </c>
      <c r="T354" s="7" t="s">
        <v>22</v>
      </c>
      <c r="U354" s="7" t="s">
        <v>22</v>
      </c>
      <c r="V354" s="11" t="s">
        <v>22</v>
      </c>
      <c r="W354" s="11" t="s">
        <v>22</v>
      </c>
      <c r="X354" s="13">
        <v>93.829605728387804</v>
      </c>
      <c r="Y354" s="12">
        <f>Table1[[#This Row],[Raw Terrestrial Score]]/Table1[[#This Row],[Summed Raw Scores]]</f>
        <v>0.65258298349886923</v>
      </c>
      <c r="Z354" s="13">
        <v>49.952270448207898</v>
      </c>
      <c r="AA354" s="12">
        <f>Table1[[#This Row],[Raw Freshwater Score]]/Table1[[#This Row],[Summed Raw Scores]]</f>
        <v>0.34741701650113088</v>
      </c>
      <c r="AB354" s="12">
        <f>Table1[[#This Row],[Raw Terrestrial Score]]+Table1[[#This Row],[Raw Freshwater Score]]</f>
        <v>143.78187617659569</v>
      </c>
      <c r="AC354" s="14">
        <f>Table1[[#This Row],[Terrestrial % of Summed Score]]*Table1[[#This Row],[Scaled Summed Score]]</f>
        <v>1.4633379712636698E-2</v>
      </c>
      <c r="AD354" s="14">
        <f>Table1[[#This Row],[Freshwater % of Summed Score]]*Table1[[#This Row],[Scaled Summed Score]]</f>
        <v>7.7904040553353265E-3</v>
      </c>
      <c r="AE354" s="21">
        <f>Table1[[#This Row],[Summed Raw Scores]]/MAX(Table1[Summed Raw Scores])</f>
        <v>2.2423783767972022E-2</v>
      </c>
    </row>
    <row r="355" spans="1:31" x14ac:dyDescent="0.3">
      <c r="A355" s="7" t="s">
        <v>229</v>
      </c>
      <c r="B355" s="7" t="s">
        <v>37</v>
      </c>
      <c r="C355" s="7" t="s">
        <v>27</v>
      </c>
      <c r="D355" s="7" t="s">
        <v>250</v>
      </c>
      <c r="E355" s="23">
        <v>58.805555556500003</v>
      </c>
      <c r="F355" s="23">
        <v>-122.697222223</v>
      </c>
      <c r="G355" s="23">
        <v>38.520155471000002</v>
      </c>
      <c r="H355" s="8">
        <v>37</v>
      </c>
      <c r="I355" s="8" t="s">
        <v>22</v>
      </c>
      <c r="J355" s="23">
        <v>307</v>
      </c>
      <c r="K355" s="23">
        <v>187.48</v>
      </c>
      <c r="L355" s="8" t="s">
        <v>22</v>
      </c>
      <c r="M355" s="23">
        <f>600/1000</f>
        <v>0.6</v>
      </c>
      <c r="N355" s="23">
        <v>351.05200000000002</v>
      </c>
      <c r="O355" s="8">
        <f>Table1[[#This Row],[R1 Length (km)]]+Table1[[#This Row],[T1 Length (km)]]</f>
        <v>351.65200000000004</v>
      </c>
      <c r="P355" s="13">
        <v>230</v>
      </c>
      <c r="Q355" s="8">
        <f>(Table1[[#This Row],[Linear Features (km)]]*0.4)*100</f>
        <v>14066.080000000002</v>
      </c>
      <c r="R355" s="26">
        <v>10</v>
      </c>
      <c r="S355" s="10">
        <f>Table1[[#This Row],[ATG (ha)]]/Table1[[#This Row],[Linear Area (ha)]]</f>
        <v>7.1093012409996243E-4</v>
      </c>
      <c r="T355" s="7" t="s">
        <v>22</v>
      </c>
      <c r="U355" s="7" t="s">
        <v>22</v>
      </c>
      <c r="V355" s="11" t="s">
        <v>22</v>
      </c>
      <c r="W355" s="11" t="s">
        <v>22</v>
      </c>
      <c r="X355" s="13">
        <v>1518.90333972499</v>
      </c>
      <c r="Y355" s="12">
        <f>Table1[[#This Row],[Raw Terrestrial Score]]/Table1[[#This Row],[Summed Raw Scores]]</f>
        <v>0.5262543216554606</v>
      </c>
      <c r="Z355" s="13">
        <v>1367.3500879844701</v>
      </c>
      <c r="AA355" s="12">
        <f>Table1[[#This Row],[Raw Freshwater Score]]/Table1[[#This Row],[Summed Raw Scores]]</f>
        <v>0.47374567834453934</v>
      </c>
      <c r="AB355" s="12">
        <f>Table1[[#This Row],[Raw Terrestrial Score]]+Table1[[#This Row],[Raw Freshwater Score]]</f>
        <v>2886.2534277094601</v>
      </c>
      <c r="AC355" s="14">
        <f>Table1[[#This Row],[Terrestrial % of Summed Score]]*Table1[[#This Row],[Scaled Summed Score]]</f>
        <v>0.23688354165452055</v>
      </c>
      <c r="AD355" s="14">
        <f>Table1[[#This Row],[Freshwater % of Summed Score]]*Table1[[#This Row],[Scaled Summed Score]]</f>
        <v>0.21324775780796351</v>
      </c>
      <c r="AE355" s="21">
        <f>Table1[[#This Row],[Summed Raw Scores]]/MAX(Table1[Summed Raw Scores])</f>
        <v>0.45013129946248409</v>
      </c>
    </row>
    <row r="356" spans="1:31" x14ac:dyDescent="0.3">
      <c r="A356" s="7" t="s">
        <v>230</v>
      </c>
      <c r="B356" s="7" t="s">
        <v>37</v>
      </c>
      <c r="C356" s="7" t="s">
        <v>27</v>
      </c>
      <c r="D356" s="7" t="s">
        <v>250</v>
      </c>
      <c r="E356" s="23">
        <v>58.805555556500003</v>
      </c>
      <c r="F356" s="23">
        <v>-122.697222223</v>
      </c>
      <c r="G356" s="23">
        <v>38.520155471000002</v>
      </c>
      <c r="H356" s="8">
        <v>37</v>
      </c>
      <c r="I356" s="8" t="s">
        <v>22</v>
      </c>
      <c r="J356" s="23">
        <v>307</v>
      </c>
      <c r="K356" s="23">
        <v>187.48</v>
      </c>
      <c r="L356" s="8" t="s">
        <v>22</v>
      </c>
      <c r="M356" s="23">
        <v>0</v>
      </c>
      <c r="N356" s="23">
        <v>351.05200000000002</v>
      </c>
      <c r="O356" s="8">
        <f>Table1[[#This Row],[R1 Length (km)]]+Table1[[#This Row],[T1 Length (km)]]</f>
        <v>351.05200000000002</v>
      </c>
      <c r="P356" s="13">
        <v>230</v>
      </c>
      <c r="Q356" s="8">
        <f>(Table1[[#This Row],[Linear Features (km)]]*0.4)*100</f>
        <v>14042.080000000002</v>
      </c>
      <c r="R356" s="26">
        <v>10</v>
      </c>
      <c r="S356" s="10">
        <f>Table1[[#This Row],[ATG (ha)]]/Table1[[#This Row],[Linear Area (ha)]]</f>
        <v>7.1214520925674818E-4</v>
      </c>
      <c r="T356" s="7" t="s">
        <v>22</v>
      </c>
      <c r="U356" s="7" t="s">
        <v>22</v>
      </c>
      <c r="V356" s="11" t="s">
        <v>22</v>
      </c>
      <c r="W356" s="11" t="s">
        <v>22</v>
      </c>
      <c r="X356" s="13">
        <v>1518.90333972499</v>
      </c>
      <c r="Y356" s="12">
        <f>Table1[[#This Row],[Raw Terrestrial Score]]/Table1[[#This Row],[Summed Raw Scores]]</f>
        <v>0.5262543216554606</v>
      </c>
      <c r="Z356" s="13">
        <v>1367.3500879844701</v>
      </c>
      <c r="AA356" s="12">
        <f>Table1[[#This Row],[Raw Freshwater Score]]/Table1[[#This Row],[Summed Raw Scores]]</f>
        <v>0.47374567834453934</v>
      </c>
      <c r="AB356" s="12">
        <f>Table1[[#This Row],[Raw Terrestrial Score]]+Table1[[#This Row],[Raw Freshwater Score]]</f>
        <v>2886.2534277094601</v>
      </c>
      <c r="AC356" s="14">
        <f>Table1[[#This Row],[Terrestrial % of Summed Score]]*Table1[[#This Row],[Scaled Summed Score]]</f>
        <v>0.23688354165452055</v>
      </c>
      <c r="AD356" s="14">
        <f>Table1[[#This Row],[Freshwater % of Summed Score]]*Table1[[#This Row],[Scaled Summed Score]]</f>
        <v>0.21324775780796351</v>
      </c>
      <c r="AE356" s="21">
        <f>Table1[[#This Row],[Summed Raw Scores]]/MAX(Table1[Summed Raw Scores])</f>
        <v>0.45013129946248409</v>
      </c>
    </row>
    <row r="357" spans="1:31" x14ac:dyDescent="0.3">
      <c r="A357" s="7" t="s">
        <v>231</v>
      </c>
      <c r="B357" s="7" t="s">
        <v>37</v>
      </c>
      <c r="C357" s="7" t="s">
        <v>27</v>
      </c>
      <c r="D357" s="7" t="s">
        <v>250</v>
      </c>
      <c r="E357" s="23">
        <v>58.805555556500003</v>
      </c>
      <c r="F357" s="23">
        <v>-122.697222223</v>
      </c>
      <c r="G357" s="23">
        <v>38.520155471000002</v>
      </c>
      <c r="H357" s="8">
        <v>37</v>
      </c>
      <c r="I357" s="8" t="s">
        <v>22</v>
      </c>
      <c r="J357" s="23">
        <v>307</v>
      </c>
      <c r="K357" s="23">
        <v>187.48</v>
      </c>
      <c r="L357" s="8" t="s">
        <v>22</v>
      </c>
      <c r="M357" s="23">
        <v>0</v>
      </c>
      <c r="N357" s="23">
        <v>351.05200000000002</v>
      </c>
      <c r="O357" s="8">
        <f>Table1[[#This Row],[R1 Length (km)]]+Table1[[#This Row],[T1 Length (km)]]</f>
        <v>351.05200000000002</v>
      </c>
      <c r="P357" s="13">
        <v>230</v>
      </c>
      <c r="Q357" s="8">
        <f>(Table1[[#This Row],[Linear Features (km)]]*0.4)*100</f>
        <v>14042.080000000002</v>
      </c>
      <c r="R357" s="26">
        <v>10</v>
      </c>
      <c r="S357" s="10">
        <f>Table1[[#This Row],[ATG (ha)]]/Table1[[#This Row],[Linear Area (ha)]]</f>
        <v>7.1214520925674818E-4</v>
      </c>
      <c r="T357" s="7" t="s">
        <v>22</v>
      </c>
      <c r="U357" s="7" t="s">
        <v>22</v>
      </c>
      <c r="V357" s="11" t="s">
        <v>22</v>
      </c>
      <c r="W357" s="11" t="s">
        <v>22</v>
      </c>
      <c r="X357" s="13">
        <v>1518.90333972499</v>
      </c>
      <c r="Y357" s="12">
        <f>Table1[[#This Row],[Raw Terrestrial Score]]/Table1[[#This Row],[Summed Raw Scores]]</f>
        <v>0.5262543216554606</v>
      </c>
      <c r="Z357" s="13">
        <v>1367.3500879844701</v>
      </c>
      <c r="AA357" s="12">
        <f>Table1[[#This Row],[Raw Freshwater Score]]/Table1[[#This Row],[Summed Raw Scores]]</f>
        <v>0.47374567834453934</v>
      </c>
      <c r="AB357" s="12">
        <f>Table1[[#This Row],[Raw Terrestrial Score]]+Table1[[#This Row],[Raw Freshwater Score]]</f>
        <v>2886.2534277094601</v>
      </c>
      <c r="AC357" s="14">
        <f>Table1[[#This Row],[Terrestrial % of Summed Score]]*Table1[[#This Row],[Scaled Summed Score]]</f>
        <v>0.23688354165452055</v>
      </c>
      <c r="AD357" s="14">
        <f>Table1[[#This Row],[Freshwater % of Summed Score]]*Table1[[#This Row],[Scaled Summed Score]]</f>
        <v>0.21324775780796351</v>
      </c>
      <c r="AE357" s="21">
        <f>Table1[[#This Row],[Summed Raw Scores]]/MAX(Table1[Summed Raw Scores])</f>
        <v>0.45013129946248409</v>
      </c>
    </row>
    <row r="358" spans="1:31" x14ac:dyDescent="0.3">
      <c r="A358" s="7" t="s">
        <v>232</v>
      </c>
      <c r="B358" s="7" t="s">
        <v>37</v>
      </c>
      <c r="C358" s="7" t="s">
        <v>30</v>
      </c>
      <c r="D358" s="7" t="s">
        <v>250</v>
      </c>
      <c r="E358" s="23">
        <v>58.433333333900002</v>
      </c>
      <c r="F358" s="23">
        <v>-130.024166667</v>
      </c>
      <c r="G358" s="23">
        <v>54</v>
      </c>
      <c r="H358" s="8">
        <v>10</v>
      </c>
      <c r="I358" s="8" t="s">
        <v>22</v>
      </c>
      <c r="J358" s="23">
        <v>86</v>
      </c>
      <c r="K358" s="23">
        <v>205.12</v>
      </c>
      <c r="L358" s="8" t="s">
        <v>22</v>
      </c>
      <c r="M358" s="23">
        <f>473.463877529/1000</f>
        <v>0.47346387752899999</v>
      </c>
      <c r="N358" s="23">
        <v>255.387</v>
      </c>
      <c r="O358" s="8">
        <f>Table1[[#This Row],[R1 Length (km)]]+Table1[[#This Row],[T1 Length (km)]]</f>
        <v>255.86046387752901</v>
      </c>
      <c r="P358" s="13">
        <v>130</v>
      </c>
      <c r="Q358" s="8">
        <f>(Table1[[#This Row],[Linear Features (km)]]*0.4)*100</f>
        <v>10234.418555101161</v>
      </c>
      <c r="R358" s="26">
        <v>10</v>
      </c>
      <c r="S358" s="10">
        <f>Table1[[#This Row],[ATG (ha)]]/Table1[[#This Row],[Linear Area (ha)]]</f>
        <v>9.7709507835358955E-4</v>
      </c>
      <c r="T358" s="7" t="s">
        <v>22</v>
      </c>
      <c r="U358" s="7" t="s">
        <v>22</v>
      </c>
      <c r="V358" s="11" t="s">
        <v>22</v>
      </c>
      <c r="W358" s="11" t="s">
        <v>22</v>
      </c>
      <c r="X358" s="13">
        <v>528.02373223658697</v>
      </c>
      <c r="Y358" s="12">
        <f>Table1[[#This Row],[Raw Terrestrial Score]]/Table1[[#This Row],[Summed Raw Scores]]</f>
        <v>0.22431645789246199</v>
      </c>
      <c r="Z358" s="13">
        <v>1825.89954739064</v>
      </c>
      <c r="AA358" s="12">
        <f>Table1[[#This Row],[Raw Freshwater Score]]/Table1[[#This Row],[Summed Raw Scores]]</f>
        <v>0.77568354210753787</v>
      </c>
      <c r="AB358" s="12">
        <f>Table1[[#This Row],[Raw Terrestrial Score]]+Table1[[#This Row],[Raw Freshwater Score]]</f>
        <v>2353.9232796272272</v>
      </c>
      <c r="AC358" s="14">
        <f>Table1[[#This Row],[Terrestrial % of Summed Score]]*Table1[[#This Row],[Scaled Summed Score]]</f>
        <v>8.2348974091062149E-2</v>
      </c>
      <c r="AD358" s="14">
        <f>Table1[[#This Row],[Freshwater % of Summed Score]]*Table1[[#This Row],[Scaled Summed Score]]</f>
        <v>0.28476173577285918</v>
      </c>
      <c r="AE358" s="21">
        <f>Table1[[#This Row],[Summed Raw Scores]]/MAX(Table1[Summed Raw Scores])</f>
        <v>0.36711070986392136</v>
      </c>
    </row>
    <row r="359" spans="1:31" x14ac:dyDescent="0.3">
      <c r="A359" s="7" t="s">
        <v>233</v>
      </c>
      <c r="B359" s="7" t="s">
        <v>37</v>
      </c>
      <c r="C359" s="7" t="s">
        <v>27</v>
      </c>
      <c r="D359" s="7" t="s">
        <v>250</v>
      </c>
      <c r="E359" s="23">
        <v>55.700000000499998</v>
      </c>
      <c r="F359" s="23">
        <v>-121.633333333</v>
      </c>
      <c r="G359" s="23">
        <v>9.2094357002400002</v>
      </c>
      <c r="H359" s="8">
        <v>9</v>
      </c>
      <c r="I359" s="8" t="s">
        <v>22</v>
      </c>
      <c r="J359" s="23">
        <v>73</v>
      </c>
      <c r="K359" s="23">
        <v>213.94</v>
      </c>
      <c r="L359" s="8" t="s">
        <v>22</v>
      </c>
      <c r="M359" s="23">
        <v>0</v>
      </c>
      <c r="N359" s="23">
        <v>0.42426399999999997</v>
      </c>
      <c r="O359" s="8">
        <f>Table1[[#This Row],[R1 Length (km)]]+Table1[[#This Row],[T1 Length (km)]]</f>
        <v>0.42426399999999997</v>
      </c>
      <c r="P359" s="13">
        <v>25</v>
      </c>
      <c r="Q359" s="8">
        <f>(Table1[[#This Row],[Linear Features (km)]]*0.4)*100</f>
        <v>16.970560000000003</v>
      </c>
      <c r="R359" s="26">
        <v>10</v>
      </c>
      <c r="S359" s="10">
        <f>Table1[[#This Row],[ATG (ha)]]/Table1[[#This Row],[Linear Area (ha)]]</f>
        <v>0.58925574642203904</v>
      </c>
      <c r="T359" s="7" t="s">
        <v>22</v>
      </c>
      <c r="U359" s="7" t="s">
        <v>22</v>
      </c>
      <c r="V359" s="11" t="s">
        <v>22</v>
      </c>
      <c r="W359" s="11" t="s">
        <v>22</v>
      </c>
      <c r="X359" s="13">
        <v>5.7417668402194998E-2</v>
      </c>
      <c r="Y359" s="12">
        <f>Table1[[#This Row],[Raw Terrestrial Score]]/Table1[[#This Row],[Summed Raw Scores]]</f>
        <v>0.8906021992814368</v>
      </c>
      <c r="Z359" s="13">
        <v>7.0529431104659999E-3</v>
      </c>
      <c r="AA359" s="12">
        <f>Table1[[#This Row],[Raw Freshwater Score]]/Table1[[#This Row],[Summed Raw Scores]]</f>
        <v>0.1093978007185633</v>
      </c>
      <c r="AB359" s="12">
        <f>Table1[[#This Row],[Raw Terrestrial Score]]+Table1[[#This Row],[Raw Freshwater Score]]</f>
        <v>6.4470611512660994E-2</v>
      </c>
      <c r="AC359" s="14">
        <f>Table1[[#This Row],[Terrestrial % of Summed Score]]*Table1[[#This Row],[Scaled Summed Score]]</f>
        <v>8.95468479720338E-6</v>
      </c>
      <c r="AD359" s="14">
        <f>Table1[[#This Row],[Freshwater % of Summed Score]]*Table1[[#This Row],[Scaled Summed Score]]</f>
        <v>1.0999555398946818E-6</v>
      </c>
      <c r="AE359" s="21">
        <f>Table1[[#This Row],[Summed Raw Scores]]/MAX(Table1[Summed Raw Scores])</f>
        <v>1.0054640337098061E-5</v>
      </c>
    </row>
    <row r="360" spans="1:31" x14ac:dyDescent="0.3">
      <c r="A360" s="7" t="s">
        <v>234</v>
      </c>
      <c r="B360" s="7" t="s">
        <v>37</v>
      </c>
      <c r="C360" s="7" t="s">
        <v>27</v>
      </c>
      <c r="D360" s="7" t="s">
        <v>250</v>
      </c>
      <c r="E360" s="23">
        <v>55.700000000499998</v>
      </c>
      <c r="F360" s="23">
        <v>-121.633333333</v>
      </c>
      <c r="G360" s="23">
        <v>0.92358257850000003</v>
      </c>
      <c r="H360" s="8">
        <v>1</v>
      </c>
      <c r="I360" s="8" t="s">
        <v>22</v>
      </c>
      <c r="J360" s="23">
        <v>7</v>
      </c>
      <c r="K360" s="23">
        <v>213.94</v>
      </c>
      <c r="L360" s="8" t="s">
        <v>22</v>
      </c>
      <c r="M360" s="23">
        <v>0</v>
      </c>
      <c r="N360" s="23">
        <v>0.42426399999999997</v>
      </c>
      <c r="O360" s="8">
        <f>Table1[[#This Row],[R1 Length (km)]]+Table1[[#This Row],[T1 Length (km)]]</f>
        <v>0.42426399999999997</v>
      </c>
      <c r="P360" s="13">
        <v>25</v>
      </c>
      <c r="Q360" s="8">
        <f>(Table1[[#This Row],[Linear Features (km)]]*0.4)*100</f>
        <v>16.970560000000003</v>
      </c>
      <c r="R360" s="26">
        <v>10</v>
      </c>
      <c r="S360" s="10">
        <f>Table1[[#This Row],[ATG (ha)]]/Table1[[#This Row],[Linear Area (ha)]]</f>
        <v>0.58925574642203904</v>
      </c>
      <c r="T360" s="7" t="s">
        <v>22</v>
      </c>
      <c r="U360" s="7" t="s">
        <v>22</v>
      </c>
      <c r="V360" s="11" t="s">
        <v>22</v>
      </c>
      <c r="W360" s="11" t="s">
        <v>22</v>
      </c>
      <c r="X360" s="13">
        <v>5.7417668402194998E-2</v>
      </c>
      <c r="Y360" s="12">
        <f>Table1[[#This Row],[Raw Terrestrial Score]]/Table1[[#This Row],[Summed Raw Scores]]</f>
        <v>0.8906021992814368</v>
      </c>
      <c r="Z360" s="13">
        <v>7.0529431104659999E-3</v>
      </c>
      <c r="AA360" s="12">
        <f>Table1[[#This Row],[Raw Freshwater Score]]/Table1[[#This Row],[Summed Raw Scores]]</f>
        <v>0.1093978007185633</v>
      </c>
      <c r="AB360" s="12">
        <f>Table1[[#This Row],[Raw Terrestrial Score]]+Table1[[#This Row],[Raw Freshwater Score]]</f>
        <v>6.4470611512660994E-2</v>
      </c>
      <c r="AC360" s="14">
        <f>Table1[[#This Row],[Terrestrial % of Summed Score]]*Table1[[#This Row],[Scaled Summed Score]]</f>
        <v>8.95468479720338E-6</v>
      </c>
      <c r="AD360" s="14">
        <f>Table1[[#This Row],[Freshwater % of Summed Score]]*Table1[[#This Row],[Scaled Summed Score]]</f>
        <v>1.0999555398946818E-6</v>
      </c>
      <c r="AE360" s="21">
        <f>Table1[[#This Row],[Summed Raw Scores]]/MAX(Table1[Summed Raw Scores])</f>
        <v>1.0054640337098061E-5</v>
      </c>
    </row>
    <row r="361" spans="1:31" x14ac:dyDescent="0.3">
      <c r="A361" s="7" t="s">
        <v>235</v>
      </c>
      <c r="B361" s="7" t="s">
        <v>37</v>
      </c>
      <c r="C361" s="7" t="s">
        <v>30</v>
      </c>
      <c r="D361" s="7" t="s">
        <v>250</v>
      </c>
      <c r="E361" s="8">
        <v>54.052777778600003</v>
      </c>
      <c r="F361" s="8">
        <v>-128.65</v>
      </c>
      <c r="G361" s="8">
        <v>13.691422297000001</v>
      </c>
      <c r="H361" s="8">
        <v>13</v>
      </c>
      <c r="I361" s="8" t="s">
        <v>22</v>
      </c>
      <c r="J361" s="8">
        <v>109</v>
      </c>
      <c r="K361" s="8">
        <v>133.66</v>
      </c>
      <c r="L361" s="8" t="s">
        <v>22</v>
      </c>
      <c r="M361" s="23">
        <v>0</v>
      </c>
      <c r="N361" s="23">
        <v>4.7698499999999999</v>
      </c>
      <c r="O361" s="8">
        <f>Table1[[#This Row],[R1 Length (km)]]+Table1[[#This Row],[T1 Length (km)]]</f>
        <v>4.7698499999999999</v>
      </c>
      <c r="P361" s="13">
        <v>25</v>
      </c>
      <c r="Q361" s="8">
        <f>(Table1[[#This Row],[Linear Features (km)]]*0.4)*100</f>
        <v>190.79399999999998</v>
      </c>
      <c r="R361" s="9">
        <v>10</v>
      </c>
      <c r="S361" s="10">
        <f>Table1[[#This Row],[ATG (ha)]]/Table1[[#This Row],[Linear Area (ha)]]</f>
        <v>5.241254966089081E-2</v>
      </c>
      <c r="T361" s="7" t="s">
        <v>22</v>
      </c>
      <c r="U361" s="7" t="s">
        <v>22</v>
      </c>
      <c r="V361" s="11" t="s">
        <v>22</v>
      </c>
      <c r="W361" s="11" t="s">
        <v>22</v>
      </c>
      <c r="X361" s="13">
        <v>25.632366001606002</v>
      </c>
      <c r="Y361" s="12">
        <f>Table1[[#This Row],[Raw Terrestrial Score]]/Table1[[#This Row],[Summed Raw Scores]]</f>
        <v>0.43398768429764195</v>
      </c>
      <c r="Z361" s="13">
        <v>33.430061180144499</v>
      </c>
      <c r="AA361" s="12">
        <f>Table1[[#This Row],[Raw Freshwater Score]]/Table1[[#This Row],[Summed Raw Scores]]</f>
        <v>0.5660123157023581</v>
      </c>
      <c r="AB361" s="12">
        <f>Table1[[#This Row],[Raw Terrestrial Score]]+Table1[[#This Row],[Raw Freshwater Score]]</f>
        <v>59.0624271817505</v>
      </c>
      <c r="AC361" s="14">
        <f>Table1[[#This Row],[Terrestrial % of Summed Score]]*Table1[[#This Row],[Scaled Summed Score]]</f>
        <v>3.9975457823041701E-3</v>
      </c>
      <c r="AD361" s="14">
        <f>Table1[[#This Row],[Freshwater % of Summed Score]]*Table1[[#This Row],[Scaled Summed Score]]</f>
        <v>5.2136505878733119E-3</v>
      </c>
      <c r="AE361" s="21">
        <f>Table1[[#This Row],[Summed Raw Scores]]/MAX(Table1[Summed Raw Scores])</f>
        <v>9.211196370177482E-3</v>
      </c>
    </row>
    <row r="362" spans="1:31" x14ac:dyDescent="0.3">
      <c r="A362" s="7" t="s">
        <v>112</v>
      </c>
      <c r="B362" s="7" t="s">
        <v>97</v>
      </c>
      <c r="C362" s="7" t="s">
        <v>30</v>
      </c>
      <c r="D362" s="7" t="s">
        <v>250</v>
      </c>
      <c r="E362" s="15">
        <v>54.5</v>
      </c>
      <c r="F362" s="15">
        <v>-128.35</v>
      </c>
      <c r="G362" s="8">
        <v>51.2</v>
      </c>
      <c r="H362" s="8">
        <v>40</v>
      </c>
      <c r="I362" s="8">
        <v>8</v>
      </c>
      <c r="J362" s="16">
        <v>208.4</v>
      </c>
      <c r="K362" s="16">
        <v>81.381647398843924</v>
      </c>
      <c r="L362" s="8" t="s">
        <v>22</v>
      </c>
      <c r="M362" s="25">
        <v>0</v>
      </c>
      <c r="N362" s="26">
        <v>16.482337649085515</v>
      </c>
      <c r="O362" s="9">
        <f>Table1[[#This Row],[R1 Length (km)]]+Table1[[#This Row],[T1 Length (km)]]</f>
        <v>16.482337649085515</v>
      </c>
      <c r="P362" s="24">
        <v>69</v>
      </c>
      <c r="Q362" s="9">
        <f>(Table1[[#This Row],[Linear Features (km)]]*0.4)*100</f>
        <v>659.29350596342067</v>
      </c>
      <c r="R362" s="9">
        <v>16.48</v>
      </c>
      <c r="S362" s="10">
        <f>Table1[[#This Row],[ATG (ha)]]/Table1[[#This Row],[Linear Area (ha)]]</f>
        <v>2.4996454311980366E-2</v>
      </c>
      <c r="T362" s="11" t="s">
        <v>22</v>
      </c>
      <c r="U362" s="11" t="s">
        <v>22</v>
      </c>
      <c r="V362" s="11" t="s">
        <v>22</v>
      </c>
      <c r="W362" s="11" t="s">
        <v>22</v>
      </c>
      <c r="X362" s="13">
        <v>31.0827804207802</v>
      </c>
      <c r="Y362" s="12">
        <f>Table1[[#This Row],[Raw Terrestrial Score]]/Table1[[#This Row],[Summed Raw Scores]]</f>
        <v>0.12404550725637715</v>
      </c>
      <c r="Z362" s="13">
        <v>219.49284386634801</v>
      </c>
      <c r="AA362" s="12">
        <f>Table1[[#This Row],[Raw Freshwater Score]]/Table1[[#This Row],[Summed Raw Scores]]</f>
        <v>0.8759544927436228</v>
      </c>
      <c r="AB362" s="12">
        <f>Table1[[#This Row],[Raw Terrestrial Score]]+Table1[[#This Row],[Raw Freshwater Score]]</f>
        <v>250.57562428712822</v>
      </c>
      <c r="AC362" s="14">
        <f>Table1[[#This Row],[Terrestrial % of Summed Score]]*Table1[[#This Row],[Scaled Summed Score]]</f>
        <v>4.8475758252512205E-3</v>
      </c>
      <c r="AD362" s="14">
        <f>Table1[[#This Row],[Freshwater % of Summed Score]]*Table1[[#This Row],[Scaled Summed Score]]</f>
        <v>3.4231435841267699E-2</v>
      </c>
      <c r="AE362" s="21">
        <f>Table1[[#This Row],[Summed Raw Scores]]/MAX(Table1[Summed Raw Scores])</f>
        <v>3.907901166651892E-2</v>
      </c>
    </row>
  </sheetData>
  <conditionalFormatting sqref="E2:AD205 T198:U360 S206:U322 S331:U360 AF2:AF197 H206:I322 L206:L322 O206:O360 Q206:Q360 X206:AD360 E323:N330 R323:S330 H331:I360 L331:L360">
    <cfRule type="containsText" dxfId="50" priority="21" operator="containsText" text="NA">
      <formula>NOT(ISERROR(SEARCH("NA",E2)))</formula>
    </cfRule>
  </conditionalFormatting>
  <conditionalFormatting sqref="J213 J238 J253:J254 J264 J271 J273 J290 J303 J307 J316">
    <cfRule type="containsText" dxfId="49" priority="1" operator="containsText" text="NA">
      <formula>NOT(ISERROR(SEARCH("NA",J213)))</formula>
    </cfRule>
    <cfRule type="containsBlanks" dxfId="48" priority="2">
      <formula>LEN(TRIM(J213))=0</formula>
    </cfRule>
  </conditionalFormatting>
  <conditionalFormatting sqref="J331:K335">
    <cfRule type="containsText" dxfId="47" priority="7" operator="containsText" text="NA">
      <formula>NOT(ISERROR(SEARCH("NA",J331)))</formula>
    </cfRule>
    <cfRule type="containsBlanks" dxfId="46" priority="8">
      <formula>LEN(TRIM(J331))=0</formula>
    </cfRule>
  </conditionalFormatting>
  <conditionalFormatting sqref="K213 K238 K253:K254 K264 K271 K273 K290 K303 K307 K316">
    <cfRule type="containsText" dxfId="45" priority="3" operator="containsText" text="NA">
      <formula>NOT(ISERROR(SEARCH("NA",K213)))</formula>
    </cfRule>
    <cfRule type="containsBlanks" dxfId="44" priority="4">
      <formula>LEN(TRIM(K213))=0</formula>
    </cfRule>
  </conditionalFormatting>
  <conditionalFormatting sqref="R2:W62 AF2:AF197 E2:S205 X2:AD362 U48:U79 T63:U79 V63:W197 U81:U92 T86:U91 T95:U197 H206:I322 L206:L322 S206:S322 O206:O360 Q206:Q360 E323:N330 R323:S330 H331:I360 L331:L360 S331:S360">
    <cfRule type="containsBlanks" dxfId="43" priority="23">
      <formula>LEN(TRIM(E2))=0</formula>
    </cfRule>
  </conditionalFormatting>
  <conditionalFormatting sqref="T1:U360 R198:T205 S206:T322 S331:T360 R361:W362 R363:T1048576">
    <cfRule type="beginsWith" dxfId="42" priority="19" operator="beginsWith" text="R">
      <formula>LEFT(R1,LEN("R"))="R"</formula>
    </cfRule>
  </conditionalFormatting>
  <conditionalFormatting sqref="T2:U360 R198:T205 S206:T322 S331:T360 R361:W362 R363:T1048576">
    <cfRule type="beginsWith" dxfId="41" priority="20" operator="beginsWith" text="P">
      <formula>LEFT(R2,LEN("P"))="P"</formula>
    </cfRule>
  </conditionalFormatting>
  <conditionalFormatting sqref="T198:U360">
    <cfRule type="containsBlanks" dxfId="40" priority="16">
      <formula>LEN(TRIM(T198))=0</formula>
    </cfRule>
  </conditionalFormatting>
  <conditionalFormatting sqref="T361:W362">
    <cfRule type="containsBlanks" dxfId="39" priority="13">
      <formula>LEN(TRIM(T361))=0</formula>
    </cfRule>
    <cfRule type="containsText" dxfId="38" priority="14" operator="containsText" text="NA">
      <formula>NOT(ISERROR(SEARCH("NA",T361)))</formula>
    </cfRule>
  </conditionalFormatting>
  <conditionalFormatting sqref="V198:W205">
    <cfRule type="containsBlanks" dxfId="37" priority="15">
      <formula>LEN(TRIM(V198))=0</formula>
    </cfRule>
  </conditionalFormatting>
  <conditionalFormatting sqref="V320:W360">
    <cfRule type="containsBlanks" dxfId="36" priority="9">
      <formula>LEN(TRIM(V320))=0</formula>
    </cfRule>
    <cfRule type="beginsWith" dxfId="35" priority="10" operator="beginsWith" text="R">
      <formula>LEFT(V320,LEN("R"))="R"</formula>
    </cfRule>
    <cfRule type="beginsWith" dxfId="34" priority="11" operator="beginsWith" text="P">
      <formula>LEFT(V320,LEN("P"))="P"</formula>
    </cfRule>
    <cfRule type="containsText" dxfId="33" priority="12" operator="containsText" text="NA">
      <formula>NOT(ISERROR(SEARCH("NA",V320)))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k.</dc:creator>
  <cp:lastModifiedBy>valerie k.</cp:lastModifiedBy>
  <dcterms:created xsi:type="dcterms:W3CDTF">2015-06-05T18:17:20Z</dcterms:created>
  <dcterms:modified xsi:type="dcterms:W3CDTF">2025-02-21T08:07:36Z</dcterms:modified>
</cp:coreProperties>
</file>