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Github\BC Hydro Project\BC Hydro Projects\"/>
    </mc:Choice>
  </mc:AlternateContent>
  <xr:revisionPtr revIDLastSave="0" documentId="13_ncr:1_{0B001447-8272-4C41-B9D1-805C950D66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ll projec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4" i="1" l="1"/>
  <c r="Z33" i="1"/>
  <c r="Z123" i="1"/>
  <c r="Z120" i="1"/>
  <c r="Z119" i="1"/>
  <c r="Z118" i="1"/>
  <c r="Z117" i="1"/>
  <c r="Z116" i="1"/>
  <c r="Z115" i="1"/>
  <c r="Z90" i="1"/>
  <c r="Z86" i="1"/>
  <c r="Z82" i="1"/>
  <c r="Z81" i="1"/>
  <c r="Z80" i="1"/>
  <c r="Z79" i="1"/>
  <c r="Z78" i="1"/>
  <c r="Z77" i="1"/>
  <c r="Z76" i="1"/>
  <c r="Z73" i="1"/>
  <c r="Z72" i="1"/>
  <c r="Z56" i="1"/>
  <c r="Z31" i="1"/>
  <c r="Z30" i="1"/>
  <c r="Z10" i="1"/>
  <c r="Z9" i="1"/>
  <c r="Z8" i="1"/>
  <c r="Z7" i="1"/>
  <c r="Z6" i="1"/>
  <c r="Z5" i="1"/>
  <c r="X34" i="1"/>
  <c r="X33" i="1"/>
  <c r="X123" i="1"/>
  <c r="X120" i="1"/>
  <c r="X119" i="1"/>
  <c r="X118" i="1"/>
  <c r="X117" i="1"/>
  <c r="X116" i="1"/>
  <c r="X115" i="1"/>
  <c r="X90" i="1"/>
  <c r="X86" i="1"/>
  <c r="X82" i="1"/>
  <c r="X81" i="1"/>
  <c r="X80" i="1"/>
  <c r="X79" i="1"/>
  <c r="X78" i="1"/>
  <c r="X77" i="1"/>
  <c r="X76" i="1"/>
  <c r="X73" i="1"/>
  <c r="X72" i="1"/>
  <c r="X56" i="1"/>
  <c r="X31" i="1"/>
  <c r="X30" i="1"/>
  <c r="X10" i="1"/>
  <c r="X9" i="1"/>
  <c r="X8" i="1"/>
  <c r="X7" i="1"/>
  <c r="X6" i="1"/>
  <c r="X5" i="1"/>
  <c r="O110" i="1"/>
  <c r="O109" i="1"/>
  <c r="Q109" i="1" s="1"/>
  <c r="O108" i="1"/>
  <c r="Q108" i="1" s="1"/>
  <c r="O107" i="1"/>
  <c r="Q107" i="1" s="1"/>
  <c r="O106" i="1"/>
  <c r="Q106" i="1" s="1"/>
  <c r="O105" i="1"/>
  <c r="Q105" i="1" s="1"/>
  <c r="O104" i="1"/>
  <c r="Q104" i="1" s="1"/>
  <c r="O2" i="1"/>
  <c r="Q2" i="1" s="1"/>
  <c r="S2" i="1" s="1"/>
  <c r="O5" i="1"/>
  <c r="Q5" i="1" s="1"/>
  <c r="O6" i="1"/>
  <c r="Q6" i="1" s="1"/>
  <c r="O7" i="1"/>
  <c r="Q7" i="1" s="1"/>
  <c r="O8" i="1"/>
  <c r="Q8" i="1" s="1"/>
  <c r="O9" i="1"/>
  <c r="Q9" i="1" s="1"/>
  <c r="O10" i="1"/>
  <c r="Q10" i="1" s="1"/>
  <c r="O11" i="1"/>
  <c r="Q11" i="1" s="1"/>
  <c r="S11" i="1" s="1"/>
  <c r="O12" i="1"/>
  <c r="Q12" i="1" s="1"/>
  <c r="S12" i="1" s="1"/>
  <c r="O13" i="1"/>
  <c r="O14" i="1"/>
  <c r="Q14" i="1" s="1"/>
  <c r="S14" i="1" s="1"/>
  <c r="O15" i="1"/>
  <c r="Q15" i="1" s="1"/>
  <c r="S15" i="1" s="1"/>
  <c r="O16" i="1"/>
  <c r="Q16" i="1" s="1"/>
  <c r="S16" i="1" s="1"/>
  <c r="O17" i="1"/>
  <c r="Q17" i="1" s="1"/>
  <c r="S17" i="1" s="1"/>
  <c r="O18" i="1"/>
  <c r="Q18" i="1" s="1"/>
  <c r="S18" i="1" s="1"/>
  <c r="O19" i="1"/>
  <c r="Q19" i="1" s="1"/>
  <c r="S19" i="1" s="1"/>
  <c r="O20" i="1"/>
  <c r="Q20" i="1" s="1"/>
  <c r="S20" i="1" s="1"/>
  <c r="O22" i="1"/>
  <c r="Q22" i="1" s="1"/>
  <c r="S22" i="1" s="1"/>
  <c r="O24" i="1"/>
  <c r="Q24" i="1" s="1"/>
  <c r="S24" i="1" s="1"/>
  <c r="O25" i="1"/>
  <c r="Q25" i="1" s="1"/>
  <c r="S25" i="1" s="1"/>
  <c r="O26" i="1"/>
  <c r="Q26" i="1" s="1"/>
  <c r="S26" i="1" s="1"/>
  <c r="O28" i="1"/>
  <c r="Q28" i="1" s="1"/>
  <c r="S28" i="1" s="1"/>
  <c r="O30" i="1"/>
  <c r="Q30" i="1" s="1"/>
  <c r="O31" i="1"/>
  <c r="Q31" i="1" s="1"/>
  <c r="O32" i="1"/>
  <c r="Q32" i="1" s="1"/>
  <c r="S32" i="1" s="1"/>
  <c r="O33" i="1"/>
  <c r="Q33" i="1" s="1"/>
  <c r="O34" i="1"/>
  <c r="Q34" i="1" s="1"/>
  <c r="O35" i="1"/>
  <c r="Q35" i="1" s="1"/>
  <c r="S35" i="1" s="1"/>
  <c r="O36" i="1"/>
  <c r="Q36" i="1" s="1"/>
  <c r="S36" i="1" s="1"/>
  <c r="O37" i="1"/>
  <c r="Q37" i="1" s="1"/>
  <c r="S37" i="1" s="1"/>
  <c r="O38" i="1"/>
  <c r="Q38" i="1" s="1"/>
  <c r="S38" i="1" s="1"/>
  <c r="O39" i="1"/>
  <c r="Q39" i="1" s="1"/>
  <c r="S39" i="1" s="1"/>
  <c r="O40" i="1"/>
  <c r="Q40" i="1" s="1"/>
  <c r="S40" i="1" s="1"/>
  <c r="O41" i="1"/>
  <c r="Q41" i="1" s="1"/>
  <c r="S41" i="1" s="1"/>
  <c r="O42" i="1"/>
  <c r="Q42" i="1" s="1"/>
  <c r="S42" i="1" s="1"/>
  <c r="O43" i="1"/>
  <c r="Q43" i="1" s="1"/>
  <c r="S43" i="1" s="1"/>
  <c r="O44" i="1"/>
  <c r="Q44" i="1" s="1"/>
  <c r="S44" i="1" s="1"/>
  <c r="O45" i="1"/>
  <c r="Q45" i="1" s="1"/>
  <c r="S45" i="1" s="1"/>
  <c r="O46" i="1"/>
  <c r="Q46" i="1" s="1"/>
  <c r="S46" i="1" s="1"/>
  <c r="O47" i="1"/>
  <c r="Q47" i="1" s="1"/>
  <c r="S47" i="1" s="1"/>
  <c r="O48" i="1"/>
  <c r="Q48" i="1" s="1"/>
  <c r="S48" i="1" s="1"/>
  <c r="O49" i="1"/>
  <c r="Q49" i="1" s="1"/>
  <c r="S49" i="1" s="1"/>
  <c r="O50" i="1"/>
  <c r="Q50" i="1" s="1"/>
  <c r="S50" i="1" s="1"/>
  <c r="O51" i="1"/>
  <c r="Q51" i="1" s="1"/>
  <c r="S51" i="1" s="1"/>
  <c r="O52" i="1"/>
  <c r="Q52" i="1" s="1"/>
  <c r="S52" i="1" s="1"/>
  <c r="O53" i="1"/>
  <c r="Q53" i="1" s="1"/>
  <c r="S53" i="1" s="1"/>
  <c r="O54" i="1"/>
  <c r="Q54" i="1" s="1"/>
  <c r="S54" i="1" s="1"/>
  <c r="O55" i="1"/>
  <c r="Q55" i="1" s="1"/>
  <c r="S55" i="1" s="1"/>
  <c r="O56" i="1"/>
  <c r="Q56" i="1" s="1"/>
  <c r="O57" i="1"/>
  <c r="Q57" i="1" s="1"/>
  <c r="S57" i="1" s="1"/>
  <c r="O58" i="1"/>
  <c r="Q58" i="1" s="1"/>
  <c r="S58" i="1" s="1"/>
  <c r="O59" i="1"/>
  <c r="Q59" i="1" s="1"/>
  <c r="S59" i="1" s="1"/>
  <c r="O60" i="1"/>
  <c r="Q60" i="1" s="1"/>
  <c r="S60" i="1" s="1"/>
  <c r="O61" i="1"/>
  <c r="Q61" i="1" s="1"/>
  <c r="S61" i="1" s="1"/>
  <c r="O62" i="1"/>
  <c r="Q62" i="1" s="1"/>
  <c r="S62" i="1" s="1"/>
  <c r="O63" i="1"/>
  <c r="Q63" i="1" s="1"/>
  <c r="S63" i="1" s="1"/>
  <c r="O64" i="1"/>
  <c r="Q64" i="1" s="1"/>
  <c r="S64" i="1" s="1"/>
  <c r="O65" i="1"/>
  <c r="Q65" i="1" s="1"/>
  <c r="S65" i="1" s="1"/>
  <c r="O66" i="1"/>
  <c r="Q66" i="1" s="1"/>
  <c r="S66" i="1" s="1"/>
  <c r="O67" i="1"/>
  <c r="Q67" i="1" s="1"/>
  <c r="S67" i="1" s="1"/>
  <c r="O68" i="1"/>
  <c r="Q68" i="1" s="1"/>
  <c r="S68" i="1" s="1"/>
  <c r="O70" i="1"/>
  <c r="Q70" i="1" s="1"/>
  <c r="S70" i="1" s="1"/>
  <c r="O71" i="1"/>
  <c r="Q71" i="1" s="1"/>
  <c r="S71" i="1" s="1"/>
  <c r="O72" i="1"/>
  <c r="Q72" i="1" s="1"/>
  <c r="O73" i="1"/>
  <c r="Q73" i="1" s="1"/>
  <c r="O74" i="1"/>
  <c r="Q74" i="1" s="1"/>
  <c r="O75" i="1"/>
  <c r="Q75" i="1" s="1"/>
  <c r="O76" i="1"/>
  <c r="Q76" i="1" s="1"/>
  <c r="O77" i="1"/>
  <c r="Q77" i="1" s="1"/>
  <c r="O78" i="1"/>
  <c r="Q78" i="1" s="1"/>
  <c r="O79" i="1"/>
  <c r="Q79" i="1" s="1"/>
  <c r="O80" i="1"/>
  <c r="Q80" i="1" s="1"/>
  <c r="O81" i="1"/>
  <c r="Q81" i="1" s="1"/>
  <c r="O82" i="1"/>
  <c r="Q82" i="1" s="1"/>
  <c r="O83" i="1"/>
  <c r="Q83" i="1" s="1"/>
  <c r="S83" i="1" s="1"/>
  <c r="O84" i="1"/>
  <c r="Q84" i="1" s="1"/>
  <c r="S84" i="1" s="1"/>
  <c r="O85" i="1"/>
  <c r="Q85" i="1" s="1"/>
  <c r="S85" i="1" s="1"/>
  <c r="O86" i="1"/>
  <c r="Q86" i="1" s="1"/>
  <c r="O87" i="1"/>
  <c r="Q87" i="1" s="1"/>
  <c r="S87" i="1" s="1"/>
  <c r="O88" i="1"/>
  <c r="Q88" i="1" s="1"/>
  <c r="S88" i="1" s="1"/>
  <c r="O89" i="1"/>
  <c r="Q89" i="1" s="1"/>
  <c r="S89" i="1" s="1"/>
  <c r="O90" i="1"/>
  <c r="Q90" i="1" s="1"/>
  <c r="O91" i="1"/>
  <c r="Q91" i="1" s="1"/>
  <c r="S91" i="1" s="1"/>
  <c r="O92" i="1"/>
  <c r="Q92" i="1" s="1"/>
  <c r="S92" i="1" s="1"/>
  <c r="O93" i="1"/>
  <c r="Q93" i="1" s="1"/>
  <c r="S93" i="1" s="1"/>
  <c r="O95" i="1"/>
  <c r="Q95" i="1" s="1"/>
  <c r="S95" i="1" s="1"/>
  <c r="O96" i="1"/>
  <c r="Q96" i="1" s="1"/>
  <c r="S96" i="1" s="1"/>
  <c r="O97" i="1"/>
  <c r="Q97" i="1" s="1"/>
  <c r="S97" i="1" s="1"/>
  <c r="O98" i="1"/>
  <c r="Q98" i="1" s="1"/>
  <c r="S98" i="1" s="1"/>
  <c r="O99" i="1"/>
  <c r="Q99" i="1" s="1"/>
  <c r="S99" i="1" s="1"/>
  <c r="O100" i="1"/>
  <c r="Q100" i="1" s="1"/>
  <c r="S100" i="1" s="1"/>
  <c r="O101" i="1"/>
  <c r="Q101" i="1" s="1"/>
  <c r="S101" i="1" s="1"/>
  <c r="O103" i="1"/>
  <c r="Q103" i="1" s="1"/>
  <c r="O111" i="1"/>
  <c r="Q111" i="1" s="1"/>
  <c r="S111" i="1" s="1"/>
  <c r="O112" i="1"/>
  <c r="Q112" i="1" s="1"/>
  <c r="S112" i="1" s="1"/>
  <c r="O113" i="1"/>
  <c r="Q113" i="1" s="1"/>
  <c r="S113" i="1" s="1"/>
  <c r="O114" i="1"/>
  <c r="Q114" i="1" s="1"/>
  <c r="S114" i="1" s="1"/>
  <c r="O4" i="1"/>
  <c r="Q4" i="1" s="1"/>
  <c r="S4" i="1" s="1"/>
  <c r="O115" i="1"/>
  <c r="Q115" i="1" s="1"/>
  <c r="O116" i="1"/>
  <c r="Q116" i="1" s="1"/>
  <c r="O117" i="1"/>
  <c r="Q117" i="1" s="1"/>
  <c r="O118" i="1"/>
  <c r="Q118" i="1" s="1"/>
  <c r="O119" i="1"/>
  <c r="Q119" i="1" s="1"/>
  <c r="O120" i="1"/>
  <c r="Q120" i="1" s="1"/>
  <c r="O121" i="1"/>
  <c r="Q121" i="1" s="1"/>
  <c r="S121" i="1" s="1"/>
  <c r="O122" i="1"/>
  <c r="Q122" i="1" s="1"/>
  <c r="S122" i="1" s="1"/>
  <c r="O123" i="1"/>
  <c r="Q123" i="1" s="1"/>
  <c r="O124" i="1"/>
  <c r="Q124" i="1" s="1"/>
  <c r="S124" i="1" s="1"/>
  <c r="O125" i="1"/>
  <c r="Q125" i="1" s="1"/>
  <c r="S125" i="1" s="1"/>
  <c r="O126" i="1"/>
  <c r="Q126" i="1" s="1"/>
  <c r="S126" i="1" s="1"/>
  <c r="O128" i="1"/>
  <c r="Q128" i="1" s="1"/>
  <c r="S128" i="1" s="1"/>
  <c r="O131" i="1"/>
  <c r="Q131" i="1" s="1"/>
  <c r="S131" i="1" s="1"/>
  <c r="O132" i="1"/>
  <c r="Q132" i="1" s="1"/>
  <c r="S132" i="1" s="1"/>
  <c r="O134" i="1"/>
  <c r="Q134" i="1" s="1"/>
  <c r="S134" i="1" s="1"/>
  <c r="O135" i="1"/>
  <c r="Q135" i="1" s="1"/>
  <c r="S135" i="1" s="1"/>
  <c r="O136" i="1"/>
  <c r="Q136" i="1" s="1"/>
  <c r="S136" i="1" s="1"/>
  <c r="O137" i="1"/>
  <c r="Q137" i="1" s="1"/>
  <c r="S137" i="1" s="1"/>
  <c r="Q110" i="1"/>
  <c r="AB110" i="1"/>
  <c r="Y110" i="1" s="1"/>
  <c r="AB109" i="1"/>
  <c r="Y109" i="1" s="1"/>
  <c r="AB108" i="1"/>
  <c r="Y108" i="1" s="1"/>
  <c r="AB107" i="1"/>
  <c r="Y107" i="1" s="1"/>
  <c r="AB106" i="1"/>
  <c r="Y106" i="1" s="1"/>
  <c r="AB105" i="1"/>
  <c r="Y105" i="1" s="1"/>
  <c r="AB104" i="1"/>
  <c r="Y104" i="1" s="1"/>
  <c r="AB103" i="1"/>
  <c r="Y103" i="1" s="1"/>
  <c r="R90" i="1"/>
  <c r="R77" i="1"/>
  <c r="R81" i="1"/>
  <c r="R33" i="1"/>
  <c r="R74" i="1"/>
  <c r="R5" i="1"/>
  <c r="Q13" i="1"/>
  <c r="S13" i="1" s="1"/>
  <c r="AA110" i="1" l="1"/>
  <c r="AA109" i="1"/>
  <c r="AA108" i="1"/>
  <c r="AA107" i="1"/>
  <c r="AA106" i="1"/>
  <c r="AA105" i="1"/>
  <c r="AA104" i="1"/>
  <c r="AA103" i="1"/>
  <c r="S81" i="1"/>
  <c r="S77" i="1"/>
  <c r="S5" i="1"/>
  <c r="S90" i="1"/>
  <c r="S74" i="1"/>
  <c r="S33" i="1"/>
  <c r="R123" i="1" l="1"/>
  <c r="S123" i="1" s="1"/>
  <c r="R120" i="1"/>
  <c r="S120" i="1" s="1"/>
  <c r="R119" i="1"/>
  <c r="S119" i="1" s="1"/>
  <c r="R118" i="1"/>
  <c r="S118" i="1" s="1"/>
  <c r="R117" i="1"/>
  <c r="S117" i="1" s="1"/>
  <c r="R116" i="1"/>
  <c r="S116" i="1" s="1"/>
  <c r="R115" i="1"/>
  <c r="S115" i="1" s="1"/>
  <c r="R86" i="1"/>
  <c r="S86" i="1" s="1"/>
  <c r="R82" i="1"/>
  <c r="S82" i="1" s="1"/>
  <c r="R80" i="1"/>
  <c r="S80" i="1" s="1"/>
  <c r="R79" i="1"/>
  <c r="S79" i="1" s="1"/>
  <c r="R78" i="1"/>
  <c r="S78" i="1" s="1"/>
  <c r="R76" i="1"/>
  <c r="S76" i="1" s="1"/>
  <c r="R75" i="1"/>
  <c r="S75" i="1" s="1"/>
  <c r="R73" i="1"/>
  <c r="S73" i="1" s="1"/>
  <c r="R72" i="1"/>
  <c r="S72" i="1" s="1"/>
  <c r="R56" i="1"/>
  <c r="S56" i="1" s="1"/>
  <c r="R34" i="1"/>
  <c r="S34" i="1" s="1"/>
  <c r="R7" i="1"/>
  <c r="S7" i="1" s="1"/>
  <c r="R8" i="1"/>
  <c r="S8" i="1" s="1"/>
  <c r="R9" i="1"/>
  <c r="S9" i="1" s="1"/>
  <c r="R10" i="1"/>
  <c r="S10" i="1" s="1"/>
  <c r="R30" i="1"/>
  <c r="S30" i="1" s="1"/>
  <c r="R31" i="1"/>
  <c r="S31" i="1" s="1"/>
  <c r="R6" i="1"/>
  <c r="S6" i="1" s="1"/>
  <c r="AB74" i="1" l="1"/>
  <c r="Y74" i="1" s="1"/>
  <c r="AB20" i="1"/>
  <c r="Y20" i="1" s="1"/>
  <c r="AB4" i="1"/>
  <c r="Y4" i="1" s="1"/>
  <c r="AB12" i="1"/>
  <c r="Y12" i="1" s="1"/>
  <c r="AB14" i="1"/>
  <c r="Y14" i="1" s="1"/>
  <c r="AB17" i="1"/>
  <c r="Y17" i="1" s="1"/>
  <c r="AB21" i="1"/>
  <c r="Y21" i="1" s="1"/>
  <c r="AB22" i="1"/>
  <c r="Y22" i="1" s="1"/>
  <c r="AB27" i="1"/>
  <c r="Y27" i="1" s="1"/>
  <c r="AB67" i="1"/>
  <c r="Y67" i="1" s="1"/>
  <c r="AB94" i="1"/>
  <c r="Y94" i="1" s="1"/>
  <c r="AB24" i="1"/>
  <c r="Y24" i="1" s="1"/>
  <c r="AB25" i="1"/>
  <c r="Y25" i="1" s="1"/>
  <c r="AB26" i="1"/>
  <c r="Y26" i="1" s="1"/>
  <c r="AB11" i="1"/>
  <c r="Y11" i="1" s="1"/>
  <c r="AB18" i="1"/>
  <c r="Y18" i="1" s="1"/>
  <c r="AB68" i="1"/>
  <c r="Y68" i="1" s="1"/>
  <c r="AB111" i="1"/>
  <c r="Y111" i="1" s="1"/>
  <c r="AB112" i="1"/>
  <c r="Y112" i="1" s="1"/>
  <c r="AB113" i="1"/>
  <c r="Y113" i="1" s="1"/>
  <c r="AB114" i="1"/>
  <c r="Y114" i="1" s="1"/>
  <c r="AB69" i="1"/>
  <c r="Y69" i="1" s="1"/>
  <c r="AB70" i="1"/>
  <c r="Y70" i="1" s="1"/>
  <c r="AB71" i="1"/>
  <c r="Y71" i="1" s="1"/>
  <c r="AB95" i="1"/>
  <c r="Y95" i="1" s="1"/>
  <c r="AB96" i="1"/>
  <c r="Y96" i="1" s="1"/>
  <c r="AB97" i="1"/>
  <c r="Y97" i="1" s="1"/>
  <c r="AB98" i="1"/>
  <c r="Y98" i="1" s="1"/>
  <c r="AB99" i="1"/>
  <c r="Y99" i="1" s="1"/>
  <c r="AB2" i="1"/>
  <c r="Y2" i="1" s="1"/>
  <c r="AB3" i="1"/>
  <c r="Y3" i="1" s="1"/>
  <c r="AB13" i="1"/>
  <c r="Y13" i="1" s="1"/>
  <c r="AB15" i="1"/>
  <c r="Y15" i="1" s="1"/>
  <c r="AB16" i="1"/>
  <c r="Y16" i="1" s="1"/>
  <c r="AB19" i="1"/>
  <c r="Y19" i="1" s="1"/>
  <c r="AB23" i="1"/>
  <c r="Y23" i="1" s="1"/>
  <c r="AB28" i="1"/>
  <c r="Y28" i="1" s="1"/>
  <c r="AB29" i="1"/>
  <c r="Y29" i="1" s="1"/>
  <c r="AB37" i="1"/>
  <c r="Y37" i="1" s="1"/>
  <c r="AB92" i="1"/>
  <c r="Y92" i="1" s="1"/>
  <c r="AB93" i="1"/>
  <c r="Y93" i="1" s="1"/>
  <c r="AB100" i="1"/>
  <c r="Y100" i="1" s="1"/>
  <c r="AB101" i="1"/>
  <c r="Y101" i="1" s="1"/>
  <c r="AB102" i="1"/>
  <c r="Y102" i="1" s="1"/>
  <c r="AB137" i="1"/>
  <c r="Y137" i="1" s="1"/>
  <c r="AB32" i="1"/>
  <c r="Y32" i="1" s="1"/>
  <c r="AB35" i="1"/>
  <c r="Y35" i="1" s="1"/>
  <c r="AB36" i="1"/>
  <c r="Y36" i="1" s="1"/>
  <c r="AB38" i="1"/>
  <c r="Y38" i="1" s="1"/>
  <c r="AB39" i="1"/>
  <c r="Y39" i="1" s="1"/>
  <c r="AB40" i="1"/>
  <c r="Y40" i="1" s="1"/>
  <c r="AB41" i="1"/>
  <c r="Y41" i="1" s="1"/>
  <c r="AB42" i="1"/>
  <c r="Y42" i="1" s="1"/>
  <c r="AB43" i="1"/>
  <c r="Y43" i="1" s="1"/>
  <c r="AB44" i="1"/>
  <c r="Y44" i="1" s="1"/>
  <c r="AB45" i="1"/>
  <c r="Y45" i="1" s="1"/>
  <c r="AB46" i="1"/>
  <c r="Y46" i="1" s="1"/>
  <c r="AB47" i="1"/>
  <c r="Y47" i="1" s="1"/>
  <c r="AB48" i="1"/>
  <c r="Y48" i="1" s="1"/>
  <c r="AB49" i="1"/>
  <c r="Y49" i="1" s="1"/>
  <c r="AB50" i="1"/>
  <c r="Y50" i="1" s="1"/>
  <c r="AB51" i="1"/>
  <c r="Y51" i="1" s="1"/>
  <c r="AB52" i="1"/>
  <c r="Y52" i="1" s="1"/>
  <c r="AB53" i="1"/>
  <c r="Y53" i="1" s="1"/>
  <c r="AB54" i="1"/>
  <c r="Y54" i="1" s="1"/>
  <c r="AB55" i="1"/>
  <c r="Y55" i="1" s="1"/>
  <c r="AB56" i="1"/>
  <c r="Y56" i="1" s="1"/>
  <c r="AB57" i="1"/>
  <c r="Y57" i="1" s="1"/>
  <c r="AB58" i="1"/>
  <c r="Y58" i="1" s="1"/>
  <c r="AB59" i="1"/>
  <c r="Y59" i="1" s="1"/>
  <c r="AB60" i="1"/>
  <c r="Y60" i="1" s="1"/>
  <c r="AB61" i="1"/>
  <c r="Y61" i="1" s="1"/>
  <c r="AB62" i="1"/>
  <c r="Y62" i="1" s="1"/>
  <c r="AB63" i="1"/>
  <c r="Y63" i="1" s="1"/>
  <c r="AB64" i="1"/>
  <c r="Y64" i="1" s="1"/>
  <c r="AB65" i="1"/>
  <c r="Y65" i="1" s="1"/>
  <c r="AB66" i="1"/>
  <c r="Y66" i="1" s="1"/>
  <c r="AB77" i="1"/>
  <c r="Y77" i="1" s="1"/>
  <c r="AB78" i="1"/>
  <c r="Y78" i="1" s="1"/>
  <c r="AB83" i="1"/>
  <c r="Y83" i="1" s="1"/>
  <c r="AB84" i="1"/>
  <c r="Y84" i="1" s="1"/>
  <c r="AB85" i="1"/>
  <c r="Y85" i="1" s="1"/>
  <c r="AB87" i="1"/>
  <c r="Y87" i="1" s="1"/>
  <c r="AB88" i="1"/>
  <c r="Y88" i="1" s="1"/>
  <c r="AB89" i="1"/>
  <c r="Y89" i="1" s="1"/>
  <c r="AB91" i="1"/>
  <c r="Y91" i="1" s="1"/>
  <c r="AB121" i="1"/>
  <c r="Y121" i="1" s="1"/>
  <c r="AB122" i="1"/>
  <c r="Y122" i="1" s="1"/>
  <c r="AB124" i="1"/>
  <c r="Y124" i="1" s="1"/>
  <c r="AB125" i="1"/>
  <c r="Y125" i="1" s="1"/>
  <c r="AB126" i="1"/>
  <c r="Y126" i="1" s="1"/>
  <c r="AB127" i="1"/>
  <c r="Y127" i="1" s="1"/>
  <c r="AB128" i="1"/>
  <c r="Y128" i="1" s="1"/>
  <c r="AB129" i="1"/>
  <c r="Y129" i="1" s="1"/>
  <c r="AB130" i="1"/>
  <c r="Y130" i="1" s="1"/>
  <c r="AB131" i="1"/>
  <c r="Y131" i="1" s="1"/>
  <c r="AB132" i="1"/>
  <c r="Y132" i="1" s="1"/>
  <c r="AB133" i="1"/>
  <c r="Y133" i="1" s="1"/>
  <c r="AB134" i="1"/>
  <c r="Y134" i="1" s="1"/>
  <c r="AB135" i="1"/>
  <c r="Y135" i="1" s="1"/>
  <c r="AB136" i="1"/>
  <c r="Y136" i="1" s="1"/>
  <c r="M133" i="1"/>
  <c r="M130" i="1"/>
  <c r="M129" i="1"/>
  <c r="M127" i="1"/>
  <c r="M102" i="1"/>
  <c r="M29" i="1"/>
  <c r="M23" i="1"/>
  <c r="M3" i="1"/>
  <c r="N69" i="1"/>
  <c r="M69" i="1"/>
  <c r="M94" i="1"/>
  <c r="N27" i="1"/>
  <c r="M27" i="1"/>
  <c r="N21" i="1"/>
  <c r="M21" i="1"/>
  <c r="O21" i="1" l="1"/>
  <c r="Q21" i="1" s="1"/>
  <c r="S21" i="1" s="1"/>
  <c r="O69" i="1"/>
  <c r="Q69" i="1" s="1"/>
  <c r="S69" i="1" s="1"/>
  <c r="O130" i="1"/>
  <c r="Q130" i="1" s="1"/>
  <c r="S130" i="1" s="1"/>
  <c r="O23" i="1"/>
  <c r="Q23" i="1" s="1"/>
  <c r="S23" i="1" s="1"/>
  <c r="O29" i="1"/>
  <c r="Q29" i="1" s="1"/>
  <c r="S29" i="1" s="1"/>
  <c r="O3" i="1"/>
  <c r="Q3" i="1" s="1"/>
  <c r="S3" i="1" s="1"/>
  <c r="O27" i="1"/>
  <c r="Q27" i="1" s="1"/>
  <c r="S27" i="1" s="1"/>
  <c r="O102" i="1"/>
  <c r="Q102" i="1" s="1"/>
  <c r="S102" i="1" s="1"/>
  <c r="O133" i="1"/>
  <c r="Q133" i="1" s="1"/>
  <c r="S133" i="1" s="1"/>
  <c r="O127" i="1"/>
  <c r="Q127" i="1" s="1"/>
  <c r="S127" i="1" s="1"/>
  <c r="O94" i="1"/>
  <c r="Q94" i="1" s="1"/>
  <c r="S94" i="1" s="1"/>
  <c r="O129" i="1"/>
  <c r="Q129" i="1" s="1"/>
  <c r="S129" i="1" s="1"/>
  <c r="AA74" i="1"/>
  <c r="AA3" i="1"/>
  <c r="AA136" i="1"/>
  <c r="AA128" i="1"/>
  <c r="AA83" i="1"/>
  <c r="AA63" i="1"/>
  <c r="AA51" i="1"/>
  <c r="AA43" i="1"/>
  <c r="AA32" i="1"/>
  <c r="AA29" i="1"/>
  <c r="AA2" i="1"/>
  <c r="AA97" i="1"/>
  <c r="AA113" i="1"/>
  <c r="AA11" i="1"/>
  <c r="AA21" i="1"/>
  <c r="AA64" i="1"/>
  <c r="AA135" i="1"/>
  <c r="AA127" i="1"/>
  <c r="AA91" i="1"/>
  <c r="AA62" i="1"/>
  <c r="AA55" i="1"/>
  <c r="AA50" i="1"/>
  <c r="AA42" i="1"/>
  <c r="AA137" i="1"/>
  <c r="AA28" i="1"/>
  <c r="AA98" i="1"/>
  <c r="AA96" i="1"/>
  <c r="AA112" i="1"/>
  <c r="AA26" i="1"/>
  <c r="AA17" i="1"/>
  <c r="AA38" i="1"/>
  <c r="AA134" i="1"/>
  <c r="AA126" i="1"/>
  <c r="AA89" i="1"/>
  <c r="AA61" i="1"/>
  <c r="AA54" i="1"/>
  <c r="AA49" i="1"/>
  <c r="AA41" i="1"/>
  <c r="AA102" i="1"/>
  <c r="AA23" i="1"/>
  <c r="AA99" i="1"/>
  <c r="AA95" i="1"/>
  <c r="AA111" i="1"/>
  <c r="AA25" i="1"/>
  <c r="AA14" i="1"/>
  <c r="AA84" i="1"/>
  <c r="AA133" i="1"/>
  <c r="AA125" i="1"/>
  <c r="AA88" i="1"/>
  <c r="AA66" i="1"/>
  <c r="AA60" i="1"/>
  <c r="AA53" i="1"/>
  <c r="AA48" i="1"/>
  <c r="AA40" i="1"/>
  <c r="AA101" i="1"/>
  <c r="AA19" i="1"/>
  <c r="AA24" i="1"/>
  <c r="AA12" i="1"/>
  <c r="AA35" i="1"/>
  <c r="AA22" i="1"/>
  <c r="AA132" i="1"/>
  <c r="AA124" i="1"/>
  <c r="AA59" i="1"/>
  <c r="AA52" i="1"/>
  <c r="AA47" i="1"/>
  <c r="AA39" i="1"/>
  <c r="AA100" i="1"/>
  <c r="AA16" i="1"/>
  <c r="AA71" i="1"/>
  <c r="AA68" i="1"/>
  <c r="AA94" i="1"/>
  <c r="AA4" i="1"/>
  <c r="AA129" i="1"/>
  <c r="AA37" i="1"/>
  <c r="AA131" i="1"/>
  <c r="AA122" i="1"/>
  <c r="AA87" i="1"/>
  <c r="AA65" i="1"/>
  <c r="AA58" i="1"/>
  <c r="AA46" i="1"/>
  <c r="AA36" i="1"/>
  <c r="AA93" i="1"/>
  <c r="AA15" i="1"/>
  <c r="AA70" i="1"/>
  <c r="AA67" i="1"/>
  <c r="AA20" i="1"/>
  <c r="AA77" i="1"/>
  <c r="AA44" i="1"/>
  <c r="AA114" i="1"/>
  <c r="AA130" i="1"/>
  <c r="AA121" i="1"/>
  <c r="AA85" i="1"/>
  <c r="AA57" i="1"/>
  <c r="AA45" i="1"/>
  <c r="AA92" i="1"/>
  <c r="AA13" i="1"/>
  <c r="AA69" i="1"/>
  <c r="AA18" i="1"/>
  <c r="AA27" i="1"/>
  <c r="AA56" i="1"/>
  <c r="AA78" i="1"/>
  <c r="AB33" i="1"/>
  <c r="Y33" i="1" s="1"/>
  <c r="AB118" i="1"/>
  <c r="Y118" i="1" s="1"/>
  <c r="AB31" i="1"/>
  <c r="Y31" i="1" s="1"/>
  <c r="AB73" i="1"/>
  <c r="Y73" i="1" s="1"/>
  <c r="AB75" i="1"/>
  <c r="Y75" i="1" s="1"/>
  <c r="AB8" i="1"/>
  <c r="Y8" i="1" s="1"/>
  <c r="AB76" i="1"/>
  <c r="Y76" i="1" s="1"/>
  <c r="AB119" i="1"/>
  <c r="Y119" i="1" s="1"/>
  <c r="AB86" i="1"/>
  <c r="Y86" i="1" s="1"/>
  <c r="AB81" i="1"/>
  <c r="Y81" i="1" s="1"/>
  <c r="AB117" i="1"/>
  <c r="Y117" i="1" s="1"/>
  <c r="AB5" i="1"/>
  <c r="Y5" i="1" s="1"/>
  <c r="AB116" i="1"/>
  <c r="Y116" i="1" s="1"/>
  <c r="AB30" i="1"/>
  <c r="Y30" i="1" s="1"/>
  <c r="AB80" i="1"/>
  <c r="Y80" i="1" s="1"/>
  <c r="AB120" i="1"/>
  <c r="Y120" i="1" s="1"/>
  <c r="AB79" i="1"/>
  <c r="Y79" i="1" s="1"/>
  <c r="AB115" i="1"/>
  <c r="Y115" i="1" s="1"/>
  <c r="AB9" i="1"/>
  <c r="Y9" i="1" s="1"/>
  <c r="AB34" i="1"/>
  <c r="Y34" i="1" s="1"/>
  <c r="AB123" i="1"/>
  <c r="Y123" i="1" s="1"/>
  <c r="AB7" i="1"/>
  <c r="Y7" i="1" s="1"/>
  <c r="AB90" i="1"/>
  <c r="Y90" i="1" s="1"/>
  <c r="AB82" i="1"/>
  <c r="Y82" i="1" s="1"/>
  <c r="AB72" i="1"/>
  <c r="Y72" i="1" s="1"/>
  <c r="AB10" i="1"/>
  <c r="Y10" i="1" s="1"/>
  <c r="AB6" i="1"/>
  <c r="Y6" i="1" s="1"/>
  <c r="AE70" i="1" l="1"/>
  <c r="AD70" i="1" s="1"/>
  <c r="AE72" i="1"/>
  <c r="AE123" i="1"/>
  <c r="AE22" i="1"/>
  <c r="AC22" i="1" s="1"/>
  <c r="AE46" i="1"/>
  <c r="AC46" i="1" s="1"/>
  <c r="AE54" i="1"/>
  <c r="AC54" i="1" s="1"/>
  <c r="AE92" i="1"/>
  <c r="AC92" i="1" s="1"/>
  <c r="AE10" i="1"/>
  <c r="AE79" i="1"/>
  <c r="AE117" i="1"/>
  <c r="AE73" i="1"/>
  <c r="AE44" i="1"/>
  <c r="AC44" i="1" s="1"/>
  <c r="AE27" i="1"/>
  <c r="AC27" i="1" s="1"/>
  <c r="AE132" i="1"/>
  <c r="AC132" i="1" s="1"/>
  <c r="AE96" i="1"/>
  <c r="AC96" i="1" s="1"/>
  <c r="AE48" i="1"/>
  <c r="AC48" i="1" s="1"/>
  <c r="AE109" i="1"/>
  <c r="AE103" i="1"/>
  <c r="AC103" i="1" s="1"/>
  <c r="AE107" i="1"/>
  <c r="AE108" i="1"/>
  <c r="AD108" i="1" s="1"/>
  <c r="AE89" i="1"/>
  <c r="AC89" i="1" s="1"/>
  <c r="AE42" i="1"/>
  <c r="AC42" i="1" s="1"/>
  <c r="AE63" i="1"/>
  <c r="AC63" i="1" s="1"/>
  <c r="AE57" i="1"/>
  <c r="AC57" i="1" s="1"/>
  <c r="AE31" i="1"/>
  <c r="AE18" i="1"/>
  <c r="AC18" i="1" s="1"/>
  <c r="AE4" i="1"/>
  <c r="AD4" i="1" s="1"/>
  <c r="AE53" i="1"/>
  <c r="AC53" i="1" s="1"/>
  <c r="AE95" i="1"/>
  <c r="AC95" i="1" s="1"/>
  <c r="AE135" i="1"/>
  <c r="AC135" i="1" s="1"/>
  <c r="AE137" i="1"/>
  <c r="AC137" i="1" s="1"/>
  <c r="AE78" i="1"/>
  <c r="AC78" i="1" s="1"/>
  <c r="AE2" i="1"/>
  <c r="AC2" i="1" s="1"/>
  <c r="AE83" i="1"/>
  <c r="AD83" i="1" s="1"/>
  <c r="AE85" i="1"/>
  <c r="AC85" i="1" s="1"/>
  <c r="AE16" i="1"/>
  <c r="AC16" i="1" s="1"/>
  <c r="AE100" i="1"/>
  <c r="AC100" i="1" s="1"/>
  <c r="AE55" i="1"/>
  <c r="AC55" i="1" s="1"/>
  <c r="AE21" i="1"/>
  <c r="AC21" i="1" s="1"/>
  <c r="AE29" i="1"/>
  <c r="AC29" i="1" s="1"/>
  <c r="AE131" i="1"/>
  <c r="AC131" i="1" s="1"/>
  <c r="AE120" i="1"/>
  <c r="AE80" i="1"/>
  <c r="AE118" i="1"/>
  <c r="AE56" i="1"/>
  <c r="AC56" i="1" s="1"/>
  <c r="AE65" i="1"/>
  <c r="AC65" i="1" s="1"/>
  <c r="AE125" i="1"/>
  <c r="AC125" i="1" s="1"/>
  <c r="AE60" i="1"/>
  <c r="AC60" i="1" s="1"/>
  <c r="AE64" i="1"/>
  <c r="AC64" i="1" s="1"/>
  <c r="AE20" i="1"/>
  <c r="AC20" i="1" s="1"/>
  <c r="AE68" i="1"/>
  <c r="AC68" i="1" s="1"/>
  <c r="AE133" i="1"/>
  <c r="AC133" i="1" s="1"/>
  <c r="AE91" i="1"/>
  <c r="AC91" i="1" s="1"/>
  <c r="AE66" i="1"/>
  <c r="AC66" i="1" s="1"/>
  <c r="AE99" i="1"/>
  <c r="AC99" i="1" s="1"/>
  <c r="AE128" i="1"/>
  <c r="AC128" i="1" s="1"/>
  <c r="AE11" i="1"/>
  <c r="AC11" i="1" s="1"/>
  <c r="AE32" i="1"/>
  <c r="AD32" i="1" s="1"/>
  <c r="AE129" i="1"/>
  <c r="AC129" i="1" s="1"/>
  <c r="AE81" i="1"/>
  <c r="AE122" i="1"/>
  <c r="AC122" i="1" s="1"/>
  <c r="AE28" i="1"/>
  <c r="AD28" i="1" s="1"/>
  <c r="AE34" i="1"/>
  <c r="AE69" i="1"/>
  <c r="AC69" i="1" s="1"/>
  <c r="AE94" i="1"/>
  <c r="AC94" i="1" s="1"/>
  <c r="AE50" i="1"/>
  <c r="AC50" i="1" s="1"/>
  <c r="AE82" i="1"/>
  <c r="AE9" i="1"/>
  <c r="AE30" i="1"/>
  <c r="AE86" i="1"/>
  <c r="AE75" i="1"/>
  <c r="AE33" i="1"/>
  <c r="AE74" i="1"/>
  <c r="AE3" i="1"/>
  <c r="AC3" i="1" s="1"/>
  <c r="AE84" i="1"/>
  <c r="AC84" i="1" s="1"/>
  <c r="AE15" i="1"/>
  <c r="AC15" i="1" s="1"/>
  <c r="AE67" i="1"/>
  <c r="AC67" i="1" s="1"/>
  <c r="AE71" i="1"/>
  <c r="AC71" i="1" s="1"/>
  <c r="AE39" i="1"/>
  <c r="AC39" i="1" s="1"/>
  <c r="AE41" i="1"/>
  <c r="AC41" i="1" s="1"/>
  <c r="AE12" i="1"/>
  <c r="AC12" i="1" s="1"/>
  <c r="AE19" i="1"/>
  <c r="AD19" i="1" s="1"/>
  <c r="AE88" i="1"/>
  <c r="AC88" i="1" s="1"/>
  <c r="AE110" i="1"/>
  <c r="AC110" i="1" s="1"/>
  <c r="AE14" i="1"/>
  <c r="AC14" i="1" s="1"/>
  <c r="AE23" i="1"/>
  <c r="AC23" i="1" s="1"/>
  <c r="AE17" i="1"/>
  <c r="AC17" i="1" s="1"/>
  <c r="AE113" i="1"/>
  <c r="AC113" i="1" s="1"/>
  <c r="AE116" i="1"/>
  <c r="AE121" i="1"/>
  <c r="AC121" i="1" s="1"/>
  <c r="AE47" i="1"/>
  <c r="AC47" i="1" s="1"/>
  <c r="AE101" i="1"/>
  <c r="AC101" i="1" s="1"/>
  <c r="AE25" i="1"/>
  <c r="AC25" i="1" s="1"/>
  <c r="AE62" i="1"/>
  <c r="AC62" i="1" s="1"/>
  <c r="AE26" i="1"/>
  <c r="AC26" i="1" s="1"/>
  <c r="AE43" i="1"/>
  <c r="AD43" i="1" s="1"/>
  <c r="AE36" i="1"/>
  <c r="AC36" i="1" s="1"/>
  <c r="AE119" i="1"/>
  <c r="AE37" i="1"/>
  <c r="AC37" i="1" s="1"/>
  <c r="AE126" i="1"/>
  <c r="AC126" i="1" s="1"/>
  <c r="AE35" i="1"/>
  <c r="AC35" i="1" s="1"/>
  <c r="AE87" i="1"/>
  <c r="AC87" i="1" s="1"/>
  <c r="AE52" i="1"/>
  <c r="AD52" i="1" s="1"/>
  <c r="AE104" i="1"/>
  <c r="AE111" i="1"/>
  <c r="AC111" i="1" s="1"/>
  <c r="AE49" i="1"/>
  <c r="AC49" i="1" s="1"/>
  <c r="AE136" i="1"/>
  <c r="AC136" i="1" s="1"/>
  <c r="AE112" i="1"/>
  <c r="AC112" i="1" s="1"/>
  <c r="AE51" i="1"/>
  <c r="AC51" i="1" s="1"/>
  <c r="AE13" i="1"/>
  <c r="AC13" i="1" s="1"/>
  <c r="AE24" i="1"/>
  <c r="AC24" i="1" s="1"/>
  <c r="AE90" i="1"/>
  <c r="AE76" i="1"/>
  <c r="AE130" i="1"/>
  <c r="AC130" i="1" s="1"/>
  <c r="AE93" i="1"/>
  <c r="AC93" i="1" s="1"/>
  <c r="AE77" i="1"/>
  <c r="AD77" i="1" s="1"/>
  <c r="AE6" i="1"/>
  <c r="AE7" i="1"/>
  <c r="AE115" i="1"/>
  <c r="AE5" i="1"/>
  <c r="AE8" i="1"/>
  <c r="AE114" i="1"/>
  <c r="AC114" i="1" s="1"/>
  <c r="AE38" i="1"/>
  <c r="AC38" i="1" s="1"/>
  <c r="AE58" i="1"/>
  <c r="AC58" i="1" s="1"/>
  <c r="AE59" i="1"/>
  <c r="AC59" i="1" s="1"/>
  <c r="AE127" i="1"/>
  <c r="AC127" i="1" s="1"/>
  <c r="AE40" i="1"/>
  <c r="AC40" i="1" s="1"/>
  <c r="AE105" i="1"/>
  <c r="AC105" i="1" s="1"/>
  <c r="AE106" i="1"/>
  <c r="AC106" i="1" s="1"/>
  <c r="AE134" i="1"/>
  <c r="AC134" i="1" s="1"/>
  <c r="AE61" i="1"/>
  <c r="AC61" i="1" s="1"/>
  <c r="AE102" i="1"/>
  <c r="AC102" i="1" s="1"/>
  <c r="AE98" i="1"/>
  <c r="AC98" i="1" s="1"/>
  <c r="AE97" i="1"/>
  <c r="AC97" i="1" s="1"/>
  <c r="AE45" i="1"/>
  <c r="AC45" i="1" s="1"/>
  <c r="AE124" i="1"/>
  <c r="AC124" i="1" s="1"/>
  <c r="AA81" i="1"/>
  <c r="AA31" i="1"/>
  <c r="AA75" i="1"/>
  <c r="AA118" i="1"/>
  <c r="AA116" i="1"/>
  <c r="AA34" i="1"/>
  <c r="AA76" i="1"/>
  <c r="AA90" i="1"/>
  <c r="AA7" i="1"/>
  <c r="AA117" i="1"/>
  <c r="AA80" i="1"/>
  <c r="AA82" i="1"/>
  <c r="AA120" i="1"/>
  <c r="AA72" i="1"/>
  <c r="AA33" i="1"/>
  <c r="AA86" i="1"/>
  <c r="AA10" i="1"/>
  <c r="AA9" i="1"/>
  <c r="AA123" i="1"/>
  <c r="AA115" i="1"/>
  <c r="AA73" i="1"/>
  <c r="AA79" i="1"/>
  <c r="AA30" i="1"/>
  <c r="AA5" i="1"/>
  <c r="AA119" i="1"/>
  <c r="AA8" i="1"/>
  <c r="AA6" i="1"/>
  <c r="AD76" i="1" l="1"/>
  <c r="AD116" i="1"/>
  <c r="AC8" i="1"/>
  <c r="AC72" i="1"/>
  <c r="AD118" i="1"/>
  <c r="AD110" i="1"/>
  <c r="AD90" i="1"/>
  <c r="AD34" i="1"/>
  <c r="AC108" i="1"/>
  <c r="AC109" i="1"/>
  <c r="AD109" i="1"/>
  <c r="AC10" i="1"/>
  <c r="AC115" i="1"/>
  <c r="AD106" i="1"/>
  <c r="AC107" i="1"/>
  <c r="AD107" i="1"/>
  <c r="AD105" i="1"/>
  <c r="AD103" i="1"/>
  <c r="AC104" i="1"/>
  <c r="AD104" i="1"/>
  <c r="AC79" i="1"/>
  <c r="AC33" i="1"/>
  <c r="AC5" i="1"/>
  <c r="AC117" i="1"/>
  <c r="AC123" i="1"/>
  <c r="AD75" i="1"/>
  <c r="AC31" i="1"/>
  <c r="AC80" i="1"/>
  <c r="AC6" i="1"/>
  <c r="AD81" i="1"/>
  <c r="AC82" i="1"/>
  <c r="AC9" i="1"/>
  <c r="AD7" i="1"/>
  <c r="AC30" i="1"/>
  <c r="AC120" i="1"/>
  <c r="AC73" i="1"/>
  <c r="AC86" i="1"/>
  <c r="AC119" i="1"/>
  <c r="AC74" i="1"/>
  <c r="AD74" i="1"/>
  <c r="AD72" i="1"/>
  <c r="AC70" i="1"/>
  <c r="AC4" i="1"/>
  <c r="AD91" i="1"/>
  <c r="AD100" i="1"/>
  <c r="AD78" i="1"/>
  <c r="AD135" i="1"/>
  <c r="AD93" i="1"/>
  <c r="AD61" i="1"/>
  <c r="AD57" i="1"/>
  <c r="AD21" i="1"/>
  <c r="AD46" i="1"/>
  <c r="AD54" i="1"/>
  <c r="AD121" i="1"/>
  <c r="AD6" i="1"/>
  <c r="AD9" i="1"/>
  <c r="AC116" i="1"/>
  <c r="AC77" i="1"/>
  <c r="AD42" i="1"/>
  <c r="AD31" i="1"/>
  <c r="AD66" i="1"/>
  <c r="AD62" i="1"/>
  <c r="AD84" i="1"/>
  <c r="AD47" i="1"/>
  <c r="AD69" i="1"/>
  <c r="AD55" i="1"/>
  <c r="AD24" i="1"/>
  <c r="AD127" i="1"/>
  <c r="AD15" i="1"/>
  <c r="AD102" i="1"/>
  <c r="AD12" i="1"/>
  <c r="AD8" i="1"/>
  <c r="AD115" i="1"/>
  <c r="AC28" i="1"/>
  <c r="AC32" i="1"/>
  <c r="AD40" i="1"/>
  <c r="AD94" i="1"/>
  <c r="AD56" i="1"/>
  <c r="AD133" i="1"/>
  <c r="AD16" i="1"/>
  <c r="AD137" i="1"/>
  <c r="AD67" i="1"/>
  <c r="AD22" i="1"/>
  <c r="AD50" i="1"/>
  <c r="AD95" i="1"/>
  <c r="AD132" i="1"/>
  <c r="AD92" i="1"/>
  <c r="AD119" i="1"/>
  <c r="AD82" i="1"/>
  <c r="AC19" i="1"/>
  <c r="AC83" i="1"/>
  <c r="AD126" i="1"/>
  <c r="AD44" i="1"/>
  <c r="AD3" i="1"/>
  <c r="AD98" i="1"/>
  <c r="AD60" i="1"/>
  <c r="AD136" i="1"/>
  <c r="AD96" i="1"/>
  <c r="AD111" i="1"/>
  <c r="AD18" i="1"/>
  <c r="AD20" i="1"/>
  <c r="AD25" i="1"/>
  <c r="AD59" i="1"/>
  <c r="AD5" i="1"/>
  <c r="AC7" i="1"/>
  <c r="AC43" i="1"/>
  <c r="AD37" i="1"/>
  <c r="AD49" i="1"/>
  <c r="AD85" i="1"/>
  <c r="AD63" i="1"/>
  <c r="AD112" i="1"/>
  <c r="AD38" i="1"/>
  <c r="AD26" i="1"/>
  <c r="AD39" i="1"/>
  <c r="AD128" i="1"/>
  <c r="AD27" i="1"/>
  <c r="AD30" i="1"/>
  <c r="AD120" i="1"/>
  <c r="AD80" i="1"/>
  <c r="AD2" i="1"/>
  <c r="AD65" i="1"/>
  <c r="AD23" i="1"/>
  <c r="AD35" i="1"/>
  <c r="AD45" i="1"/>
  <c r="AD131" i="1"/>
  <c r="AD89" i="1"/>
  <c r="AD114" i="1"/>
  <c r="AD125" i="1"/>
  <c r="AD51" i="1"/>
  <c r="AD17" i="1"/>
  <c r="AD88" i="1"/>
  <c r="AD79" i="1"/>
  <c r="AD123" i="1"/>
  <c r="AD86" i="1"/>
  <c r="AD124" i="1"/>
  <c r="AD13" i="1"/>
  <c r="AD58" i="1"/>
  <c r="AD41" i="1"/>
  <c r="AD97" i="1"/>
  <c r="AD122" i="1"/>
  <c r="AD53" i="1"/>
  <c r="AD71" i="1"/>
  <c r="AD29" i="1"/>
  <c r="AD129" i="1"/>
  <c r="AD117" i="1"/>
  <c r="AD48" i="1"/>
  <c r="AD68" i="1"/>
  <c r="AD73" i="1"/>
  <c r="AD10" i="1"/>
  <c r="AD33" i="1"/>
  <c r="AC52" i="1"/>
  <c r="AD64" i="1"/>
  <c r="AD14" i="1"/>
  <c r="AD113" i="1"/>
  <c r="AD36" i="1"/>
  <c r="AD99" i="1"/>
  <c r="AD11" i="1"/>
  <c r="AD101" i="1"/>
  <c r="AD130" i="1"/>
  <c r="AD87" i="1"/>
  <c r="AD134" i="1"/>
  <c r="AC75" i="1"/>
  <c r="AC76" i="1"/>
  <c r="AC118" i="1"/>
  <c r="AC34" i="1"/>
  <c r="AC81" i="1"/>
  <c r="AC90" i="1"/>
</calcChain>
</file>

<file path=xl/sharedStrings.xml><?xml version="1.0" encoding="utf-8"?>
<sst xmlns="http://schemas.openxmlformats.org/spreadsheetml/2006/main" count="1429" uniqueCount="201">
  <si>
    <t>BC Hydro Names</t>
  </si>
  <si>
    <t>Project Type</t>
  </si>
  <si>
    <t>Region</t>
  </si>
  <si>
    <t>Latitude</t>
  </si>
  <si>
    <t>Longitude</t>
  </si>
  <si>
    <t>Installed Capacity (MW)</t>
  </si>
  <si>
    <t>Dependable Generating Capacity (MW)</t>
  </si>
  <si>
    <t>Effective Load-Carrying Capacity (MW)</t>
  </si>
  <si>
    <t>Annual Firm Energy (GWh/yr)</t>
  </si>
  <si>
    <t>UEC ($/MWh)</t>
  </si>
  <si>
    <t>UCC ($/kW-yr)</t>
  </si>
  <si>
    <t>R1 Length (km)</t>
  </si>
  <si>
    <t>T1 Length (km)</t>
  </si>
  <si>
    <t>Line Voltage</t>
  </si>
  <si>
    <t>Plateau or Ridgeline - WIND</t>
  </si>
  <si>
    <t>Footprint of Plant (ha) - SOLAR</t>
  </si>
  <si>
    <t>Footprint of Panels (ha) - SOLAR</t>
  </si>
  <si>
    <t>Raw Terrestrial Score</t>
  </si>
  <si>
    <t>Raw Freshwater Score</t>
  </si>
  <si>
    <t>Summed Raw Scores</t>
  </si>
  <si>
    <t>Battery</t>
  </si>
  <si>
    <t>Vancouver Island</t>
  </si>
  <si>
    <t>NA</t>
  </si>
  <si>
    <t>Canoe Creek - Valemount</t>
  </si>
  <si>
    <t>Geothermal</t>
  </si>
  <si>
    <t>Kelly Nicola</t>
  </si>
  <si>
    <t>Clarke Lake</t>
  </si>
  <si>
    <t>Peace River</t>
  </si>
  <si>
    <t>Jedney Area</t>
  </si>
  <si>
    <t>Lakelse Lake</t>
  </si>
  <si>
    <t>North Coast</t>
  </si>
  <si>
    <t>Meager Creek</t>
  </si>
  <si>
    <t>Lower Mainland</t>
  </si>
  <si>
    <t>Mt. Cayley</t>
  </si>
  <si>
    <t>Pebble Creek</t>
  </si>
  <si>
    <t>Sloquet Creek</t>
  </si>
  <si>
    <t>MSW 1</t>
  </si>
  <si>
    <t>Biomass</t>
  </si>
  <si>
    <t>MSW 2</t>
  </si>
  <si>
    <t>MSW 3</t>
  </si>
  <si>
    <t>Selkirk</t>
  </si>
  <si>
    <t>Bookhout 2</t>
  </si>
  <si>
    <t>Pumped Storage</t>
  </si>
  <si>
    <t>Kenyon - Stave</t>
  </si>
  <si>
    <t>Quimper - Bulson</t>
  </si>
  <si>
    <t>Upper Clore - Storage for 16 hrs of generation</t>
  </si>
  <si>
    <t>Upper Deserted - Un-named</t>
  </si>
  <si>
    <t>Upper Misery - Lower Misery</t>
  </si>
  <si>
    <t>Upper Vancouver - Lower Vancouver</t>
  </si>
  <si>
    <t>ROR_5018</t>
  </si>
  <si>
    <t>Run of River</t>
  </si>
  <si>
    <t>ROR_5101</t>
  </si>
  <si>
    <t>ROR_5332</t>
  </si>
  <si>
    <t>Mica</t>
  </si>
  <si>
    <t>Solar</t>
  </si>
  <si>
    <t>Central Interior</t>
  </si>
  <si>
    <t>Solar69283</t>
  </si>
  <si>
    <t>Solar69284</t>
  </si>
  <si>
    <t>Solar70163</t>
  </si>
  <si>
    <t>Solar70993</t>
  </si>
  <si>
    <t>Revelstoke</t>
  </si>
  <si>
    <t>Solar78421</t>
  </si>
  <si>
    <t>East Kootenay</t>
  </si>
  <si>
    <t>Anudol_Creek_A-8hr</t>
  </si>
  <si>
    <t>Small Storage Hydro</t>
  </si>
  <si>
    <t>Ball_Creek-8hr</t>
  </si>
  <si>
    <t>Chemainus_River-8hr</t>
  </si>
  <si>
    <t>Elaho_River-8hr</t>
  </si>
  <si>
    <t>Freda_Creek-8hr</t>
  </si>
  <si>
    <t>Kinskuch_River-8hr</t>
  </si>
  <si>
    <t>More_Creek-8hr</t>
  </si>
  <si>
    <t>Nahatlatch_River-8hr</t>
  </si>
  <si>
    <t>Nass_River-8hr</t>
  </si>
  <si>
    <t>Nimpkish_River_B-8hr</t>
  </si>
  <si>
    <t>Silverhope_Creek-8hr</t>
  </si>
  <si>
    <t>Siwash_Creek-8hr</t>
  </si>
  <si>
    <t>South_Creek-8hr</t>
  </si>
  <si>
    <t>Spuzzum_Creek-8hr</t>
  </si>
  <si>
    <t>Squamish_River_B-8hr</t>
  </si>
  <si>
    <t>Zymoetz_River-8hr</t>
  </si>
  <si>
    <t>Onshore Wind</t>
  </si>
  <si>
    <t>P</t>
  </si>
  <si>
    <t>BC18</t>
  </si>
  <si>
    <t>BC19</t>
  </si>
  <si>
    <t>BC20</t>
  </si>
  <si>
    <t>BC21</t>
  </si>
  <si>
    <t>BC22</t>
  </si>
  <si>
    <t>BC23</t>
  </si>
  <si>
    <t>NC01</t>
  </si>
  <si>
    <t>NC02</t>
  </si>
  <si>
    <t>NC07</t>
  </si>
  <si>
    <t>R</t>
  </si>
  <si>
    <t>NC08</t>
  </si>
  <si>
    <t>NC09</t>
  </si>
  <si>
    <t>NC10</t>
  </si>
  <si>
    <t>NC12</t>
  </si>
  <si>
    <t>PC06</t>
  </si>
  <si>
    <t>PC09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</si>
  <si>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</si>
  <si>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</si>
  <si>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</si>
  <si>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</si>
  <si>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</si>
  <si>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</si>
  <si>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</si>
  <si>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</si>
  <si>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</si>
  <si>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</si>
  <si>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</si>
  <si>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PC21</t>
  </si>
  <si>
    <t>PC25</t>
  </si>
  <si>
    <t>PC26</t>
  </si>
  <si>
    <t>PC27</t>
  </si>
  <si>
    <t>PC28</t>
  </si>
  <si>
    <t>PC32</t>
  </si>
  <si>
    <t>PC34</t>
  </si>
  <si>
    <t>PC36</t>
  </si>
  <si>
    <t>PC37</t>
  </si>
  <si>
    <t>PC38</t>
  </si>
  <si>
    <t>PC39</t>
  </si>
  <si>
    <t>PC40</t>
  </si>
  <si>
    <t>PC41</t>
  </si>
  <si>
    <t>PC42</t>
  </si>
  <si>
    <t>PC46</t>
  </si>
  <si>
    <t>PC48</t>
  </si>
  <si>
    <t>SI01</t>
  </si>
  <si>
    <t>SI03</t>
  </si>
  <si>
    <t>SI04</t>
  </si>
  <si>
    <t>Both</t>
  </si>
  <si>
    <t>SI05</t>
  </si>
  <si>
    <t>SI06</t>
  </si>
  <si>
    <t>SI10</t>
  </si>
  <si>
    <t>SI11</t>
  </si>
  <si>
    <t>SI12</t>
  </si>
  <si>
    <t>SI13</t>
  </si>
  <si>
    <t>SI14</t>
  </si>
  <si>
    <t>SI15</t>
  </si>
  <si>
    <t>SI18</t>
  </si>
  <si>
    <t>SI19</t>
  </si>
  <si>
    <t>SI20</t>
  </si>
  <si>
    <t>SI22</t>
  </si>
  <si>
    <t>SI23</t>
  </si>
  <si>
    <t>SI28</t>
  </si>
  <si>
    <t>SI29</t>
  </si>
  <si>
    <t>SI30</t>
  </si>
  <si>
    <t>SI37</t>
  </si>
  <si>
    <t>VI02</t>
  </si>
  <si>
    <t>VI04</t>
  </si>
  <si>
    <t>VI05</t>
  </si>
  <si>
    <t>VI06</t>
  </si>
  <si>
    <t>VI07</t>
  </si>
  <si>
    <t>VI09</t>
  </si>
  <si>
    <t>VI11</t>
  </si>
  <si>
    <t>VI12</t>
  </si>
  <si>
    <t>VI13</t>
  </si>
  <si>
    <t>VI14</t>
  </si>
  <si>
    <t>VI15</t>
  </si>
  <si>
    <t>WBBio_CB_RR</t>
  </si>
  <si>
    <t>WBBio_LM_RR</t>
  </si>
  <si>
    <t>WBBio_LM_ST_1</t>
  </si>
  <si>
    <t>WBBio_LM_ST_2</t>
  </si>
  <si>
    <t>WBBio_NE_ST_1</t>
  </si>
  <si>
    <t>WBBio_NE_ST_2</t>
  </si>
  <si>
    <t>WBBio_NE_ST_3</t>
  </si>
  <si>
    <t>WBBio_NW_ST</t>
  </si>
  <si>
    <t>WBBio_SP_RR</t>
  </si>
  <si>
    <t>WBBio_SP_ST</t>
  </si>
  <si>
    <t>WBBio_WPR_PL</t>
  </si>
  <si>
    <t>Knight - Fourth</t>
  </si>
  <si>
    <t>Municipal Solid Waste</t>
  </si>
  <si>
    <t>Number of Turbines - WIND</t>
  </si>
  <si>
    <t>ATG (ha)</t>
  </si>
  <si>
    <t>Notes</t>
  </si>
  <si>
    <t>Terrestrial % of Summed Score</t>
  </si>
  <si>
    <t>Freshwater % of Summed Score</t>
  </si>
  <si>
    <t>Scaled Summed Score</t>
  </si>
  <si>
    <t>Linear Features (km)</t>
  </si>
  <si>
    <t>Terrestrial Proportion of Scaled Score</t>
  </si>
  <si>
    <t>Freshwater Proportion of Scaled Score</t>
  </si>
  <si>
    <t>Linear Area (ha)</t>
  </si>
  <si>
    <t>ATG/Linear Ratio</t>
  </si>
  <si>
    <t>In 2021?</t>
  </si>
  <si>
    <t>y</t>
  </si>
  <si>
    <t>T_2L129</t>
  </si>
  <si>
    <t>T_5L003</t>
  </si>
  <si>
    <t>T_5L007</t>
  </si>
  <si>
    <t>T_5L013</t>
  </si>
  <si>
    <t>T_5L042</t>
  </si>
  <si>
    <t>T_5L061</t>
  </si>
  <si>
    <t>T_5L062</t>
  </si>
  <si>
    <t>T_5L063</t>
  </si>
  <si>
    <t>Transmission</t>
  </si>
  <si>
    <t>ARN - Arnott -&gt; VIT - Vancouver Island</t>
  </si>
  <si>
    <t>PCN - Peace Canyon G.S. -&gt; KDY - Kennedy Capacitor STN</t>
  </si>
  <si>
    <t>KDY - Kennedy Capacitor STN -&gt; WSN - Williston Sub</t>
  </si>
  <si>
    <t>WSN - Williston -&gt; KLY - Kelly Lake</t>
  </si>
  <si>
    <t>KLY - Kelly Lake -&gt; CKY - Cheekye</t>
  </si>
  <si>
    <t>WSN - Williston -&gt; GLN - Glenannan</t>
  </si>
  <si>
    <t>GLN - Glenannan -&gt; TKW - Telkwa</t>
  </si>
  <si>
    <t>TKW - Telkwa Sub -&gt; SKA - Skeena Sub</t>
  </si>
  <si>
    <t>Batt_VI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</si>
</sst>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ptos"/>
      <family val="2"/>
    </font>
    <font>
      <sz val="11"/>
      <color rgb="FF000000"/>
      <name val="Aptos"/>
      <family val="2"/>
    </font>
    <font>
      <sz val="11"/>
      <name val="Aptos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29">
    <xf numFmtId="0" fontId="0" fillId="0" borderId="0" xfId="0"/>
    <xf numFmtId="2" fontId="5" fillId="0" borderId="1" xfId="1" applyNumberFormat="1" applyFont="1" applyFill="1" applyBorder="1" applyAlignment="1">
      <alignment horizontal="center" vertical="center"/>
    </xf>
    <xf numFmtId="1" fontId="5" fillId="0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3" fillId="0" borderId="1" xfId="1" applyNumberFormat="1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" xfId="1" applyNumberFormat="1" applyFont="1" applyFill="1" applyBorder="1" applyAlignment="1">
      <alignment horizontal="center" vertical="center" wrapText="1"/>
    </xf>
    <xf numFmtId="1" fontId="3" fillId="0" borderId="1" xfId="1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/>
    </xf>
    <xf numFmtId="2" fontId="5" fillId="0" borderId="0" xfId="1" applyNumberFormat="1" applyFont="1" applyFill="1" applyBorder="1" applyAlignment="1">
      <alignment horizontal="center" vertical="center"/>
    </xf>
    <xf numFmtId="1" fontId="5" fillId="0" borderId="0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</cellXfs>
  <cellStyles count="3">
    <cellStyle name="Comma" xfId="1" builtinId="3"/>
    <cellStyle name="Normal" xfId="0" builtinId="0"/>
    <cellStyle name="Normal 2 2" xfId="2" xr:uid="{4C9ABCE0-DE0E-40CC-9FE3-15F4DD800425}"/>
  </cellStyles>
  <dxfs count="46">
    <dxf>
      <font>
        <color theme="2" tint="-0.24994659260841701"/>
      </font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CC"/>
        </patternFill>
      </fill>
    </dxf>
    <dxf>
      <font>
        <color theme="2" tint="-0.24994659260841701"/>
      </font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ont>
        <color theme="2" tint="-0.24994659260841701"/>
      </font>
      <fill>
        <patternFill>
          <bgColor theme="0" tint="-0.14996795556505021"/>
        </patternFill>
      </fill>
    </dxf>
    <dxf>
      <font>
        <color theme="2" tint="-0.24994659260841701"/>
      </font>
      <fill>
        <patternFill>
          <bgColor theme="0" tint="-0.149967955565050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5" formatCode="0.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5" formatCode="0.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5" formatCode="0.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"/>
        <family val="2"/>
        <scheme val="none"/>
      </font>
      <numFmt numFmtId="165" formatCode="0.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'All projects'!$AC$1</c:f>
              <c:strCache>
                <c:ptCount val="1"/>
                <c:pt idx="0">
                  <c:v>Terrestrial Proportion of Scaled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projects'!$A$2:$A$137</c:f>
              <c:strCache>
                <c:ptCount val="136"/>
                <c:pt idx="0">
                  <c:v>Anudol_Creek_A-8hr</c:v>
                </c:pt>
                <c:pt idx="1">
                  <c:v>Ball_Creek-8hr</c:v>
                </c:pt>
                <c:pt idx="2">
                  <c:v>Batt_VI</c:v>
                </c:pt>
                <c:pt idx="3">
                  <c:v>BC18</c:v>
                </c:pt>
                <c:pt idx="4">
                  <c:v>BC19</c:v>
                </c:pt>
                <c:pt idx="5">
                  <c:v>BC20</c:v>
                </c:pt>
                <c:pt idx="6">
                  <c:v>BC21</c:v>
                </c:pt>
                <c:pt idx="7">
                  <c:v>BC22</c:v>
                </c:pt>
                <c:pt idx="8">
                  <c:v>BC23</c:v>
                </c:pt>
                <c:pt idx="9">
                  <c:v>Bookhout 2</c:v>
                </c:pt>
                <c:pt idx="10">
                  <c:v>Canoe Creek - Valemount</c:v>
                </c:pt>
                <c:pt idx="11">
                  <c:v>Chemainus_River-8hr</c:v>
                </c:pt>
                <c:pt idx="12">
                  <c:v>Clarke Lake</c:v>
                </c:pt>
                <c:pt idx="13">
                  <c:v>Elaho_River-8hr</c:v>
                </c:pt>
                <c:pt idx="14">
                  <c:v>Freda_Creek-8hr</c:v>
                </c:pt>
                <c:pt idx="15">
                  <c:v>Jedney Area</c:v>
                </c:pt>
                <c:pt idx="16">
                  <c:v>Kenyon - Stave</c:v>
                </c:pt>
                <c:pt idx="17">
                  <c:v>Kinskuch_River-8hr</c:v>
                </c:pt>
                <c:pt idx="18">
                  <c:v>Knight - Fourth</c:v>
                </c:pt>
                <c:pt idx="19">
                  <c:v>Lakelse Lake</c:v>
                </c:pt>
                <c:pt idx="20">
                  <c:v>Meager Creek</c:v>
                </c:pt>
                <c:pt idx="21">
                  <c:v>More_Creek-8hr</c:v>
                </c:pt>
                <c:pt idx="22">
                  <c:v>MSW 1</c:v>
                </c:pt>
                <c:pt idx="23">
                  <c:v>MSW 2</c:v>
                </c:pt>
                <c:pt idx="24">
                  <c:v>MSW 3</c:v>
                </c:pt>
                <c:pt idx="25">
                  <c:v>Mt. Cayley</c:v>
                </c:pt>
                <c:pt idx="26">
                  <c:v>Nahatlatch_River-8hr</c:v>
                </c:pt>
                <c:pt idx="27">
                  <c:v>Nass_River-8hr</c:v>
                </c:pt>
                <c:pt idx="28">
                  <c:v>NC01</c:v>
                </c:pt>
                <c:pt idx="29">
                  <c:v>NC02</c:v>
                </c:pt>
                <c:pt idx="30">
                  <c:v>NC07</c:v>
                </c:pt>
                <c:pt idx="31">
                  <c:v>NC08</c:v>
                </c:pt>
                <c:pt idx="32">
                  <c:v>NC09</c:v>
                </c:pt>
                <c:pt idx="33">
                  <c:v>NC10</c:v>
                </c:pt>
                <c:pt idx="34">
                  <c:v>NC12</c:v>
                </c:pt>
                <c:pt idx="35">
                  <c:v>Nimpkish_River_B-8hr</c:v>
                </c:pt>
                <c:pt idx="36">
                  <c:v>PC06</c:v>
                </c:pt>
                <c:pt idx="37">
                  <c:v>PC09</c:v>
                </c:pt>
                <c:pt idx="38">
                  <c:v>PC10</c:v>
                </c:pt>
                <c:pt idx="39">
                  <c:v>PC11</c:v>
                </c:pt>
                <c:pt idx="40">
                  <c:v>PC12</c:v>
                </c:pt>
                <c:pt idx="41">
                  <c:v>PC13</c:v>
                </c:pt>
                <c:pt idx="42">
                  <c:v>PC14</c:v>
                </c:pt>
                <c:pt idx="43">
                  <c:v>PC15</c:v>
                </c:pt>
                <c:pt idx="44">
                  <c:v>PC16</c:v>
                </c:pt>
                <c:pt idx="45">
                  <c:v>PC17</c:v>
                </c:pt>
                <c:pt idx="46">
                  <c:v>PC18</c:v>
                </c:pt>
                <c:pt idx="47">
                  <c:v>PC19</c:v>
                </c:pt>
                <c:pt idx="48">
                  <c:v>PC20</c:v>
                </c:pt>
                <c:pt idx="49">
                  <c:v>PC21</c:v>
                </c:pt>
                <c:pt idx="50">
                  <c:v>PC25</c:v>
                </c:pt>
                <c:pt idx="51">
                  <c:v>PC26</c:v>
                </c:pt>
                <c:pt idx="52">
                  <c:v>PC27</c:v>
                </c:pt>
                <c:pt idx="53">
                  <c:v>PC28</c:v>
                </c:pt>
                <c:pt idx="54">
                  <c:v>PC32</c:v>
                </c:pt>
                <c:pt idx="55">
                  <c:v>PC34</c:v>
                </c:pt>
                <c:pt idx="56">
                  <c:v>PC36</c:v>
                </c:pt>
                <c:pt idx="57">
                  <c:v>PC37</c:v>
                </c:pt>
                <c:pt idx="58">
                  <c:v>PC38</c:v>
                </c:pt>
                <c:pt idx="59">
                  <c:v>PC39</c:v>
                </c:pt>
                <c:pt idx="60">
                  <c:v>PC40</c:v>
                </c:pt>
                <c:pt idx="61">
                  <c:v>PC41</c:v>
                </c:pt>
                <c:pt idx="62">
                  <c:v>PC42</c:v>
                </c:pt>
                <c:pt idx="63">
                  <c:v>PC46</c:v>
                </c:pt>
                <c:pt idx="64">
                  <c:v>PC48</c:v>
                </c:pt>
                <c:pt idx="65">
                  <c:v>Pebble Creek</c:v>
                </c:pt>
                <c:pt idx="66">
                  <c:v>Quimper - Bulson</c:v>
                </c:pt>
                <c:pt idx="67">
                  <c:v>ROR_5018</c:v>
                </c:pt>
                <c:pt idx="68">
                  <c:v>ROR_5101</c:v>
                </c:pt>
                <c:pt idx="69">
                  <c:v>ROR_5332</c:v>
                </c:pt>
                <c:pt idx="70">
                  <c:v>SI01</c:v>
                </c:pt>
                <c:pt idx="71">
                  <c:v>SI03</c:v>
                </c:pt>
                <c:pt idx="72">
                  <c:v>SI04</c:v>
                </c:pt>
                <c:pt idx="73">
                  <c:v>SI05</c:v>
                </c:pt>
                <c:pt idx="74">
                  <c:v>SI06</c:v>
                </c:pt>
                <c:pt idx="75">
                  <c:v>SI10</c:v>
                </c:pt>
                <c:pt idx="76">
                  <c:v>SI11</c:v>
                </c:pt>
                <c:pt idx="77">
                  <c:v>SI12</c:v>
                </c:pt>
                <c:pt idx="78">
                  <c:v>SI13</c:v>
                </c:pt>
                <c:pt idx="79">
                  <c:v>SI14</c:v>
                </c:pt>
                <c:pt idx="80">
                  <c:v>SI15</c:v>
                </c:pt>
                <c:pt idx="81">
                  <c:v>SI18</c:v>
                </c:pt>
                <c:pt idx="82">
                  <c:v>SI19</c:v>
                </c:pt>
                <c:pt idx="83">
                  <c:v>SI20</c:v>
                </c:pt>
                <c:pt idx="84">
                  <c:v>SI22</c:v>
                </c:pt>
                <c:pt idx="85">
                  <c:v>SI23</c:v>
                </c:pt>
                <c:pt idx="86">
                  <c:v>SI28</c:v>
                </c:pt>
                <c:pt idx="87">
                  <c:v>SI29</c:v>
                </c:pt>
                <c:pt idx="88">
                  <c:v>SI30</c:v>
                </c:pt>
                <c:pt idx="89">
                  <c:v>SI37</c:v>
                </c:pt>
                <c:pt idx="90">
                  <c:v>Silverhope_Creek-8hr</c:v>
                </c:pt>
                <c:pt idx="91">
                  <c:v>Siwash_Creek-8hr</c:v>
                </c:pt>
                <c:pt idx="92">
                  <c:v>Sloquet Creek</c:v>
                </c:pt>
                <c:pt idx="93">
                  <c:v>Solar69283</c:v>
                </c:pt>
                <c:pt idx="94">
                  <c:v>Solar69284</c:v>
                </c:pt>
                <c:pt idx="95">
                  <c:v>Solar70163</c:v>
                </c:pt>
                <c:pt idx="96">
                  <c:v>Solar70993</c:v>
                </c:pt>
                <c:pt idx="97">
                  <c:v>Solar78421</c:v>
                </c:pt>
                <c:pt idx="98">
                  <c:v>South_Creek-8hr</c:v>
                </c:pt>
                <c:pt idx="99">
                  <c:v>Spuzzum_Creek-8hr</c:v>
                </c:pt>
                <c:pt idx="100">
                  <c:v>Squamish_River_B-8hr</c:v>
                </c:pt>
                <c:pt idx="101">
                  <c:v>T_2L129</c:v>
                </c:pt>
                <c:pt idx="102">
                  <c:v>T_5L003</c:v>
                </c:pt>
                <c:pt idx="103">
                  <c:v>T_5L007</c:v>
                </c:pt>
                <c:pt idx="104">
                  <c:v>T_5L013</c:v>
                </c:pt>
                <c:pt idx="105">
                  <c:v>T_5L042</c:v>
                </c:pt>
                <c:pt idx="106">
                  <c:v>T_5L061</c:v>
                </c:pt>
                <c:pt idx="107">
                  <c:v>T_5L062</c:v>
                </c:pt>
                <c:pt idx="108">
                  <c:v>T_5L063</c:v>
                </c:pt>
                <c:pt idx="109">
                  <c:v>Upper Clore - Storage for 16 hrs of generation</c:v>
                </c:pt>
                <c:pt idx="110">
                  <c:v>Upper Deserted - Un-named</c:v>
                </c:pt>
                <c:pt idx="111">
                  <c:v>Upper Misery - Lower Misery</c:v>
                </c:pt>
                <c:pt idx="112">
                  <c:v>Upper Vancouver - Lower Vancouver</c:v>
                </c:pt>
                <c:pt idx="113">
                  <c:v>VI02</c:v>
                </c:pt>
                <c:pt idx="114">
                  <c:v>VI04</c:v>
                </c:pt>
                <c:pt idx="115">
                  <c:v>VI05</c:v>
                </c:pt>
                <c:pt idx="116">
                  <c:v>VI06</c:v>
                </c:pt>
                <c:pt idx="117">
                  <c:v>VI07</c:v>
                </c:pt>
                <c:pt idx="118">
                  <c:v>VI09</c:v>
                </c:pt>
                <c:pt idx="119">
                  <c:v>VI11</c:v>
                </c:pt>
                <c:pt idx="120">
                  <c:v>VI12</c:v>
                </c:pt>
                <c:pt idx="121">
                  <c:v>VI13</c:v>
                </c:pt>
                <c:pt idx="122">
                  <c:v>VI14</c:v>
                </c:pt>
                <c:pt idx="123">
                  <c:v>VI15</c:v>
                </c:pt>
                <c:pt idx="124">
                  <c:v>WBBio_CB_RR</c:v>
                </c:pt>
                <c:pt idx="125">
                  <c:v>WBBio_LM_RR</c:v>
                </c:pt>
                <c:pt idx="126">
                  <c:v>WBBio_LM_ST_1</c:v>
                </c:pt>
                <c:pt idx="127">
                  <c:v>WBBio_LM_ST_2</c:v>
                </c:pt>
                <c:pt idx="128">
                  <c:v>WBBio_NE_ST_1</c:v>
                </c:pt>
                <c:pt idx="129">
                  <c:v>WBBio_NE_ST_2</c:v>
                </c:pt>
                <c:pt idx="130">
                  <c:v>WBBio_NE_ST_3</c:v>
                </c:pt>
                <c:pt idx="131">
                  <c:v>WBBio_NW_ST</c:v>
                </c:pt>
                <c:pt idx="132">
                  <c:v>WBBio_SP_RR</c:v>
                </c:pt>
                <c:pt idx="133">
                  <c:v>WBBio_SP_ST</c:v>
                </c:pt>
                <c:pt idx="134">
                  <c:v>WBBio_WPR_PL</c:v>
                </c:pt>
                <c:pt idx="135">
                  <c:v>Zymoetz_River-8hr</c:v>
                </c:pt>
              </c:strCache>
            </c:strRef>
          </c:cat>
          <c:val>
            <c:numRef>
              <c:f>'All projects'!$AC$2:$AC$137</c:f>
              <c:numCache>
                <c:formatCode>0.0000</c:formatCode>
                <c:ptCount val="136"/>
                <c:pt idx="0">
                  <c:v>2.333985063773495E-2</c:v>
                </c:pt>
                <c:pt idx="1">
                  <c:v>3.0879206972827609E-2</c:v>
                </c:pt>
                <c:pt idx="2">
                  <c:v>2.3489942781901064E-3</c:v>
                </c:pt>
                <c:pt idx="3">
                  <c:v>3.6539374029131766E-2</c:v>
                </c:pt>
                <c:pt idx="4">
                  <c:v>0.10191755462481634</c:v>
                </c:pt>
                <c:pt idx="5">
                  <c:v>0.17205237583023753</c:v>
                </c:pt>
                <c:pt idx="6">
                  <c:v>9.8326131613669349E-2</c:v>
                </c:pt>
                <c:pt idx="7">
                  <c:v>3.5745206574220235E-2</c:v>
                </c:pt>
                <c:pt idx="8">
                  <c:v>6.9521419248706195E-2</c:v>
                </c:pt>
                <c:pt idx="9">
                  <c:v>2.7390814876853176E-2</c:v>
                </c:pt>
                <c:pt idx="10">
                  <c:v>1.856061695182331E-2</c:v>
                </c:pt>
                <c:pt idx="11">
                  <c:v>6.5903377767489025E-4</c:v>
                </c:pt>
                <c:pt idx="12">
                  <c:v>0.16239404772524699</c:v>
                </c:pt>
                <c:pt idx="13">
                  <c:v>3.9696675019727623E-2</c:v>
                </c:pt>
                <c:pt idx="14">
                  <c:v>1.2229044666881454E-2</c:v>
                </c:pt>
                <c:pt idx="15">
                  <c:v>0.14558225307538375</c:v>
                </c:pt>
                <c:pt idx="16">
                  <c:v>4.1983924473977106E-2</c:v>
                </c:pt>
                <c:pt idx="17">
                  <c:v>8.4835667840617024E-2</c:v>
                </c:pt>
                <c:pt idx="18">
                  <c:v>5.5846602019528825E-2</c:v>
                </c:pt>
                <c:pt idx="19">
                  <c:v>1.5120834313263627E-2</c:v>
                </c:pt>
                <c:pt idx="20">
                  <c:v>0.10278029876876522</c:v>
                </c:pt>
                <c:pt idx="21">
                  <c:v>2.3260264324369097E-2</c:v>
                </c:pt>
                <c:pt idx="22">
                  <c:v>4.4993447061769656E-3</c:v>
                </c:pt>
                <c:pt idx="23">
                  <c:v>7.3213203095375545E-3</c:v>
                </c:pt>
                <c:pt idx="24">
                  <c:v>4.7891681516143245E-2</c:v>
                </c:pt>
                <c:pt idx="25">
                  <c:v>8.9384412092204629E-2</c:v>
                </c:pt>
                <c:pt idx="26">
                  <c:v>9.0580406260052745E-2</c:v>
                </c:pt>
                <c:pt idx="27">
                  <c:v>5.011100552029446E-2</c:v>
                </c:pt>
                <c:pt idx="28">
                  <c:v>0.17213981387345373</c:v>
                </c:pt>
                <c:pt idx="29">
                  <c:v>4.1551609948670083E-2</c:v>
                </c:pt>
                <c:pt idx="30">
                  <c:v>2.7501169158208549E-2</c:v>
                </c:pt>
                <c:pt idx="31">
                  <c:v>1.9381854197677319E-2</c:v>
                </c:pt>
                <c:pt idx="32">
                  <c:v>3.2259021318122361E-2</c:v>
                </c:pt>
                <c:pt idx="33">
                  <c:v>3.0904715879195917E-2</c:v>
                </c:pt>
                <c:pt idx="34">
                  <c:v>5.4701293901184195E-2</c:v>
                </c:pt>
                <c:pt idx="35">
                  <c:v>2.4953854191779304E-3</c:v>
                </c:pt>
                <c:pt idx="36">
                  <c:v>0.10076774927153398</c:v>
                </c:pt>
                <c:pt idx="37">
                  <c:v>9.3009429202586189E-2</c:v>
                </c:pt>
                <c:pt idx="38">
                  <c:v>0.11536096945640227</c:v>
                </c:pt>
                <c:pt idx="39">
                  <c:v>0.15838524199178849</c:v>
                </c:pt>
                <c:pt idx="40">
                  <c:v>6.828708430988456E-2</c:v>
                </c:pt>
                <c:pt idx="41">
                  <c:v>0.12226829225735883</c:v>
                </c:pt>
                <c:pt idx="42">
                  <c:v>2.3341779779497869E-2</c:v>
                </c:pt>
                <c:pt idx="43">
                  <c:v>1.8889345165730483E-2</c:v>
                </c:pt>
                <c:pt idx="44">
                  <c:v>5.0491169322861421E-2</c:v>
                </c:pt>
                <c:pt idx="45">
                  <c:v>9.6479119682234729E-2</c:v>
                </c:pt>
                <c:pt idx="46">
                  <c:v>1.3229390683646066E-2</c:v>
                </c:pt>
                <c:pt idx="47">
                  <c:v>8.1537412939798271E-2</c:v>
                </c:pt>
                <c:pt idx="48">
                  <c:v>4.6991865902775688E-2</c:v>
                </c:pt>
                <c:pt idx="49">
                  <c:v>9.6083424445347176E-2</c:v>
                </c:pt>
                <c:pt idx="50">
                  <c:v>4.0427684585076021E-2</c:v>
                </c:pt>
                <c:pt idx="51">
                  <c:v>8.0699907376620333E-2</c:v>
                </c:pt>
                <c:pt idx="52">
                  <c:v>2.1424581492968955E-2</c:v>
                </c:pt>
                <c:pt idx="53">
                  <c:v>7.487964981530619E-2</c:v>
                </c:pt>
                <c:pt idx="54">
                  <c:v>2.3563170299965575E-3</c:v>
                </c:pt>
                <c:pt idx="55">
                  <c:v>2.708295088405072E-2</c:v>
                </c:pt>
                <c:pt idx="56">
                  <c:v>7.6476155930685588E-2</c:v>
                </c:pt>
                <c:pt idx="57">
                  <c:v>6.3216955706167879E-2</c:v>
                </c:pt>
                <c:pt idx="58">
                  <c:v>2.2534255782571719E-2</c:v>
                </c:pt>
                <c:pt idx="59">
                  <c:v>6.6787231883085663E-2</c:v>
                </c:pt>
                <c:pt idx="60">
                  <c:v>4.6586402081802016E-2</c:v>
                </c:pt>
                <c:pt idx="61">
                  <c:v>3.451863735255889E-2</c:v>
                </c:pt>
                <c:pt idx="62">
                  <c:v>2.2053469420154057E-2</c:v>
                </c:pt>
                <c:pt idx="63">
                  <c:v>6.7073076627231073E-3</c:v>
                </c:pt>
                <c:pt idx="64">
                  <c:v>3.8231928058003031E-2</c:v>
                </c:pt>
                <c:pt idx="65">
                  <c:v>0.1024190577580129</c:v>
                </c:pt>
                <c:pt idx="66">
                  <c:v>9.6272001124554502E-2</c:v>
                </c:pt>
                <c:pt idx="67">
                  <c:v>1.4191970985707887E-2</c:v>
                </c:pt>
                <c:pt idx="68">
                  <c:v>4.4715626072854724E-2</c:v>
                </c:pt>
                <c:pt idx="69">
                  <c:v>5.070696287471122E-3</c:v>
                </c:pt>
                <c:pt idx="70">
                  <c:v>8.8278336819304803E-2</c:v>
                </c:pt>
                <c:pt idx="71">
                  <c:v>8.6927066399585001E-2</c:v>
                </c:pt>
                <c:pt idx="72">
                  <c:v>4.2264030942942378E-2</c:v>
                </c:pt>
                <c:pt idx="73">
                  <c:v>1.7486097277403464E-2</c:v>
                </c:pt>
                <c:pt idx="74">
                  <c:v>3.2773430041087036E-2</c:v>
                </c:pt>
                <c:pt idx="75">
                  <c:v>6.412297652074736E-2</c:v>
                </c:pt>
                <c:pt idx="76">
                  <c:v>1.1188323064646894E-2</c:v>
                </c:pt>
                <c:pt idx="77">
                  <c:v>5.5243460147986069E-2</c:v>
                </c:pt>
                <c:pt idx="78">
                  <c:v>0.165593449470125</c:v>
                </c:pt>
                <c:pt idx="79">
                  <c:v>6.818217463181038E-2</c:v>
                </c:pt>
                <c:pt idx="80">
                  <c:v>0.11262992769773275</c:v>
                </c:pt>
                <c:pt idx="81">
                  <c:v>9.6442085075397491E-2</c:v>
                </c:pt>
                <c:pt idx="82">
                  <c:v>2.9532518571982917E-2</c:v>
                </c:pt>
                <c:pt idx="83">
                  <c:v>4.1106066671630824E-2</c:v>
                </c:pt>
                <c:pt idx="84">
                  <c:v>6.6935167566236535E-3</c:v>
                </c:pt>
                <c:pt idx="85">
                  <c:v>3.6568418057061805E-2</c:v>
                </c:pt>
                <c:pt idx="86">
                  <c:v>4.8240426111781608E-2</c:v>
                </c:pt>
                <c:pt idx="87">
                  <c:v>5.2464300432987887E-2</c:v>
                </c:pt>
                <c:pt idx="88">
                  <c:v>5.3979825600669627E-2</c:v>
                </c:pt>
                <c:pt idx="89">
                  <c:v>1.9121456553638623E-2</c:v>
                </c:pt>
                <c:pt idx="90">
                  <c:v>2.6759567744454829E-2</c:v>
                </c:pt>
                <c:pt idx="91">
                  <c:v>3.2444859107527417E-2</c:v>
                </c:pt>
                <c:pt idx="92">
                  <c:v>9.3096388032243467E-3</c:v>
                </c:pt>
                <c:pt idx="93">
                  <c:v>4.359307445479628E-2</c:v>
                </c:pt>
                <c:pt idx="94">
                  <c:v>3.9391674020751673E-2</c:v>
                </c:pt>
                <c:pt idx="95">
                  <c:v>4.0835999112349045E-2</c:v>
                </c:pt>
                <c:pt idx="96">
                  <c:v>0.16551802862846376</c:v>
                </c:pt>
                <c:pt idx="97">
                  <c:v>2.8937323044249598E-2</c:v>
                </c:pt>
                <c:pt idx="98">
                  <c:v>7.543926066440626E-2</c:v>
                </c:pt>
                <c:pt idx="99">
                  <c:v>1.5486216220666296E-3</c:v>
                </c:pt>
                <c:pt idx="100">
                  <c:v>3.7074946788863673E-2</c:v>
                </c:pt>
                <c:pt idx="101">
                  <c:v>0.11450347208654744</c:v>
                </c:pt>
                <c:pt idx="102">
                  <c:v>0.25241701802850558</c:v>
                </c:pt>
                <c:pt idx="103">
                  <c:v>0.11080472981325172</c:v>
                </c:pt>
                <c:pt idx="104">
                  <c:v>0.48742715646715906</c:v>
                </c:pt>
                <c:pt idx="105">
                  <c:v>0.32706743173725733</c:v>
                </c:pt>
                <c:pt idx="106">
                  <c:v>0.2227324413080122</c:v>
                </c:pt>
                <c:pt idx="107">
                  <c:v>7.6074759281199333E-2</c:v>
                </c:pt>
                <c:pt idx="108">
                  <c:v>0.15789718141329664</c:v>
                </c:pt>
                <c:pt idx="109">
                  <c:v>7.1579232309708613E-2</c:v>
                </c:pt>
                <c:pt idx="110">
                  <c:v>6.3589218628775868E-2</c:v>
                </c:pt>
                <c:pt idx="111">
                  <c:v>3.7088573656475644E-2</c:v>
                </c:pt>
                <c:pt idx="112">
                  <c:v>5.9758557463972364E-2</c:v>
                </c:pt>
                <c:pt idx="113">
                  <c:v>0.10722661050775259</c:v>
                </c:pt>
                <c:pt idx="114">
                  <c:v>7.4168756897910568E-2</c:v>
                </c:pt>
                <c:pt idx="115">
                  <c:v>0.10178537769523838</c:v>
                </c:pt>
                <c:pt idx="116">
                  <c:v>7.8589144903612962E-2</c:v>
                </c:pt>
                <c:pt idx="117">
                  <c:v>6.5280767537926068E-2</c:v>
                </c:pt>
                <c:pt idx="118">
                  <c:v>9.5254888776990482E-2</c:v>
                </c:pt>
                <c:pt idx="119">
                  <c:v>7.7200874282131971E-3</c:v>
                </c:pt>
                <c:pt idx="120">
                  <c:v>7.5709782862192695E-3</c:v>
                </c:pt>
                <c:pt idx="121">
                  <c:v>6.2741895331403221E-3</c:v>
                </c:pt>
                <c:pt idx="122">
                  <c:v>1.155313605954241E-2</c:v>
                </c:pt>
                <c:pt idx="123">
                  <c:v>2.7416901296997649E-2</c:v>
                </c:pt>
                <c:pt idx="124">
                  <c:v>7.3131368164540814E-2</c:v>
                </c:pt>
                <c:pt idx="125">
                  <c:v>1.1529344949470003E-2</c:v>
                </c:pt>
                <c:pt idx="126">
                  <c:v>1.1529344949470003E-2</c:v>
                </c:pt>
                <c:pt idx="127">
                  <c:v>1.1529344949470003E-2</c:v>
                </c:pt>
                <c:pt idx="128">
                  <c:v>0.1866356185430581</c:v>
                </c:pt>
                <c:pt idx="129">
                  <c:v>0.1866356185430581</c:v>
                </c:pt>
                <c:pt idx="130">
                  <c:v>0.1866356185430581</c:v>
                </c:pt>
                <c:pt idx="131">
                  <c:v>6.4881055508412416E-2</c:v>
                </c:pt>
                <c:pt idx="132">
                  <c:v>7.0552523403438593E-6</c:v>
                </c:pt>
                <c:pt idx="133">
                  <c:v>7.0552523403438593E-6</c:v>
                </c:pt>
                <c:pt idx="134">
                  <c:v>3.1495844235441806E-3</c:v>
                </c:pt>
                <c:pt idx="135">
                  <c:v>3.8193050322092954E-3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6-4B82-B141-BEC30190A93D}"/>
            </c:ext>
          </c:extLst>
        </c:ser>
        <c:ser>
          <c:idx val="1"/>
          <c:order val="1"/>
          <c:tx>
            <c:strRef>
              <c:f>'All projects'!$AD$1</c:f>
              <c:strCache>
                <c:ptCount val="1"/>
                <c:pt idx="0">
                  <c:v>Freshwater Proportion of Scaled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projects'!$A$2:$A$137</c:f>
              <c:strCache>
                <c:ptCount val="136"/>
                <c:pt idx="0">
                  <c:v>Anudol_Creek_A-8hr</c:v>
                </c:pt>
                <c:pt idx="1">
                  <c:v>Ball_Creek-8hr</c:v>
                </c:pt>
                <c:pt idx="2">
                  <c:v>Batt_VI</c:v>
                </c:pt>
                <c:pt idx="3">
                  <c:v>BC18</c:v>
                </c:pt>
                <c:pt idx="4">
                  <c:v>BC19</c:v>
                </c:pt>
                <c:pt idx="5">
                  <c:v>BC20</c:v>
                </c:pt>
                <c:pt idx="6">
                  <c:v>BC21</c:v>
                </c:pt>
                <c:pt idx="7">
                  <c:v>BC22</c:v>
                </c:pt>
                <c:pt idx="8">
                  <c:v>BC23</c:v>
                </c:pt>
                <c:pt idx="9">
                  <c:v>Bookhout 2</c:v>
                </c:pt>
                <c:pt idx="10">
                  <c:v>Canoe Creek - Valemount</c:v>
                </c:pt>
                <c:pt idx="11">
                  <c:v>Chemainus_River-8hr</c:v>
                </c:pt>
                <c:pt idx="12">
                  <c:v>Clarke Lake</c:v>
                </c:pt>
                <c:pt idx="13">
                  <c:v>Elaho_River-8hr</c:v>
                </c:pt>
                <c:pt idx="14">
                  <c:v>Freda_Creek-8hr</c:v>
                </c:pt>
                <c:pt idx="15">
                  <c:v>Jedney Area</c:v>
                </c:pt>
                <c:pt idx="16">
                  <c:v>Kenyon - Stave</c:v>
                </c:pt>
                <c:pt idx="17">
                  <c:v>Kinskuch_River-8hr</c:v>
                </c:pt>
                <c:pt idx="18">
                  <c:v>Knight - Fourth</c:v>
                </c:pt>
                <c:pt idx="19">
                  <c:v>Lakelse Lake</c:v>
                </c:pt>
                <c:pt idx="20">
                  <c:v>Meager Creek</c:v>
                </c:pt>
                <c:pt idx="21">
                  <c:v>More_Creek-8hr</c:v>
                </c:pt>
                <c:pt idx="22">
                  <c:v>MSW 1</c:v>
                </c:pt>
                <c:pt idx="23">
                  <c:v>MSW 2</c:v>
                </c:pt>
                <c:pt idx="24">
                  <c:v>MSW 3</c:v>
                </c:pt>
                <c:pt idx="25">
                  <c:v>Mt. Cayley</c:v>
                </c:pt>
                <c:pt idx="26">
                  <c:v>Nahatlatch_River-8hr</c:v>
                </c:pt>
                <c:pt idx="27">
                  <c:v>Nass_River-8hr</c:v>
                </c:pt>
                <c:pt idx="28">
                  <c:v>NC01</c:v>
                </c:pt>
                <c:pt idx="29">
                  <c:v>NC02</c:v>
                </c:pt>
                <c:pt idx="30">
                  <c:v>NC07</c:v>
                </c:pt>
                <c:pt idx="31">
                  <c:v>NC08</c:v>
                </c:pt>
                <c:pt idx="32">
                  <c:v>NC09</c:v>
                </c:pt>
                <c:pt idx="33">
                  <c:v>NC10</c:v>
                </c:pt>
                <c:pt idx="34">
                  <c:v>NC12</c:v>
                </c:pt>
                <c:pt idx="35">
                  <c:v>Nimpkish_River_B-8hr</c:v>
                </c:pt>
                <c:pt idx="36">
                  <c:v>PC06</c:v>
                </c:pt>
                <c:pt idx="37">
                  <c:v>PC09</c:v>
                </c:pt>
                <c:pt idx="38">
                  <c:v>PC10</c:v>
                </c:pt>
                <c:pt idx="39">
                  <c:v>PC11</c:v>
                </c:pt>
                <c:pt idx="40">
                  <c:v>PC12</c:v>
                </c:pt>
                <c:pt idx="41">
                  <c:v>PC13</c:v>
                </c:pt>
                <c:pt idx="42">
                  <c:v>PC14</c:v>
                </c:pt>
                <c:pt idx="43">
                  <c:v>PC15</c:v>
                </c:pt>
                <c:pt idx="44">
                  <c:v>PC16</c:v>
                </c:pt>
                <c:pt idx="45">
                  <c:v>PC17</c:v>
                </c:pt>
                <c:pt idx="46">
                  <c:v>PC18</c:v>
                </c:pt>
                <c:pt idx="47">
                  <c:v>PC19</c:v>
                </c:pt>
                <c:pt idx="48">
                  <c:v>PC20</c:v>
                </c:pt>
                <c:pt idx="49">
                  <c:v>PC21</c:v>
                </c:pt>
                <c:pt idx="50">
                  <c:v>PC25</c:v>
                </c:pt>
                <c:pt idx="51">
                  <c:v>PC26</c:v>
                </c:pt>
                <c:pt idx="52">
                  <c:v>PC27</c:v>
                </c:pt>
                <c:pt idx="53">
                  <c:v>PC28</c:v>
                </c:pt>
                <c:pt idx="54">
                  <c:v>PC32</c:v>
                </c:pt>
                <c:pt idx="55">
                  <c:v>PC34</c:v>
                </c:pt>
                <c:pt idx="56">
                  <c:v>PC36</c:v>
                </c:pt>
                <c:pt idx="57">
                  <c:v>PC37</c:v>
                </c:pt>
                <c:pt idx="58">
                  <c:v>PC38</c:v>
                </c:pt>
                <c:pt idx="59">
                  <c:v>PC39</c:v>
                </c:pt>
                <c:pt idx="60">
                  <c:v>PC40</c:v>
                </c:pt>
                <c:pt idx="61">
                  <c:v>PC41</c:v>
                </c:pt>
                <c:pt idx="62">
                  <c:v>PC42</c:v>
                </c:pt>
                <c:pt idx="63">
                  <c:v>PC46</c:v>
                </c:pt>
                <c:pt idx="64">
                  <c:v>PC48</c:v>
                </c:pt>
                <c:pt idx="65">
                  <c:v>Pebble Creek</c:v>
                </c:pt>
                <c:pt idx="66">
                  <c:v>Quimper - Bulson</c:v>
                </c:pt>
                <c:pt idx="67">
                  <c:v>ROR_5018</c:v>
                </c:pt>
                <c:pt idx="68">
                  <c:v>ROR_5101</c:v>
                </c:pt>
                <c:pt idx="69">
                  <c:v>ROR_5332</c:v>
                </c:pt>
                <c:pt idx="70">
                  <c:v>SI01</c:v>
                </c:pt>
                <c:pt idx="71">
                  <c:v>SI03</c:v>
                </c:pt>
                <c:pt idx="72">
                  <c:v>SI04</c:v>
                </c:pt>
                <c:pt idx="73">
                  <c:v>SI05</c:v>
                </c:pt>
                <c:pt idx="74">
                  <c:v>SI06</c:v>
                </c:pt>
                <c:pt idx="75">
                  <c:v>SI10</c:v>
                </c:pt>
                <c:pt idx="76">
                  <c:v>SI11</c:v>
                </c:pt>
                <c:pt idx="77">
                  <c:v>SI12</c:v>
                </c:pt>
                <c:pt idx="78">
                  <c:v>SI13</c:v>
                </c:pt>
                <c:pt idx="79">
                  <c:v>SI14</c:v>
                </c:pt>
                <c:pt idx="80">
                  <c:v>SI15</c:v>
                </c:pt>
                <c:pt idx="81">
                  <c:v>SI18</c:v>
                </c:pt>
                <c:pt idx="82">
                  <c:v>SI19</c:v>
                </c:pt>
                <c:pt idx="83">
                  <c:v>SI20</c:v>
                </c:pt>
                <c:pt idx="84">
                  <c:v>SI22</c:v>
                </c:pt>
                <c:pt idx="85">
                  <c:v>SI23</c:v>
                </c:pt>
                <c:pt idx="86">
                  <c:v>SI28</c:v>
                </c:pt>
                <c:pt idx="87">
                  <c:v>SI29</c:v>
                </c:pt>
                <c:pt idx="88">
                  <c:v>SI30</c:v>
                </c:pt>
                <c:pt idx="89">
                  <c:v>SI37</c:v>
                </c:pt>
                <c:pt idx="90">
                  <c:v>Silverhope_Creek-8hr</c:v>
                </c:pt>
                <c:pt idx="91">
                  <c:v>Siwash_Creek-8hr</c:v>
                </c:pt>
                <c:pt idx="92">
                  <c:v>Sloquet Creek</c:v>
                </c:pt>
                <c:pt idx="93">
                  <c:v>Solar69283</c:v>
                </c:pt>
                <c:pt idx="94">
                  <c:v>Solar69284</c:v>
                </c:pt>
                <c:pt idx="95">
                  <c:v>Solar70163</c:v>
                </c:pt>
                <c:pt idx="96">
                  <c:v>Solar70993</c:v>
                </c:pt>
                <c:pt idx="97">
                  <c:v>Solar78421</c:v>
                </c:pt>
                <c:pt idx="98">
                  <c:v>South_Creek-8hr</c:v>
                </c:pt>
                <c:pt idx="99">
                  <c:v>Spuzzum_Creek-8hr</c:v>
                </c:pt>
                <c:pt idx="100">
                  <c:v>Squamish_River_B-8hr</c:v>
                </c:pt>
                <c:pt idx="101">
                  <c:v>T_2L129</c:v>
                </c:pt>
                <c:pt idx="102">
                  <c:v>T_5L003</c:v>
                </c:pt>
                <c:pt idx="103">
                  <c:v>T_5L007</c:v>
                </c:pt>
                <c:pt idx="104">
                  <c:v>T_5L013</c:v>
                </c:pt>
                <c:pt idx="105">
                  <c:v>T_5L042</c:v>
                </c:pt>
                <c:pt idx="106">
                  <c:v>T_5L061</c:v>
                </c:pt>
                <c:pt idx="107">
                  <c:v>T_5L062</c:v>
                </c:pt>
                <c:pt idx="108">
                  <c:v>T_5L063</c:v>
                </c:pt>
                <c:pt idx="109">
                  <c:v>Upper Clore - Storage for 16 hrs of generation</c:v>
                </c:pt>
                <c:pt idx="110">
                  <c:v>Upper Deserted - Un-named</c:v>
                </c:pt>
                <c:pt idx="111">
                  <c:v>Upper Misery - Lower Misery</c:v>
                </c:pt>
                <c:pt idx="112">
                  <c:v>Upper Vancouver - Lower Vancouver</c:v>
                </c:pt>
                <c:pt idx="113">
                  <c:v>VI02</c:v>
                </c:pt>
                <c:pt idx="114">
                  <c:v>VI04</c:v>
                </c:pt>
                <c:pt idx="115">
                  <c:v>VI05</c:v>
                </c:pt>
                <c:pt idx="116">
                  <c:v>VI06</c:v>
                </c:pt>
                <c:pt idx="117">
                  <c:v>VI07</c:v>
                </c:pt>
                <c:pt idx="118">
                  <c:v>VI09</c:v>
                </c:pt>
                <c:pt idx="119">
                  <c:v>VI11</c:v>
                </c:pt>
                <c:pt idx="120">
                  <c:v>VI12</c:v>
                </c:pt>
                <c:pt idx="121">
                  <c:v>VI13</c:v>
                </c:pt>
                <c:pt idx="122">
                  <c:v>VI14</c:v>
                </c:pt>
                <c:pt idx="123">
                  <c:v>VI15</c:v>
                </c:pt>
                <c:pt idx="124">
                  <c:v>WBBio_CB_RR</c:v>
                </c:pt>
                <c:pt idx="125">
                  <c:v>WBBio_LM_RR</c:v>
                </c:pt>
                <c:pt idx="126">
                  <c:v>WBBio_LM_ST_1</c:v>
                </c:pt>
                <c:pt idx="127">
                  <c:v>WBBio_LM_ST_2</c:v>
                </c:pt>
                <c:pt idx="128">
                  <c:v>WBBio_NE_ST_1</c:v>
                </c:pt>
                <c:pt idx="129">
                  <c:v>WBBio_NE_ST_2</c:v>
                </c:pt>
                <c:pt idx="130">
                  <c:v>WBBio_NE_ST_3</c:v>
                </c:pt>
                <c:pt idx="131">
                  <c:v>WBBio_NW_ST</c:v>
                </c:pt>
                <c:pt idx="132">
                  <c:v>WBBio_SP_RR</c:v>
                </c:pt>
                <c:pt idx="133">
                  <c:v>WBBio_SP_ST</c:v>
                </c:pt>
                <c:pt idx="134">
                  <c:v>WBBio_WPR_PL</c:v>
                </c:pt>
                <c:pt idx="135">
                  <c:v>Zymoetz_River-8hr</c:v>
                </c:pt>
              </c:strCache>
            </c:strRef>
          </c:cat>
          <c:val>
            <c:numRef>
              <c:f>'All projects'!$AD$2:$AD$137</c:f>
              <c:numCache>
                <c:formatCode>0.0000</c:formatCode>
                <c:ptCount val="136"/>
                <c:pt idx="0">
                  <c:v>9.4491083801672454E-2</c:v>
                </c:pt>
                <c:pt idx="1">
                  <c:v>6.9255009686257668E-2</c:v>
                </c:pt>
                <c:pt idx="2">
                  <c:v>1.2287527152363127E-3</c:v>
                </c:pt>
                <c:pt idx="3">
                  <c:v>0.13029891621553011</c:v>
                </c:pt>
                <c:pt idx="4">
                  <c:v>0.17479924023762114</c:v>
                </c:pt>
                <c:pt idx="5">
                  <c:v>0.18383246497378949</c:v>
                </c:pt>
                <c:pt idx="6">
                  <c:v>0.30432469348149149</c:v>
                </c:pt>
                <c:pt idx="7">
                  <c:v>0.24788475135082935</c:v>
                </c:pt>
                <c:pt idx="8">
                  <c:v>0.21777087300668665</c:v>
                </c:pt>
                <c:pt idx="9">
                  <c:v>5.1449448990419915E-2</c:v>
                </c:pt>
                <c:pt idx="10">
                  <c:v>5.8008260658754E-3</c:v>
                </c:pt>
                <c:pt idx="11">
                  <c:v>3.686258145708938E-3</c:v>
                </c:pt>
                <c:pt idx="12">
                  <c:v>0.30399219299674846</c:v>
                </c:pt>
                <c:pt idx="13">
                  <c:v>0.11230799817259897</c:v>
                </c:pt>
                <c:pt idx="14">
                  <c:v>3.7564051807163483E-2</c:v>
                </c:pt>
                <c:pt idx="15">
                  <c:v>0.16108677771150709</c:v>
                </c:pt>
                <c:pt idx="16">
                  <c:v>9.6814212835206817E-2</c:v>
                </c:pt>
                <c:pt idx="17">
                  <c:v>0.1376711744688778</c:v>
                </c:pt>
                <c:pt idx="18">
                  <c:v>0.12257008621174803</c:v>
                </c:pt>
                <c:pt idx="19">
                  <c:v>3.4775618695423414E-2</c:v>
                </c:pt>
                <c:pt idx="20">
                  <c:v>0.1353474802090944</c:v>
                </c:pt>
                <c:pt idx="21">
                  <c:v>6.2447695068794183E-2</c:v>
                </c:pt>
                <c:pt idx="22">
                  <c:v>1.9537168172257372E-2</c:v>
                </c:pt>
                <c:pt idx="23">
                  <c:v>7.372516291417875E-3</c:v>
                </c:pt>
                <c:pt idx="24">
                  <c:v>8.3555184636069264E-3</c:v>
                </c:pt>
                <c:pt idx="25">
                  <c:v>0.18921649074614044</c:v>
                </c:pt>
                <c:pt idx="26">
                  <c:v>9.7224358204025543E-2</c:v>
                </c:pt>
                <c:pt idx="27">
                  <c:v>0.11507728731703568</c:v>
                </c:pt>
                <c:pt idx="28">
                  <c:v>0.55747934405248056</c:v>
                </c:pt>
                <c:pt idx="29">
                  <c:v>0.22677820792314499</c:v>
                </c:pt>
                <c:pt idx="30">
                  <c:v>0.10351712033445667</c:v>
                </c:pt>
                <c:pt idx="31">
                  <c:v>0.11785437904121411</c:v>
                </c:pt>
                <c:pt idx="32">
                  <c:v>0.18297286643679159</c:v>
                </c:pt>
                <c:pt idx="33">
                  <c:v>6.4034776650847711E-2</c:v>
                </c:pt>
                <c:pt idx="34">
                  <c:v>0.13683046186111311</c:v>
                </c:pt>
                <c:pt idx="35">
                  <c:v>1.7116844798947799E-2</c:v>
                </c:pt>
                <c:pt idx="36">
                  <c:v>8.616790610953054E-2</c:v>
                </c:pt>
                <c:pt idx="37">
                  <c:v>9.9489416384237861E-2</c:v>
                </c:pt>
                <c:pt idx="38">
                  <c:v>0.11794851378672837</c:v>
                </c:pt>
                <c:pt idx="39">
                  <c:v>0.16543901982887407</c:v>
                </c:pt>
                <c:pt idx="40">
                  <c:v>7.215894555322995E-2</c:v>
                </c:pt>
                <c:pt idx="41">
                  <c:v>0.13834072182341009</c:v>
                </c:pt>
                <c:pt idx="42">
                  <c:v>6.4074133600316718E-2</c:v>
                </c:pt>
                <c:pt idx="43">
                  <c:v>5.0785959386773764E-2</c:v>
                </c:pt>
                <c:pt idx="44">
                  <c:v>8.0030519759941063E-2</c:v>
                </c:pt>
                <c:pt idx="45">
                  <c:v>0.10920421796402066</c:v>
                </c:pt>
                <c:pt idx="46">
                  <c:v>2.392947991566825E-2</c:v>
                </c:pt>
                <c:pt idx="47">
                  <c:v>0.11152212479851528</c:v>
                </c:pt>
                <c:pt idx="48">
                  <c:v>4.1006107638246365E-2</c:v>
                </c:pt>
                <c:pt idx="49">
                  <c:v>0.10995053778820091</c:v>
                </c:pt>
                <c:pt idx="50">
                  <c:v>6.6008571287440407E-2</c:v>
                </c:pt>
                <c:pt idx="51">
                  <c:v>9.4308675461095615E-2</c:v>
                </c:pt>
                <c:pt idx="52">
                  <c:v>1.8062664913973795E-2</c:v>
                </c:pt>
                <c:pt idx="53">
                  <c:v>9.0268954309321803E-2</c:v>
                </c:pt>
                <c:pt idx="54">
                  <c:v>1.3886519034485437E-2</c:v>
                </c:pt>
                <c:pt idx="55">
                  <c:v>3.5947492447471439E-2</c:v>
                </c:pt>
                <c:pt idx="56">
                  <c:v>2.2180067812404849E-2</c:v>
                </c:pt>
                <c:pt idx="57">
                  <c:v>9.0468933813726518E-2</c:v>
                </c:pt>
                <c:pt idx="58">
                  <c:v>2.6705281449495688E-2</c:v>
                </c:pt>
                <c:pt idx="59">
                  <c:v>7.4550024611916885E-2</c:v>
                </c:pt>
                <c:pt idx="60">
                  <c:v>4.1605566937901552E-2</c:v>
                </c:pt>
                <c:pt idx="61">
                  <c:v>3.5879579284900327E-2</c:v>
                </c:pt>
                <c:pt idx="62">
                  <c:v>2.3866997840098481E-2</c:v>
                </c:pt>
                <c:pt idx="63">
                  <c:v>1.2951778582692725E-2</c:v>
                </c:pt>
                <c:pt idx="64">
                  <c:v>2.0791540381606358E-2</c:v>
                </c:pt>
                <c:pt idx="65">
                  <c:v>0.23434980672948549</c:v>
                </c:pt>
                <c:pt idx="66">
                  <c:v>0.12556710009689948</c:v>
                </c:pt>
                <c:pt idx="67">
                  <c:v>9.7071464503668704E-3</c:v>
                </c:pt>
                <c:pt idx="68">
                  <c:v>0.17325413284832009</c:v>
                </c:pt>
                <c:pt idx="69">
                  <c:v>7.2128841111706648E-3</c:v>
                </c:pt>
                <c:pt idx="70">
                  <c:v>0.18382676356119079</c:v>
                </c:pt>
                <c:pt idx="71">
                  <c:v>0.10954256731168813</c:v>
                </c:pt>
                <c:pt idx="72">
                  <c:v>5.3623518032068981E-2</c:v>
                </c:pt>
                <c:pt idx="73">
                  <c:v>2.5660780203909061E-2</c:v>
                </c:pt>
                <c:pt idx="74">
                  <c:v>6.2911782681811801E-2</c:v>
                </c:pt>
                <c:pt idx="75">
                  <c:v>8.2423122471994875E-2</c:v>
                </c:pt>
                <c:pt idx="76">
                  <c:v>6.9155271828361939E-2</c:v>
                </c:pt>
                <c:pt idx="77">
                  <c:v>4.0063838618567396E-2</c:v>
                </c:pt>
                <c:pt idx="78">
                  <c:v>0.1838840603003023</c:v>
                </c:pt>
                <c:pt idx="79">
                  <c:v>4.3326938904203249E-2</c:v>
                </c:pt>
                <c:pt idx="80">
                  <c:v>0.15051385209798471</c:v>
                </c:pt>
                <c:pt idx="81">
                  <c:v>0.16045200405881596</c:v>
                </c:pt>
                <c:pt idx="82">
                  <c:v>6.3651799004562859E-2</c:v>
                </c:pt>
                <c:pt idx="83">
                  <c:v>5.1617861837570195E-2</c:v>
                </c:pt>
                <c:pt idx="84">
                  <c:v>2.1572060080109767E-2</c:v>
                </c:pt>
                <c:pt idx="85">
                  <c:v>0.11640362757291604</c:v>
                </c:pt>
                <c:pt idx="86">
                  <c:v>0.10824638064743965</c:v>
                </c:pt>
                <c:pt idx="87">
                  <c:v>9.4555175543299175E-2</c:v>
                </c:pt>
                <c:pt idx="88">
                  <c:v>9.534110175374963E-2</c:v>
                </c:pt>
                <c:pt idx="89">
                  <c:v>2.2240424145777257E-2</c:v>
                </c:pt>
                <c:pt idx="90">
                  <c:v>3.8951461072991113E-2</c:v>
                </c:pt>
                <c:pt idx="91">
                  <c:v>3.612532982794759E-2</c:v>
                </c:pt>
                <c:pt idx="92">
                  <c:v>1.7939789642450164E-2</c:v>
                </c:pt>
                <c:pt idx="93">
                  <c:v>2.4060010316607802E-2</c:v>
                </c:pt>
                <c:pt idx="94">
                  <c:v>2.5806227662811581E-2</c:v>
                </c:pt>
                <c:pt idx="95">
                  <c:v>2.6971871638593357E-2</c:v>
                </c:pt>
                <c:pt idx="96">
                  <c:v>0.11619727084191925</c:v>
                </c:pt>
                <c:pt idx="97">
                  <c:v>2.049654142973243E-2</c:v>
                </c:pt>
                <c:pt idx="98">
                  <c:v>0.132215143787414</c:v>
                </c:pt>
                <c:pt idx="99">
                  <c:v>3.3176323311380445E-3</c:v>
                </c:pt>
                <c:pt idx="100">
                  <c:v>0.11501125414611887</c:v>
                </c:pt>
                <c:pt idx="101">
                  <c:v>6.5341137387578352E-2</c:v>
                </c:pt>
                <c:pt idx="102">
                  <c:v>0.21516873109410356</c:v>
                </c:pt>
                <c:pt idx="103">
                  <c:v>0.1150688949359906</c:v>
                </c:pt>
                <c:pt idx="104">
                  <c:v>0.51257284353284105</c:v>
                </c:pt>
                <c:pt idx="105">
                  <c:v>0.4000372803573804</c:v>
                </c:pt>
                <c:pt idx="106">
                  <c:v>0.28514177471703672</c:v>
                </c:pt>
                <c:pt idx="107">
                  <c:v>0.27362098925898104</c:v>
                </c:pt>
                <c:pt idx="108">
                  <c:v>0.25251064898540665</c:v>
                </c:pt>
                <c:pt idx="109">
                  <c:v>9.2310404070415394E-2</c:v>
                </c:pt>
                <c:pt idx="110">
                  <c:v>0.15310258831844456</c:v>
                </c:pt>
                <c:pt idx="111">
                  <c:v>7.2908410984361169E-2</c:v>
                </c:pt>
                <c:pt idx="112">
                  <c:v>8.7248889023232537E-2</c:v>
                </c:pt>
                <c:pt idx="113">
                  <c:v>0.37707508686667324</c:v>
                </c:pt>
                <c:pt idx="114">
                  <c:v>0.3049587126800154</c:v>
                </c:pt>
                <c:pt idx="115">
                  <c:v>0.32934163183767101</c:v>
                </c:pt>
                <c:pt idx="116">
                  <c:v>0.29317999236698816</c:v>
                </c:pt>
                <c:pt idx="117">
                  <c:v>0.2339197555666799</c:v>
                </c:pt>
                <c:pt idx="118">
                  <c:v>0.3095258808498153</c:v>
                </c:pt>
                <c:pt idx="119">
                  <c:v>2.6616405765602646E-2</c:v>
                </c:pt>
                <c:pt idx="120">
                  <c:v>2.1798122318400795E-2</c:v>
                </c:pt>
                <c:pt idx="121">
                  <c:v>2.7972126727657042E-2</c:v>
                </c:pt>
                <c:pt idx="122">
                  <c:v>2.3346301589489939E-2</c:v>
                </c:pt>
                <c:pt idx="123">
                  <c:v>5.3181572542979935E-2</c:v>
                </c:pt>
                <c:pt idx="124">
                  <c:v>8.848972037765962E-2</c:v>
                </c:pt>
                <c:pt idx="125">
                  <c:v>8.2954263120682929E-3</c:v>
                </c:pt>
                <c:pt idx="126">
                  <c:v>8.2954263120682929E-3</c:v>
                </c:pt>
                <c:pt idx="127">
                  <c:v>8.2954263120682929E-3</c:v>
                </c:pt>
                <c:pt idx="128">
                  <c:v>0.32818694833610912</c:v>
                </c:pt>
                <c:pt idx="129">
                  <c:v>0.32818694833610912</c:v>
                </c:pt>
                <c:pt idx="130">
                  <c:v>0.32818694833610912</c:v>
                </c:pt>
                <c:pt idx="131">
                  <c:v>0.35585587910252892</c:v>
                </c:pt>
                <c:pt idx="132">
                  <c:v>1.2287527152363126E-4</c:v>
                </c:pt>
                <c:pt idx="133">
                  <c:v>1.2287527152363126E-4</c:v>
                </c:pt>
                <c:pt idx="134">
                  <c:v>7.0038904768469816E-3</c:v>
                </c:pt>
                <c:pt idx="135">
                  <c:v>3.1851113507998081E-2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6-4B82-B141-BEC30190A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1229408"/>
        <c:axId val="221225568"/>
      </c:barChart>
      <c:catAx>
        <c:axId val="221229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25568"/>
        <c:crosses val="autoZero"/>
        <c:auto val="1"/>
        <c:lblAlgn val="ctr"/>
        <c:lblOffset val="100"/>
        <c:noMultiLvlLbl val="0"/>
      </c:catAx>
      <c:valAx>
        <c:axId val="22122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2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71718</xdr:colOff>
      <xdr:row>45</xdr:row>
      <xdr:rowOff>87086</xdr:rowOff>
    </xdr:from>
    <xdr:to>
      <xdr:col>39</xdr:col>
      <xdr:colOff>376518</xdr:colOff>
      <xdr:row>76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AA6F38-538E-6A9F-A2C6-3D9120F0E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87D282-B447-4764-A9C5-BD326D24376D}" name="Table1" displayName="Table1" ref="A1:AE137" totalsRowShown="0" headerRowDxfId="45" dataDxfId="44" tableBorderDxfId="43">
  <autoFilter ref="A1:AE137" xr:uid="{7487D282-B447-4764-A9C5-BD326D24376D}"/>
  <sortState xmlns:xlrd2="http://schemas.microsoft.com/office/spreadsheetml/2017/richdata2" ref="A2:AE137">
    <sortCondition ref="A1:A137"/>
  </sortState>
  <tableColumns count="31">
    <tableColumn id="1" xr3:uid="{DAAD63E8-A842-434A-9E5F-23C179FCC6A5}" name="BC Hydro Names" dataDxfId="42"/>
    <tableColumn id="2" xr3:uid="{78DE7446-6DB5-4474-A9F0-6027A2E91A72}" name="Project Type" dataDxfId="41"/>
    <tableColumn id="3" xr3:uid="{86B5DED2-C44D-4900-80B0-72FD8A073162}" name="Region" dataDxfId="40"/>
    <tableColumn id="24" xr3:uid="{5C9A4829-A635-417D-99D7-5930371D2B0F}" name="In 2021?" dataDxfId="39"/>
    <tableColumn id="4" xr3:uid="{A5B63A59-D607-4B2C-9E2E-4BA726C588E8}" name="Latitude" dataDxfId="38"/>
    <tableColumn id="5" xr3:uid="{12B40F59-FA4D-42DB-BBAE-3C068151F3A7}" name="Longitude" dataDxfId="37"/>
    <tableColumn id="6" xr3:uid="{FB631301-F7A8-4F01-8A25-0AC44C05120D}" name="Installed Capacity (MW)" dataDxfId="36"/>
    <tableColumn id="7" xr3:uid="{450C8D47-6576-4DF4-8F8E-12D6EAECF3C4}" name="Dependable Generating Capacity (MW)" dataDxfId="35"/>
    <tableColumn id="8" xr3:uid="{ADB136BC-A8BF-4007-A88B-D80A12F0CF4E}" name="Effective Load-Carrying Capacity (MW)" dataDxfId="34"/>
    <tableColumn id="10" xr3:uid="{1BF6A5A1-CA05-4A0D-AB75-AC2A58D024E9}" name="Annual Firm Energy (GWh/yr)" dataDxfId="33"/>
    <tableColumn id="11" xr3:uid="{F80D1D4D-23A0-41B6-9E43-703178D7EC62}" name="UEC ($/MWh)" dataDxfId="32"/>
    <tableColumn id="12" xr3:uid="{F22D587B-9306-483E-ABFE-275918EDC782}" name="UCC ($/kW-yr)" dataDxfId="31"/>
    <tableColumn id="13" xr3:uid="{07A1EE1D-5689-45FA-A022-73422F5C8B88}" name="R1 Length (km)" dataDxfId="30"/>
    <tableColumn id="14" xr3:uid="{77106FD0-3E49-415B-8200-E55C32812EA9}" name="T1 Length (km)" dataDxfId="29"/>
    <tableColumn id="30" xr3:uid="{13D389FF-9114-433E-9443-8C05957BB7A0}" name="Linear Features (km)" dataDxfId="28">
      <calculatedColumnFormula>Table1[[#This Row],[R1 Length (km)]]+Table1[[#This Row],[T1 Length (km)]]</calculatedColumnFormula>
    </tableColumn>
    <tableColumn id="15" xr3:uid="{9C17B7DD-1C68-493A-ACF3-1F346727F440}" name="Line Voltage" dataDxfId="27"/>
    <tableColumn id="23" xr3:uid="{9523C191-202F-49D1-A00B-898F1C90B775}" name="Linear Area (ha)" dataDxfId="26">
      <calculatedColumnFormula>(Table1[[#This Row],[Linear Features (km)]]*0.4)*100</calculatedColumnFormula>
    </tableColumn>
    <tableColumn id="9" xr3:uid="{1AC91F17-0C60-405B-BFD1-C9F2FE6D06AD}" name="ATG (ha)" dataDxfId="25" dataCellStyle="Comma"/>
    <tableColumn id="31" xr3:uid="{7D3E405E-BA45-4E21-80D9-24E29B087A6E}" name="ATG/Linear Ratio" dataDxfId="24" dataCellStyle="Comma">
      <calculatedColumnFormula>Table1[[#This Row],[ATG (ha)]]/Table1[[#This Row],[Linear Area (ha)]]</calculatedColumnFormula>
    </tableColumn>
    <tableColumn id="17" xr3:uid="{81D99563-16B5-4625-9A76-95CC11F25013}" name="Plateau or Ridgeline - WIND" dataDxfId="23"/>
    <tableColumn id="16" xr3:uid="{F0179228-D88A-43CD-BCC3-D320BAD9A3EC}" name="Number of Turbines - WIND" dataDxfId="22" dataCellStyle="Comma"/>
    <tableColumn id="18" xr3:uid="{BD1F6288-65C7-49DD-AF15-5D96B4B6A259}" name="Footprint of Plant (ha) - SOLAR" dataDxfId="21" dataCellStyle="Comma"/>
    <tableColumn id="19" xr3:uid="{C270132B-9BD7-47D4-9629-60E0B9CD8CB5}" name="Footprint of Panels (ha) - SOLAR" dataDxfId="20" dataCellStyle="Comma"/>
    <tableColumn id="20" xr3:uid="{AD2CE6A5-4859-4EBD-A0CA-7B55EBCEEFD8}" name="Raw Terrestrial Score" dataDxfId="19"/>
    <tableColumn id="26" xr3:uid="{3EB508D6-4830-4E53-927E-AC9ED404856D}" name="Terrestrial % of Summed Score" dataDxfId="18">
      <calculatedColumnFormula>Table1[[#This Row],[Raw Terrestrial Score]]/Table1[[#This Row],[Summed Raw Scores]]</calculatedColumnFormula>
    </tableColumn>
    <tableColumn id="21" xr3:uid="{70D7E5C1-7F6D-4FDF-A711-BA80729BB28F}" name="Raw Freshwater Score" dataDxfId="17"/>
    <tableColumn id="27" xr3:uid="{5D2D2130-2F0B-42B9-A126-21C68F62BA79}" name="Freshwater % of Summed Score" dataDxfId="16">
      <calculatedColumnFormula>Table1[[#This Row],[Raw Freshwater Score]]/Table1[[#This Row],[Summed Raw Scores]]</calculatedColumnFormula>
    </tableColumn>
    <tableColumn id="22" xr3:uid="{663C1351-B6C8-4221-9ECD-FE5987E748FB}" name="Summed Raw Scores" dataDxfId="15">
      <calculatedColumnFormula>Table1[[#This Row],[Raw Terrestrial Score]]+Table1[[#This Row],[Raw Freshwater Score]]</calculatedColumnFormula>
    </tableColumn>
    <tableColumn id="28" xr3:uid="{8DD49517-7DAA-4FEE-9826-0C6758C2CEA0}" name="Terrestrial Proportion of Scaled Score" dataDxfId="14">
      <calculatedColumnFormula>Table1[[#This Row],[Terrestrial % of Summed Score]]*Table1[[#This Row],[Scaled Summed Score]]</calculatedColumnFormula>
    </tableColumn>
    <tableColumn id="29" xr3:uid="{1C47B4E4-6C3B-4B14-8A66-E129FC0A9D27}" name="Freshwater Proportion of Scaled Score" dataDxfId="13">
      <calculatedColumnFormula>Table1[[#This Row],[Freshwater % of Summed Score]]*Table1[[#This Row],[Scaled Summed Score]]</calculatedColumnFormula>
    </tableColumn>
    <tableColumn id="25" xr3:uid="{A7AC6D2B-83E7-4B7E-B674-14C716453015}" name="Scaled Summed Score" dataDxfId="12">
      <calculatedColumnFormula>Table1[[#This Row],[Summed Raw Scores]]/MAX(Table1[Summed Raw Scores])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1" zoomScale="81" zoomScaleNormal="90" workbookViewId="0">
      <pane xSplit="1" ySplit="1" topLeftCell="V2" activePane="bottomRight" state="frozen"/>
      <selection pane="topRight" activeCell="B1" sqref="B1"/>
      <selection pane="bottomLeft" activeCell="A2" sqref="A2"/>
      <selection pane="bottomRight" activeCell="AE136" sqref="AE136"/>
    </sheetView>
  </sheetViews>
  <sheetFormatPr defaultRowHeight="14.4" x14ac:dyDescent="0.3"/>
  <cols>
    <col min="1" max="1" width="41.6640625" style="19" bestFit="1" customWidth="1"/>
    <col min="2" max="2" width="20.88671875" bestFit="1" customWidth="1"/>
    <col min="3" max="4" width="16.44140625" customWidth="1"/>
    <col min="5" max="5" width="14.6640625" style="20" customWidth="1"/>
    <col min="6" max="6" width="16.109375" style="20" customWidth="1"/>
    <col min="7" max="7" width="14.6640625" style="23" customWidth="1"/>
    <col min="8" max="8" width="20" customWidth="1"/>
    <col min="9" max="9" width="20.109375" style="20" customWidth="1"/>
    <col min="10" max="10" width="17.88671875" style="23" customWidth="1"/>
    <col min="11" max="11" width="14.6640625" style="23" customWidth="1"/>
    <col min="12" max="12" width="15.21875" style="20" customWidth="1"/>
    <col min="13" max="13" width="15.6640625" style="20" customWidth="1"/>
    <col min="14" max="15" width="15.5546875" style="20" customWidth="1"/>
    <col min="16" max="16" width="13.21875" style="19" customWidth="1"/>
    <col min="17" max="17" width="17.44140625" style="20" bestFit="1" customWidth="1"/>
    <col min="18" max="18" width="14.6640625" bestFit="1" customWidth="1"/>
    <col min="19" max="19" width="17.21875" style="21" bestFit="1" customWidth="1"/>
    <col min="20" max="20" width="21.6640625" bestFit="1" customWidth="1"/>
    <col min="21" max="21" width="23" style="20" customWidth="1"/>
    <col min="22" max="22" width="24.109375" style="20" customWidth="1"/>
    <col min="23" max="23" width="13.88671875" style="20" bestFit="1" customWidth="1"/>
    <col min="24" max="24" width="20.5546875" style="22" bestFit="1" customWidth="1"/>
    <col min="25" max="25" width="20.5546875" style="22" customWidth="1"/>
    <col min="26" max="27" width="21.21875" style="22" customWidth="1"/>
    <col min="28" max="28" width="20.33203125" style="22" customWidth="1"/>
    <col min="29" max="30" width="20.33203125" style="21" customWidth="1"/>
    <col min="31" max="31" width="18" style="21" bestFit="1" customWidth="1"/>
    <col min="32" max="32" width="14.6640625" style="20" customWidth="1"/>
  </cols>
  <sheetData>
    <row r="1" spans="1:32" ht="43.2" x14ac:dyDescent="0.3">
      <c r="A1" s="4" t="s">
        <v>0</v>
      </c>
      <c r="B1" s="4" t="s">
        <v>1</v>
      </c>
      <c r="C1" s="4" t="s">
        <v>2</v>
      </c>
      <c r="D1" s="4" t="s">
        <v>181</v>
      </c>
      <c r="E1" s="5" t="s">
        <v>3</v>
      </c>
      <c r="F1" s="5" t="s">
        <v>4</v>
      </c>
      <c r="G1" s="5" t="s">
        <v>5</v>
      </c>
      <c r="H1" s="4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176</v>
      </c>
      <c r="P1" s="4" t="s">
        <v>13</v>
      </c>
      <c r="Q1" s="5" t="s">
        <v>179</v>
      </c>
      <c r="R1" s="5" t="s">
        <v>171</v>
      </c>
      <c r="S1" s="6" t="s">
        <v>180</v>
      </c>
      <c r="T1" s="4" t="s">
        <v>14</v>
      </c>
      <c r="U1" s="4" t="s">
        <v>170</v>
      </c>
      <c r="V1" s="5" t="s">
        <v>15</v>
      </c>
      <c r="W1" s="5" t="s">
        <v>16</v>
      </c>
      <c r="X1" s="7" t="s">
        <v>17</v>
      </c>
      <c r="Y1" s="7" t="s">
        <v>173</v>
      </c>
      <c r="Z1" s="7" t="s">
        <v>18</v>
      </c>
      <c r="AA1" s="7" t="s">
        <v>174</v>
      </c>
      <c r="AB1" s="7" t="s">
        <v>19</v>
      </c>
      <c r="AC1" s="6" t="s">
        <v>177</v>
      </c>
      <c r="AD1" s="6" t="s">
        <v>178</v>
      </c>
      <c r="AE1" s="6" t="s">
        <v>175</v>
      </c>
      <c r="AF1" s="5" t="s">
        <v>172</v>
      </c>
    </row>
    <row r="2" spans="1:32" x14ac:dyDescent="0.3">
      <c r="A2" s="8" t="s">
        <v>63</v>
      </c>
      <c r="B2" s="8" t="s">
        <v>64</v>
      </c>
      <c r="C2" s="8" t="s">
        <v>30</v>
      </c>
      <c r="D2" s="8" t="s">
        <v>182</v>
      </c>
      <c r="E2" s="9">
        <v>55.12</v>
      </c>
      <c r="F2" s="9">
        <v>-129.53</v>
      </c>
      <c r="G2" s="9">
        <v>160</v>
      </c>
      <c r="H2" s="9">
        <v>40</v>
      </c>
      <c r="I2" s="9">
        <v>3</v>
      </c>
      <c r="J2" s="9">
        <v>345</v>
      </c>
      <c r="K2" s="9">
        <v>92.74</v>
      </c>
      <c r="L2" s="9" t="s">
        <v>22</v>
      </c>
      <c r="M2" s="9">
        <v>6.1449999999999996</v>
      </c>
      <c r="N2" s="9">
        <v>41.758800000000001</v>
      </c>
      <c r="O2" s="9">
        <f>Table1[[#This Row],[R1 Length (km)]]+Table1[[#This Row],[T1 Length (km)]]</f>
        <v>47.903800000000004</v>
      </c>
      <c r="P2" s="8">
        <v>69</v>
      </c>
      <c r="Q2" s="9">
        <f>(Table1[[#This Row],[Linear Features (km)]]*0.4)*100</f>
        <v>1916.1520000000003</v>
      </c>
      <c r="R2" s="1">
        <v>56.9</v>
      </c>
      <c r="S2" s="3">
        <f>Table1[[#This Row],[ATG (ha)]]/Table1[[#This Row],[Linear Area (ha)]]</f>
        <v>2.9694930256054838E-2</v>
      </c>
      <c r="T2" s="2" t="s">
        <v>22</v>
      </c>
      <c r="U2" s="2" t="s">
        <v>22</v>
      </c>
      <c r="V2" s="1" t="s">
        <v>22</v>
      </c>
      <c r="W2" s="1" t="s">
        <v>22</v>
      </c>
      <c r="X2" s="10">
        <v>189.94749999999999</v>
      </c>
      <c r="Y2" s="10">
        <f>Table1[[#This Row],[Raw Terrestrial Score]]/Table1[[#This Row],[Summed Raw Scores]]</f>
        <v>0.19807914406158836</v>
      </c>
      <c r="Z2" s="10">
        <v>769</v>
      </c>
      <c r="AA2" s="10">
        <f>Table1[[#This Row],[Raw Freshwater Score]]/Table1[[#This Row],[Summed Raw Scores]]</f>
        <v>0.80192085593841167</v>
      </c>
      <c r="AB2" s="10">
        <f>Table1[[#This Row],[Raw Terrestrial Score]]+Table1[[#This Row],[Raw Freshwater Score]]</f>
        <v>958.94749999999999</v>
      </c>
      <c r="AC2" s="11">
        <f>Table1[[#This Row],[Terrestrial % of Summed Score]]*Table1[[#This Row],[Scaled Summed Score]]</f>
        <v>2.333985063773495E-2</v>
      </c>
      <c r="AD2" s="11">
        <f>Table1[[#This Row],[Freshwater % of Summed Score]]*Table1[[#This Row],[Scaled Summed Score]]</f>
        <v>9.4491083801672454E-2</v>
      </c>
      <c r="AE2" s="11">
        <f>Table1[[#This Row],[Summed Raw Scores]]/MAX(Table1[Summed Raw Scores])</f>
        <v>0.1178309344394074</v>
      </c>
      <c r="AF2" s="1"/>
    </row>
    <row r="3" spans="1:32" x14ac:dyDescent="0.3">
      <c r="A3" s="8" t="s">
        <v>65</v>
      </c>
      <c r="B3" s="8" t="s">
        <v>64</v>
      </c>
      <c r="C3" s="8" t="s">
        <v>30</v>
      </c>
      <c r="D3" s="8" t="s">
        <v>182</v>
      </c>
      <c r="E3" s="9">
        <v>57.26</v>
      </c>
      <c r="F3" s="9">
        <v>-130.32</v>
      </c>
      <c r="G3" s="9">
        <v>43.2</v>
      </c>
      <c r="H3" s="9">
        <v>40</v>
      </c>
      <c r="I3" s="9">
        <v>2</v>
      </c>
      <c r="J3" s="9">
        <v>46</v>
      </c>
      <c r="K3" s="9">
        <v>363.72</v>
      </c>
      <c r="L3" s="9" t="s">
        <v>22</v>
      </c>
      <c r="M3" s="9">
        <f>3797.0562748453/1000</f>
        <v>3.7970562748452998</v>
      </c>
      <c r="N3" s="9">
        <v>36.497100000000003</v>
      </c>
      <c r="O3" s="9">
        <f>Table1[[#This Row],[R1 Length (km)]]+Table1[[#This Row],[T1 Length (km)]]</f>
        <v>40.294156274845307</v>
      </c>
      <c r="P3" s="8">
        <v>69</v>
      </c>
      <c r="Q3" s="9">
        <f>(Table1[[#This Row],[Linear Features (km)]]*0.4)*100</f>
        <v>1611.7662509938125</v>
      </c>
      <c r="R3" s="1">
        <v>139.30000000000001</v>
      </c>
      <c r="S3" s="3">
        <f>Table1[[#This Row],[ATG (ha)]]/Table1[[#This Row],[Linear Area (ha)]]</f>
        <v>8.6426924446462286E-2</v>
      </c>
      <c r="T3" s="2" t="s">
        <v>22</v>
      </c>
      <c r="U3" s="2" t="s">
        <v>22</v>
      </c>
      <c r="V3" s="1" t="s">
        <v>22</v>
      </c>
      <c r="W3" s="1" t="s">
        <v>22</v>
      </c>
      <c r="X3" s="10">
        <v>251.30529999999999</v>
      </c>
      <c r="Y3" s="10">
        <f>Table1[[#This Row],[Raw Terrestrial Score]]/Table1[[#This Row],[Summed Raw Scores]]</f>
        <v>0.30837817484465146</v>
      </c>
      <c r="Z3" s="10">
        <v>563.62040000000002</v>
      </c>
      <c r="AA3" s="10">
        <f>Table1[[#This Row],[Raw Freshwater Score]]/Table1[[#This Row],[Summed Raw Scores]]</f>
        <v>0.69162182515534854</v>
      </c>
      <c r="AB3" s="10">
        <f>Table1[[#This Row],[Raw Terrestrial Score]]+Table1[[#This Row],[Raw Freshwater Score]]</f>
        <v>814.92570000000001</v>
      </c>
      <c r="AC3" s="11">
        <f>Table1[[#This Row],[Terrestrial % of Summed Score]]*Table1[[#This Row],[Scaled Summed Score]]</f>
        <v>3.0879206972827609E-2</v>
      </c>
      <c r="AD3" s="11">
        <f>Table1[[#This Row],[Freshwater % of Summed Score]]*Table1[[#This Row],[Scaled Summed Score]]</f>
        <v>6.9255009686257668E-2</v>
      </c>
      <c r="AE3" s="11">
        <f>Table1[[#This Row],[Summed Raw Scores]]/MAX(Table1[Summed Raw Scores])</f>
        <v>0.10013421665908527</v>
      </c>
      <c r="AF3" s="1"/>
    </row>
    <row r="4" spans="1:32" x14ac:dyDescent="0.3">
      <c r="A4" s="8" t="s">
        <v>200</v>
      </c>
      <c r="B4" s="8" t="s">
        <v>20</v>
      </c>
      <c r="C4" s="8" t="s">
        <v>21</v>
      </c>
      <c r="D4" s="8" t="s">
        <v>182</v>
      </c>
      <c r="E4" s="12">
        <v>48.494855999999999</v>
      </c>
      <c r="F4" s="12">
        <v>-123.42505199999999</v>
      </c>
      <c r="G4" s="9">
        <v>50</v>
      </c>
      <c r="H4" s="9" t="s">
        <v>22</v>
      </c>
      <c r="I4" s="9">
        <v>40</v>
      </c>
      <c r="J4" s="8" t="s">
        <v>22</v>
      </c>
      <c r="K4" s="8" t="s">
        <v>22</v>
      </c>
      <c r="L4" s="13">
        <v>250.36602238805969</v>
      </c>
      <c r="M4" s="12">
        <v>0</v>
      </c>
      <c r="N4" s="1">
        <v>0.6</v>
      </c>
      <c r="O4" s="1">
        <f>Table1[[#This Row],[R1 Length (km)]]+Table1[[#This Row],[T1 Length (km)]]</f>
        <v>0.6</v>
      </c>
      <c r="P4" s="2">
        <v>69</v>
      </c>
      <c r="Q4" s="1">
        <f>(Table1[[#This Row],[Linear Features (km)]]*0.4)*100</f>
        <v>24</v>
      </c>
      <c r="R4" s="1">
        <v>0.3</v>
      </c>
      <c r="S4" s="3">
        <f>Table1[[#This Row],[ATG (ha)]]/Table1[[#This Row],[Linear Area (ha)]]</f>
        <v>1.2499999999999999E-2</v>
      </c>
      <c r="T4" s="2" t="s">
        <v>22</v>
      </c>
      <c r="U4" s="2" t="s">
        <v>22</v>
      </c>
      <c r="V4" s="2" t="s">
        <v>22</v>
      </c>
      <c r="W4" s="2" t="s">
        <v>22</v>
      </c>
      <c r="X4" s="10">
        <v>19.116900000000001</v>
      </c>
      <c r="Y4" s="10">
        <f>Table1[[#This Row],[Raw Terrestrial Score]]/Table1[[#This Row],[Summed Raw Scores]]</f>
        <v>0.65655684499380085</v>
      </c>
      <c r="Z4" s="10">
        <v>10</v>
      </c>
      <c r="AA4" s="10">
        <f>Table1[[#This Row],[Raw Freshwater Score]]/Table1[[#This Row],[Summed Raw Scores]]</f>
        <v>0.34344315500619915</v>
      </c>
      <c r="AB4" s="10">
        <f>Table1[[#This Row],[Raw Terrestrial Score]]+Table1[[#This Row],[Raw Freshwater Score]]</f>
        <v>29.116900000000001</v>
      </c>
      <c r="AC4" s="11">
        <f>Table1[[#This Row],[Terrestrial % of Summed Score]]*Table1[[#This Row],[Scaled Summed Score]]</f>
        <v>2.3489942781901064E-3</v>
      </c>
      <c r="AD4" s="11">
        <f>Table1[[#This Row],[Freshwater % of Summed Score]]*Table1[[#This Row],[Scaled Summed Score]]</f>
        <v>1.2287527152363127E-3</v>
      </c>
      <c r="AE4" s="11">
        <f>Table1[[#This Row],[Summed Raw Scores]]/MAX(Table1[Summed Raw Scores])</f>
        <v>3.5777469934264194E-3</v>
      </c>
      <c r="AF4" s="1"/>
    </row>
    <row r="5" spans="1:32" x14ac:dyDescent="0.3">
      <c r="A5" s="8" t="s">
        <v>82</v>
      </c>
      <c r="B5" s="8" t="s">
        <v>80</v>
      </c>
      <c r="C5" s="8" t="s">
        <v>30</v>
      </c>
      <c r="D5" s="8" t="s">
        <v>182</v>
      </c>
      <c r="E5" s="9">
        <v>54.712200000000003</v>
      </c>
      <c r="F5" s="9">
        <v>-126.67100000000001</v>
      </c>
      <c r="G5" s="9">
        <v>170</v>
      </c>
      <c r="H5" s="8" t="s">
        <v>22</v>
      </c>
      <c r="I5" s="9">
        <v>40.799999999999997</v>
      </c>
      <c r="J5" s="9">
        <v>481.60728</v>
      </c>
      <c r="K5" s="9">
        <v>78.565597635227192</v>
      </c>
      <c r="L5" s="9" t="s">
        <v>22</v>
      </c>
      <c r="M5" s="9">
        <v>94.627750000000006</v>
      </c>
      <c r="N5" s="9">
        <v>535.23418749999996</v>
      </c>
      <c r="O5" s="9">
        <f>Table1[[#This Row],[R1 Length (km)]]+Table1[[#This Row],[T1 Length (km)]]</f>
        <v>629.86193749999995</v>
      </c>
      <c r="P5" s="8">
        <v>230</v>
      </c>
      <c r="Q5" s="9">
        <f>(Table1[[#This Row],[Linear Features (km)]]*0.4)*100</f>
        <v>25194.477500000001</v>
      </c>
      <c r="R5" s="1">
        <f>((PI()*(45^2))*Table1[[#This Row],[Number of Turbines - WIND]])/10000</f>
        <v>46.44059340169111</v>
      </c>
      <c r="S5" s="3">
        <f>Table1[[#This Row],[ATG (ha)]]/Table1[[#This Row],[Linear Area (ha)]]</f>
        <v>1.8432846405205708E-3</v>
      </c>
      <c r="T5" s="8" t="s">
        <v>81</v>
      </c>
      <c r="U5" s="8">
        <v>73</v>
      </c>
      <c r="V5" s="1" t="s">
        <v>22</v>
      </c>
      <c r="W5" s="1" t="s">
        <v>22</v>
      </c>
      <c r="X5" s="10">
        <f>259.6796+37.69003</f>
        <v>297.36962999999997</v>
      </c>
      <c r="Y5" s="10">
        <f>Table1[[#This Row],[Raw Terrestrial Score]]/Table1[[#This Row],[Summed Raw Scores]]</f>
        <v>0.21901071975472891</v>
      </c>
      <c r="Z5" s="10">
        <f>658.6171+401.799</f>
        <v>1060.4160999999999</v>
      </c>
      <c r="AA5" s="10">
        <f>Table1[[#This Row],[Raw Freshwater Score]]/Table1[[#This Row],[Summed Raw Scores]]</f>
        <v>0.78098928024527114</v>
      </c>
      <c r="AB5" s="10">
        <f>Table1[[#This Row],[Raw Terrestrial Score]]+Table1[[#This Row],[Raw Freshwater Score]]</f>
        <v>1357.7857299999998</v>
      </c>
      <c r="AC5" s="11">
        <f>Table1[[#This Row],[Terrestrial % of Summed Score]]*Table1[[#This Row],[Scaled Summed Score]]</f>
        <v>3.6539374029131766E-2</v>
      </c>
      <c r="AD5" s="11">
        <f>Table1[[#This Row],[Freshwater % of Summed Score]]*Table1[[#This Row],[Scaled Summed Score]]</f>
        <v>0.13029891621553011</v>
      </c>
      <c r="AE5" s="11">
        <f>Table1[[#This Row],[Summed Raw Scores]]/MAX(Table1[Summed Raw Scores])</f>
        <v>0.16683829024466187</v>
      </c>
      <c r="AF5" s="1"/>
    </row>
    <row r="6" spans="1:32" x14ac:dyDescent="0.3">
      <c r="A6" s="8" t="s">
        <v>83</v>
      </c>
      <c r="B6" s="8" t="s">
        <v>80</v>
      </c>
      <c r="C6" s="8" t="s">
        <v>30</v>
      </c>
      <c r="D6" s="8" t="s">
        <v>182</v>
      </c>
      <c r="E6" s="9">
        <v>54.700099999999999</v>
      </c>
      <c r="F6" s="9">
        <v>-127.529</v>
      </c>
      <c r="G6" s="9">
        <v>105</v>
      </c>
      <c r="H6" s="8" t="s">
        <v>22</v>
      </c>
      <c r="I6" s="9">
        <v>25.2</v>
      </c>
      <c r="J6" s="9">
        <v>309.32873999999998</v>
      </c>
      <c r="K6" s="9">
        <v>79.891535204200608</v>
      </c>
      <c r="L6" s="9" t="s">
        <v>22</v>
      </c>
      <c r="M6" s="9">
        <v>1.0899495849600001</v>
      </c>
      <c r="N6" s="9">
        <v>24.509544921875001</v>
      </c>
      <c r="O6" s="9">
        <f>Table1[[#This Row],[R1 Length (km)]]+Table1[[#This Row],[T1 Length (km)]]</f>
        <v>25.599494506835001</v>
      </c>
      <c r="P6" s="8">
        <v>230</v>
      </c>
      <c r="Q6" s="9">
        <f>(Table1[[#This Row],[Linear Features (km)]]*0.4)*100</f>
        <v>1023.9797802734001</v>
      </c>
      <c r="R6" s="1">
        <f>((PI()*(45^2))*Table1[[#This Row],[Number of Turbines - WIND]])/10000</f>
        <v>28.627763055836986</v>
      </c>
      <c r="S6" s="3">
        <f>Table1[[#This Row],[ATG (ha)]]/Table1[[#This Row],[Linear Area (ha)]]</f>
        <v>2.7957351900243031E-2</v>
      </c>
      <c r="T6" s="8" t="s">
        <v>81</v>
      </c>
      <c r="U6" s="8">
        <v>45</v>
      </c>
      <c r="V6" s="1" t="s">
        <v>22</v>
      </c>
      <c r="W6" s="1" t="s">
        <v>22</v>
      </c>
      <c r="X6" s="10">
        <f>779.6591+49.78</f>
        <v>829.43909999999994</v>
      </c>
      <c r="Y6" s="10">
        <f>Table1[[#This Row],[Raw Terrestrial Score]]/Table1[[#This Row],[Summed Raw Scores]]</f>
        <v>0.36830997076083505</v>
      </c>
      <c r="Z6" s="10">
        <f>1169.618+252.9566</f>
        <v>1422.5745999999999</v>
      </c>
      <c r="AA6" s="10">
        <f>Table1[[#This Row],[Raw Freshwater Score]]/Table1[[#This Row],[Summed Raw Scores]]</f>
        <v>0.63169002923916495</v>
      </c>
      <c r="AB6" s="10">
        <f>Table1[[#This Row],[Raw Terrestrial Score]]+Table1[[#This Row],[Raw Freshwater Score]]</f>
        <v>2252.0137</v>
      </c>
      <c r="AC6" s="11">
        <f>Table1[[#This Row],[Terrestrial % of Summed Score]]*Table1[[#This Row],[Scaled Summed Score]]</f>
        <v>0.10191755462481634</v>
      </c>
      <c r="AD6" s="11">
        <f>Table1[[#This Row],[Freshwater % of Summed Score]]*Table1[[#This Row],[Scaled Summed Score]]</f>
        <v>0.17479924023762114</v>
      </c>
      <c r="AE6" s="11">
        <f>Table1[[#This Row],[Summed Raw Scores]]/MAX(Table1[Summed Raw Scores])</f>
        <v>0.2767167948624375</v>
      </c>
      <c r="AF6" s="1"/>
    </row>
    <row r="7" spans="1:32" x14ac:dyDescent="0.3">
      <c r="A7" s="8" t="s">
        <v>84</v>
      </c>
      <c r="B7" s="8" t="s">
        <v>80</v>
      </c>
      <c r="C7" s="8" t="s">
        <v>30</v>
      </c>
      <c r="D7" s="8" t="s">
        <v>182</v>
      </c>
      <c r="E7" s="9">
        <v>54.531500000000001</v>
      </c>
      <c r="F7" s="9">
        <v>-127.35899999999999</v>
      </c>
      <c r="G7" s="9">
        <v>105</v>
      </c>
      <c r="H7" s="8" t="s">
        <v>22</v>
      </c>
      <c r="I7" s="9">
        <v>25.2</v>
      </c>
      <c r="J7" s="9">
        <v>323.21771999999999</v>
      </c>
      <c r="K7" s="9">
        <v>76.87076421151724</v>
      </c>
      <c r="L7" s="9" t="s">
        <v>22</v>
      </c>
      <c r="M7" s="9">
        <v>1.80710681152</v>
      </c>
      <c r="N7" s="9">
        <v>27.706601562500001</v>
      </c>
      <c r="O7" s="9">
        <f>Table1[[#This Row],[R1 Length (km)]]+Table1[[#This Row],[T1 Length (km)]]</f>
        <v>29.513708374020002</v>
      </c>
      <c r="P7" s="8">
        <v>130</v>
      </c>
      <c r="Q7" s="9">
        <f>(Table1[[#This Row],[Linear Features (km)]]*0.4)*100</f>
        <v>1180.5483349608003</v>
      </c>
      <c r="R7" s="1">
        <f>((PI()*(45^2))*Table1[[#This Row],[Number of Turbines - WIND]])/10000</f>
        <v>28.627763055836986</v>
      </c>
      <c r="S7" s="3">
        <f>Table1[[#This Row],[ATG (ha)]]/Table1[[#This Row],[Linear Area (ha)]]</f>
        <v>2.4249547611100195E-2</v>
      </c>
      <c r="T7" s="8" t="s">
        <v>81</v>
      </c>
      <c r="U7" s="8">
        <v>45</v>
      </c>
      <c r="V7" s="1" t="s">
        <v>22</v>
      </c>
      <c r="W7" s="1" t="s">
        <v>22</v>
      </c>
      <c r="X7" s="10">
        <f>1051.761+348.4587</f>
        <v>1400.2197000000001</v>
      </c>
      <c r="Y7" s="10">
        <f>Table1[[#This Row],[Raw Terrestrial Score]]/Table1[[#This Row],[Summed Raw Scores]]</f>
        <v>0.48344957723271104</v>
      </c>
      <c r="Z7" s="10">
        <f>1115.81+380.28</f>
        <v>1496.09</v>
      </c>
      <c r="AA7" s="10">
        <f>Table1[[#This Row],[Raw Freshwater Score]]/Table1[[#This Row],[Summed Raw Scores]]</f>
        <v>0.51655042276728902</v>
      </c>
      <c r="AB7" s="10">
        <f>Table1[[#This Row],[Raw Terrestrial Score]]+Table1[[#This Row],[Raw Freshwater Score]]</f>
        <v>2896.3096999999998</v>
      </c>
      <c r="AC7" s="11">
        <f>Table1[[#This Row],[Terrestrial % of Summed Score]]*Table1[[#This Row],[Scaled Summed Score]]</f>
        <v>0.17205237583023753</v>
      </c>
      <c r="AD7" s="11">
        <f>Table1[[#This Row],[Freshwater % of Summed Score]]*Table1[[#This Row],[Scaled Summed Score]]</f>
        <v>0.18383246497378949</v>
      </c>
      <c r="AE7" s="11">
        <f>Table1[[#This Row],[Summed Raw Scores]]/MAX(Table1[Summed Raw Scores])</f>
        <v>0.35588484080402699</v>
      </c>
      <c r="AF7" s="1"/>
    </row>
    <row r="8" spans="1:32" x14ac:dyDescent="0.3">
      <c r="A8" s="8" t="s">
        <v>85</v>
      </c>
      <c r="B8" s="8" t="s">
        <v>80</v>
      </c>
      <c r="C8" s="8" t="s">
        <v>30</v>
      </c>
      <c r="D8" s="8" t="s">
        <v>182</v>
      </c>
      <c r="E8" s="9">
        <v>54.953699999999998</v>
      </c>
      <c r="F8" s="9">
        <v>-125.59099999999999</v>
      </c>
      <c r="G8" s="9">
        <v>220</v>
      </c>
      <c r="H8" s="8" t="s">
        <v>22</v>
      </c>
      <c r="I8" s="9">
        <v>52.8</v>
      </c>
      <c r="J8" s="9">
        <v>648.11735999999996</v>
      </c>
      <c r="K8" s="9">
        <v>83.829652025682037</v>
      </c>
      <c r="L8" s="9" t="s">
        <v>22</v>
      </c>
      <c r="M8" s="9">
        <v>0.241421356201</v>
      </c>
      <c r="N8" s="9">
        <v>32.540412109374998</v>
      </c>
      <c r="O8" s="9">
        <f>Table1[[#This Row],[R1 Length (km)]]+Table1[[#This Row],[T1 Length (km)]]</f>
        <v>32.781833465576</v>
      </c>
      <c r="P8" s="8">
        <v>130</v>
      </c>
      <c r="Q8" s="9">
        <f>(Table1[[#This Row],[Linear Features (km)]]*0.4)*100</f>
        <v>1311.27333862304</v>
      </c>
      <c r="R8" s="1">
        <f>((PI()*(45^2))*Table1[[#This Row],[Number of Turbines - WIND]])/10000</f>
        <v>60.43638867343364</v>
      </c>
      <c r="S8" s="3">
        <f>Table1[[#This Row],[ATG (ha)]]/Table1[[#This Row],[Linear Area (ha)]]</f>
        <v>4.6089847854984621E-2</v>
      </c>
      <c r="T8" s="8" t="s">
        <v>81</v>
      </c>
      <c r="U8" s="8">
        <v>95</v>
      </c>
      <c r="V8" s="1" t="s">
        <v>22</v>
      </c>
      <c r="W8" s="1" t="s">
        <v>22</v>
      </c>
      <c r="X8" s="10">
        <f>607.869+192.3419</f>
        <v>800.21090000000004</v>
      </c>
      <c r="Y8" s="10">
        <f>Table1[[#This Row],[Raw Terrestrial Score]]/Table1[[#This Row],[Summed Raw Scores]]</f>
        <v>0.24419702006181501</v>
      </c>
      <c r="Z8" s="10">
        <f>2096.416+380.28</f>
        <v>2476.6959999999999</v>
      </c>
      <c r="AA8" s="10">
        <f>Table1[[#This Row],[Raw Freshwater Score]]/Table1[[#This Row],[Summed Raw Scores]]</f>
        <v>0.75580297993818502</v>
      </c>
      <c r="AB8" s="10">
        <f>Table1[[#This Row],[Raw Terrestrial Score]]+Table1[[#This Row],[Raw Freshwater Score]]</f>
        <v>3276.9069</v>
      </c>
      <c r="AC8" s="11">
        <f>Table1[[#This Row],[Terrestrial % of Summed Score]]*Table1[[#This Row],[Scaled Summed Score]]</f>
        <v>9.8326131613669349E-2</v>
      </c>
      <c r="AD8" s="11">
        <f>Table1[[#This Row],[Freshwater % of Summed Score]]*Table1[[#This Row],[Scaled Summed Score]]</f>
        <v>0.30432469348149149</v>
      </c>
      <c r="AE8" s="11">
        <f>Table1[[#This Row],[Summed Raw Scores]]/MAX(Table1[Summed Raw Scores])</f>
        <v>0.40265082509516081</v>
      </c>
      <c r="AF8" s="1"/>
    </row>
    <row r="9" spans="1:32" x14ac:dyDescent="0.3">
      <c r="A9" s="8" t="s">
        <v>86</v>
      </c>
      <c r="B9" s="8" t="s">
        <v>80</v>
      </c>
      <c r="C9" s="8" t="s">
        <v>30</v>
      </c>
      <c r="D9" s="8" t="s">
        <v>182</v>
      </c>
      <c r="E9" s="9">
        <v>54.610999999999997</v>
      </c>
      <c r="F9" s="9">
        <v>-126.136</v>
      </c>
      <c r="G9" s="9">
        <v>260</v>
      </c>
      <c r="H9" s="8" t="s">
        <v>22</v>
      </c>
      <c r="I9" s="9">
        <v>62.4</v>
      </c>
      <c r="J9" s="9">
        <v>765.95687999999996</v>
      </c>
      <c r="K9" s="9">
        <v>74.242169125861622</v>
      </c>
      <c r="L9" s="9" t="s">
        <v>22</v>
      </c>
      <c r="M9" s="9">
        <v>3.5213208007799999</v>
      </c>
      <c r="N9" s="9">
        <v>98.315343749999997</v>
      </c>
      <c r="O9" s="9">
        <f>Table1[[#This Row],[R1 Length (km)]]+Table1[[#This Row],[T1 Length (km)]]</f>
        <v>101.83666455078</v>
      </c>
      <c r="P9" s="8">
        <v>230</v>
      </c>
      <c r="Q9" s="9">
        <f>(Table1[[#This Row],[Linear Features (km)]]*0.4)*100</f>
        <v>4073.4665820312002</v>
      </c>
      <c r="R9" s="1">
        <f>((PI()*(45^2))*Table1[[#This Row],[Number of Turbines - WIND]])/10000</f>
        <v>71.887493895768429</v>
      </c>
      <c r="S9" s="3">
        <f>Table1[[#This Row],[ATG (ha)]]/Table1[[#This Row],[Linear Area (ha)]]</f>
        <v>1.7647743622809426E-2</v>
      </c>
      <c r="T9" s="8" t="s">
        <v>81</v>
      </c>
      <c r="U9" s="8">
        <v>113</v>
      </c>
      <c r="V9" s="1" t="s">
        <v>22</v>
      </c>
      <c r="W9" s="1" t="s">
        <v>22</v>
      </c>
      <c r="X9" s="10">
        <f>246.7856+44.12083</f>
        <v>290.90643</v>
      </c>
      <c r="Y9" s="10">
        <f>Table1[[#This Row],[Raw Terrestrial Score]]/Table1[[#This Row],[Summed Raw Scores]]</f>
        <v>0.1260276130057674</v>
      </c>
      <c r="Z9" s="10">
        <f>1315.48+701.8889</f>
        <v>2017.3688999999999</v>
      </c>
      <c r="AA9" s="10">
        <f>Table1[[#This Row],[Raw Freshwater Score]]/Table1[[#This Row],[Summed Raw Scores]]</f>
        <v>0.87397238699423263</v>
      </c>
      <c r="AB9" s="10">
        <f>Table1[[#This Row],[Raw Terrestrial Score]]+Table1[[#This Row],[Raw Freshwater Score]]</f>
        <v>2308.2753299999999</v>
      </c>
      <c r="AC9" s="11">
        <f>Table1[[#This Row],[Terrestrial % of Summed Score]]*Table1[[#This Row],[Scaled Summed Score]]</f>
        <v>3.5745206574220235E-2</v>
      </c>
      <c r="AD9" s="11">
        <f>Table1[[#This Row],[Freshwater % of Summed Score]]*Table1[[#This Row],[Scaled Summed Score]]</f>
        <v>0.24788475135082935</v>
      </c>
      <c r="AE9" s="11">
        <f>Table1[[#This Row],[Summed Raw Scores]]/MAX(Table1[Summed Raw Scores])</f>
        <v>0.28362995792504958</v>
      </c>
      <c r="AF9" s="1"/>
    </row>
    <row r="10" spans="1:32" x14ac:dyDescent="0.3">
      <c r="A10" s="8" t="s">
        <v>87</v>
      </c>
      <c r="B10" s="8" t="s">
        <v>80</v>
      </c>
      <c r="C10" s="8" t="s">
        <v>30</v>
      </c>
      <c r="D10" s="8" t="s">
        <v>182</v>
      </c>
      <c r="E10" s="9">
        <v>55.331899999999997</v>
      </c>
      <c r="F10" s="9">
        <v>-126.911</v>
      </c>
      <c r="G10" s="9">
        <v>105</v>
      </c>
      <c r="H10" s="8" t="s">
        <v>22</v>
      </c>
      <c r="I10" s="9">
        <v>25.2</v>
      </c>
      <c r="J10" s="9">
        <v>309.32873999999998</v>
      </c>
      <c r="K10" s="9">
        <v>84.230430873324536</v>
      </c>
      <c r="L10" s="9" t="s">
        <v>22</v>
      </c>
      <c r="M10" s="9">
        <v>14.226689453100001</v>
      </c>
      <c r="N10" s="9">
        <v>45.149242187500001</v>
      </c>
      <c r="O10" s="9">
        <f>Table1[[#This Row],[R1 Length (km)]]+Table1[[#This Row],[T1 Length (km)]]</f>
        <v>59.375931640600001</v>
      </c>
      <c r="P10" s="8">
        <v>230</v>
      </c>
      <c r="Q10" s="9">
        <f>(Table1[[#This Row],[Linear Features (km)]]*0.4)*100</f>
        <v>2375.0372656240002</v>
      </c>
      <c r="R10" s="1">
        <f>((PI()*(45^2))*Table1[[#This Row],[Number of Turbines - WIND]])/10000</f>
        <v>28.627763055836986</v>
      </c>
      <c r="S10" s="3">
        <f>Table1[[#This Row],[ATG (ha)]]/Table1[[#This Row],[Linear Area (ha)]]</f>
        <v>1.2053605840292166E-2</v>
      </c>
      <c r="T10" s="8" t="s">
        <v>81</v>
      </c>
      <c r="U10" s="8">
        <v>45</v>
      </c>
      <c r="V10" s="1" t="s">
        <v>22</v>
      </c>
      <c r="W10" s="1" t="s">
        <v>22</v>
      </c>
      <c r="X10" s="10">
        <f>544.7608+21.02773</f>
        <v>565.78853000000004</v>
      </c>
      <c r="Y10" s="10">
        <f>Table1[[#This Row],[Raw Terrestrial Score]]/Table1[[#This Row],[Summed Raw Scores]]</f>
        <v>0.24198845956822282</v>
      </c>
      <c r="Z10" s="10">
        <f>1517.662+254.6301</f>
        <v>1772.2921000000001</v>
      </c>
      <c r="AA10" s="10">
        <f>Table1[[#This Row],[Raw Freshwater Score]]/Table1[[#This Row],[Summed Raw Scores]]</f>
        <v>0.7580115404317771</v>
      </c>
      <c r="AB10" s="10">
        <f>Table1[[#This Row],[Raw Terrestrial Score]]+Table1[[#This Row],[Raw Freshwater Score]]</f>
        <v>2338.0806300000004</v>
      </c>
      <c r="AC10" s="11">
        <f>Table1[[#This Row],[Terrestrial % of Summed Score]]*Table1[[#This Row],[Scaled Summed Score]]</f>
        <v>6.9521419248706195E-2</v>
      </c>
      <c r="AD10" s="11">
        <f>Table1[[#This Row],[Freshwater % of Summed Score]]*Table1[[#This Row],[Scaled Summed Score]]</f>
        <v>0.21777087300668665</v>
      </c>
      <c r="AE10" s="11">
        <f>Table1[[#This Row],[Summed Raw Scores]]/MAX(Table1[Summed Raw Scores])</f>
        <v>0.28729229225539288</v>
      </c>
      <c r="AF10" s="1"/>
    </row>
    <row r="11" spans="1:32" x14ac:dyDescent="0.3">
      <c r="A11" s="8" t="s">
        <v>41</v>
      </c>
      <c r="B11" s="8" t="s">
        <v>42</v>
      </c>
      <c r="C11" s="8" t="s">
        <v>21</v>
      </c>
      <c r="D11" s="8" t="s">
        <v>182</v>
      </c>
      <c r="E11" s="12">
        <v>49.326725104700003</v>
      </c>
      <c r="F11" s="12">
        <v>-125.058627449</v>
      </c>
      <c r="G11" s="9">
        <v>1000</v>
      </c>
      <c r="H11" s="8" t="s">
        <v>22</v>
      </c>
      <c r="I11" s="1">
        <v>495</v>
      </c>
      <c r="J11" s="8" t="s">
        <v>22</v>
      </c>
      <c r="K11" s="8" t="s">
        <v>22</v>
      </c>
      <c r="L11" s="13">
        <v>181.76816646464647</v>
      </c>
      <c r="M11" s="9">
        <v>4.14558496094</v>
      </c>
      <c r="N11" s="9">
        <v>78.547015625</v>
      </c>
      <c r="O11" s="9">
        <f>Table1[[#This Row],[R1 Length (km)]]+Table1[[#This Row],[T1 Length (km)]]</f>
        <v>82.692600585939999</v>
      </c>
      <c r="P11" s="8">
        <v>230</v>
      </c>
      <c r="Q11" s="9">
        <f>(Table1[[#This Row],[Linear Features (km)]]*0.4)*100</f>
        <v>3307.7040234376</v>
      </c>
      <c r="R11" s="1">
        <v>46.3</v>
      </c>
      <c r="S11" s="3">
        <f>Table1[[#This Row],[ATG (ha)]]/Table1[[#This Row],[Linear Area (ha)]]</f>
        <v>1.3997624839444299E-2</v>
      </c>
      <c r="T11" s="2" t="s">
        <v>22</v>
      </c>
      <c r="U11" s="2" t="s">
        <v>22</v>
      </c>
      <c r="V11" s="1" t="s">
        <v>22</v>
      </c>
      <c r="W11" s="1" t="s">
        <v>22</v>
      </c>
      <c r="X11" s="10">
        <v>222.91560000000001</v>
      </c>
      <c r="Y11" s="10">
        <f>Table1[[#This Row],[Raw Terrestrial Score]]/Table1[[#This Row],[Summed Raw Scores]]</f>
        <v>0.34742165402902986</v>
      </c>
      <c r="Z11" s="10">
        <v>418.71280000000002</v>
      </c>
      <c r="AA11" s="10">
        <f>Table1[[#This Row],[Raw Freshwater Score]]/Table1[[#This Row],[Summed Raw Scores]]</f>
        <v>0.65257834597097009</v>
      </c>
      <c r="AB11" s="10">
        <f>Table1[[#This Row],[Raw Terrestrial Score]]+Table1[[#This Row],[Raw Freshwater Score]]</f>
        <v>641.62840000000006</v>
      </c>
      <c r="AC11" s="11">
        <f>Table1[[#This Row],[Terrestrial % of Summed Score]]*Table1[[#This Row],[Scaled Summed Score]]</f>
        <v>2.7390814876853176E-2</v>
      </c>
      <c r="AD11" s="11">
        <f>Table1[[#This Row],[Freshwater % of Summed Score]]*Table1[[#This Row],[Scaled Summed Score]]</f>
        <v>5.1449448990419915E-2</v>
      </c>
      <c r="AE11" s="11">
        <f>Table1[[#This Row],[Summed Raw Scores]]/MAX(Table1[Summed Raw Scores])</f>
        <v>7.8840263867273094E-2</v>
      </c>
      <c r="AF11" s="1"/>
    </row>
    <row r="12" spans="1:32" x14ac:dyDescent="0.3">
      <c r="A12" s="8" t="s">
        <v>23</v>
      </c>
      <c r="B12" s="8" t="s">
        <v>24</v>
      </c>
      <c r="C12" s="8" t="s">
        <v>25</v>
      </c>
      <c r="D12" s="8" t="s">
        <v>182</v>
      </c>
      <c r="E12" s="14">
        <v>52.673324999999998</v>
      </c>
      <c r="F12" s="14">
        <v>-119.05634499999999</v>
      </c>
      <c r="G12" s="9">
        <v>14.3</v>
      </c>
      <c r="H12" s="9">
        <v>52</v>
      </c>
      <c r="I12" s="9" t="s">
        <v>22</v>
      </c>
      <c r="J12" s="15">
        <v>385.16461135371998</v>
      </c>
      <c r="K12" s="13">
        <v>88.585188657271829</v>
      </c>
      <c r="L12" s="9" t="s">
        <v>22</v>
      </c>
      <c r="M12" s="9">
        <v>0</v>
      </c>
      <c r="N12" s="1">
        <v>21.552185546874998</v>
      </c>
      <c r="O12" s="1">
        <f>Table1[[#This Row],[R1 Length (km)]]+Table1[[#This Row],[T1 Length (km)]]</f>
        <v>21.552185546874998</v>
      </c>
      <c r="P12" s="2">
        <v>25</v>
      </c>
      <c r="Q12" s="1">
        <f>(Table1[[#This Row],[Linear Features (km)]]*0.4)*100</f>
        <v>862.08742187500002</v>
      </c>
      <c r="R12" s="1">
        <v>15.6</v>
      </c>
      <c r="S12" s="3">
        <f>Table1[[#This Row],[ATG (ha)]]/Table1[[#This Row],[Linear Area (ha)]]</f>
        <v>1.8095612584244327E-2</v>
      </c>
      <c r="T12" s="2" t="s">
        <v>22</v>
      </c>
      <c r="U12" s="2" t="s">
        <v>22</v>
      </c>
      <c r="V12" s="1" t="s">
        <v>22</v>
      </c>
      <c r="W12" s="1" t="s">
        <v>22</v>
      </c>
      <c r="X12" s="10">
        <v>151.05250000000001</v>
      </c>
      <c r="Y12" s="10">
        <f>Table1[[#This Row],[Raw Terrestrial Score]]/Table1[[#This Row],[Summed Raw Scores]]</f>
        <v>0.76188495641817811</v>
      </c>
      <c r="Z12" s="10">
        <v>47.209060000000001</v>
      </c>
      <c r="AA12" s="10">
        <f>Table1[[#This Row],[Raw Freshwater Score]]/Table1[[#This Row],[Summed Raw Scores]]</f>
        <v>0.23811504358182192</v>
      </c>
      <c r="AB12" s="10">
        <f>Table1[[#This Row],[Raw Terrestrial Score]]+Table1[[#This Row],[Raw Freshwater Score]]</f>
        <v>198.26156</v>
      </c>
      <c r="AC12" s="11">
        <f>Table1[[#This Row],[Terrestrial % of Summed Score]]*Table1[[#This Row],[Scaled Summed Score]]</f>
        <v>1.856061695182331E-2</v>
      </c>
      <c r="AD12" s="11">
        <f>Table1[[#This Row],[Freshwater % of Summed Score]]*Table1[[#This Row],[Scaled Summed Score]]</f>
        <v>5.8008260658754E-3</v>
      </c>
      <c r="AE12" s="11">
        <f>Table1[[#This Row],[Summed Raw Scores]]/MAX(Table1[Summed Raw Scores])</f>
        <v>2.4361443017698711E-2</v>
      </c>
      <c r="AF12" s="1"/>
    </row>
    <row r="13" spans="1:32" x14ac:dyDescent="0.3">
      <c r="A13" s="8" t="s">
        <v>66</v>
      </c>
      <c r="B13" s="8" t="s">
        <v>64</v>
      </c>
      <c r="C13" s="8" t="s">
        <v>21</v>
      </c>
      <c r="D13" s="8" t="s">
        <v>182</v>
      </c>
      <c r="E13" s="14">
        <v>48.88</v>
      </c>
      <c r="F13" s="14">
        <v>-123.8</v>
      </c>
      <c r="G13" s="9">
        <v>40.1</v>
      </c>
      <c r="H13" s="9">
        <v>40</v>
      </c>
      <c r="I13" s="9">
        <v>21</v>
      </c>
      <c r="J13" s="13">
        <v>113.7</v>
      </c>
      <c r="K13" s="13">
        <v>91.427448071216631</v>
      </c>
      <c r="L13" s="9" t="s">
        <v>22</v>
      </c>
      <c r="M13" s="9">
        <v>0.3</v>
      </c>
      <c r="N13" s="9">
        <v>8</v>
      </c>
      <c r="O13" s="9">
        <f>Table1[[#This Row],[R1 Length (km)]]+Table1[[#This Row],[T1 Length (km)]]</f>
        <v>8.3000000000000007</v>
      </c>
      <c r="P13" s="8">
        <v>69</v>
      </c>
      <c r="Q13" s="9">
        <f>(Table1[[#This Row],[Linear Features (km)]]*0.4)*100</f>
        <v>332</v>
      </c>
      <c r="R13" s="1">
        <v>7.99</v>
      </c>
      <c r="S13" s="3">
        <f>Table1[[#This Row],[ATG (ha)]]/Table1[[#This Row],[Linear Area (ha)]]</f>
        <v>2.4066265060240965E-2</v>
      </c>
      <c r="T13" s="2" t="s">
        <v>22</v>
      </c>
      <c r="U13" s="2" t="s">
        <v>22</v>
      </c>
      <c r="V13" s="1" t="s">
        <v>22</v>
      </c>
      <c r="W13" s="1" t="s">
        <v>22</v>
      </c>
      <c r="X13" s="10">
        <v>5.3634370000000002</v>
      </c>
      <c r="Y13" s="10">
        <f>Table1[[#This Row],[Raw Terrestrial Score]]/Table1[[#This Row],[Summed Raw Scores]]</f>
        <v>0.15166616864757801</v>
      </c>
      <c r="Z13" s="10">
        <v>30</v>
      </c>
      <c r="AA13" s="10">
        <f>Table1[[#This Row],[Raw Freshwater Score]]/Table1[[#This Row],[Summed Raw Scores]]</f>
        <v>0.84833383135242202</v>
      </c>
      <c r="AB13" s="10">
        <f>Table1[[#This Row],[Raw Terrestrial Score]]+Table1[[#This Row],[Raw Freshwater Score]]</f>
        <v>35.363436999999998</v>
      </c>
      <c r="AC13" s="11">
        <f>Table1[[#This Row],[Terrestrial % of Summed Score]]*Table1[[#This Row],[Scaled Summed Score]]</f>
        <v>6.5903377767489025E-4</v>
      </c>
      <c r="AD13" s="11">
        <f>Table1[[#This Row],[Freshwater % of Summed Score]]*Table1[[#This Row],[Scaled Summed Score]]</f>
        <v>3.686258145708938E-3</v>
      </c>
      <c r="AE13" s="11">
        <f>Table1[[#This Row],[Summed Raw Scores]]/MAX(Table1[Summed Raw Scores])</f>
        <v>4.345291923383828E-3</v>
      </c>
      <c r="AF13" s="1"/>
    </row>
    <row r="14" spans="1:32" x14ac:dyDescent="0.3">
      <c r="A14" s="8" t="s">
        <v>26</v>
      </c>
      <c r="B14" s="8" t="s">
        <v>24</v>
      </c>
      <c r="C14" s="8" t="s">
        <v>27</v>
      </c>
      <c r="D14" s="8" t="s">
        <v>182</v>
      </c>
      <c r="E14" s="9">
        <v>58.721628000000003</v>
      </c>
      <c r="F14" s="9">
        <v>-122.531644</v>
      </c>
      <c r="G14" s="9">
        <v>18.399999999999999</v>
      </c>
      <c r="H14" s="9">
        <v>14</v>
      </c>
      <c r="I14" s="9" t="s">
        <v>22</v>
      </c>
      <c r="J14" s="9">
        <v>104</v>
      </c>
      <c r="K14" s="9">
        <v>187.25</v>
      </c>
      <c r="L14" s="9" t="s">
        <v>22</v>
      </c>
      <c r="M14" s="9">
        <v>0</v>
      </c>
      <c r="N14" s="9">
        <v>338.25099999999998</v>
      </c>
      <c r="O14" s="9">
        <f>Table1[[#This Row],[R1 Length (km)]]+Table1[[#This Row],[T1 Length (km)]]</f>
        <v>338.25099999999998</v>
      </c>
      <c r="P14" s="8">
        <v>230</v>
      </c>
      <c r="Q14" s="9">
        <f>(Table1[[#This Row],[Linear Features (km)]]*0.4)*100</f>
        <v>13530.039999999999</v>
      </c>
      <c r="R14" s="1">
        <v>4.2</v>
      </c>
      <c r="S14" s="3">
        <f>Table1[[#This Row],[ATG (ha)]]/Table1[[#This Row],[Linear Area (ha)]]</f>
        <v>3.1042036830637607E-4</v>
      </c>
      <c r="T14" s="2" t="s">
        <v>22</v>
      </c>
      <c r="U14" s="2" t="s">
        <v>22</v>
      </c>
      <c r="V14" s="1" t="s">
        <v>22</v>
      </c>
      <c r="W14" s="1" t="s">
        <v>22</v>
      </c>
      <c r="X14" s="10">
        <v>1321.617</v>
      </c>
      <c r="Y14" s="10">
        <f>Table1[[#This Row],[Raw Terrestrial Score]]/Table1[[#This Row],[Summed Raw Scores]]</f>
        <v>0.34819648082638693</v>
      </c>
      <c r="Z14" s="10">
        <v>2473.9899999999998</v>
      </c>
      <c r="AA14" s="10">
        <f>Table1[[#This Row],[Raw Freshwater Score]]/Table1[[#This Row],[Summed Raw Scores]]</f>
        <v>0.65180351917361301</v>
      </c>
      <c r="AB14" s="10">
        <f>Table1[[#This Row],[Raw Terrestrial Score]]+Table1[[#This Row],[Raw Freshwater Score]]</f>
        <v>3795.607</v>
      </c>
      <c r="AC14" s="11">
        <f>Table1[[#This Row],[Terrestrial % of Summed Score]]*Table1[[#This Row],[Scaled Summed Score]]</f>
        <v>0.16239404772524699</v>
      </c>
      <c r="AD14" s="11">
        <f>Table1[[#This Row],[Freshwater % of Summed Score]]*Table1[[#This Row],[Scaled Summed Score]]</f>
        <v>0.30399219299674846</v>
      </c>
      <c r="AE14" s="11">
        <f>Table1[[#This Row],[Summed Raw Scores]]/MAX(Table1[Summed Raw Scores])</f>
        <v>0.46638624072199547</v>
      </c>
      <c r="AF14" s="1"/>
    </row>
    <row r="15" spans="1:32" x14ac:dyDescent="0.3">
      <c r="A15" s="8" t="s">
        <v>67</v>
      </c>
      <c r="B15" s="8" t="s">
        <v>64</v>
      </c>
      <c r="C15" s="8" t="s">
        <v>32</v>
      </c>
      <c r="D15" s="8" t="s">
        <v>182</v>
      </c>
      <c r="E15" s="12">
        <v>50.11</v>
      </c>
      <c r="F15" s="12">
        <v>-123.4</v>
      </c>
      <c r="G15" s="9">
        <v>63.9</v>
      </c>
      <c r="H15" s="9">
        <v>40</v>
      </c>
      <c r="I15" s="9">
        <v>9</v>
      </c>
      <c r="J15" s="13">
        <v>325.89999999999998</v>
      </c>
      <c r="K15" s="13">
        <v>85.147334930927542</v>
      </c>
      <c r="L15" s="9" t="s">
        <v>22</v>
      </c>
      <c r="M15" s="12">
        <v>0</v>
      </c>
      <c r="N15" s="1">
        <v>43.755844122716695</v>
      </c>
      <c r="O15" s="1">
        <f>Table1[[#This Row],[R1 Length (km)]]+Table1[[#This Row],[T1 Length (km)]]</f>
        <v>43.755844122716695</v>
      </c>
      <c r="P15" s="2">
        <v>130</v>
      </c>
      <c r="Q15" s="1">
        <f>(Table1[[#This Row],[Linear Features (km)]]*0.4)*100</f>
        <v>1750.233764908668</v>
      </c>
      <c r="R15" s="1">
        <v>43.76</v>
      </c>
      <c r="S15" s="3">
        <f>Table1[[#This Row],[ATG (ha)]]/Table1[[#This Row],[Linear Area (ha)]]</f>
        <v>2.5002374469837468E-2</v>
      </c>
      <c r="T15" s="2" t="s">
        <v>22</v>
      </c>
      <c r="U15" s="2" t="s">
        <v>22</v>
      </c>
      <c r="V15" s="1" t="s">
        <v>22</v>
      </c>
      <c r="W15" s="1" t="s">
        <v>22</v>
      </c>
      <c r="X15" s="10">
        <v>323.06479999999999</v>
      </c>
      <c r="Y15" s="10">
        <f>Table1[[#This Row],[Raw Terrestrial Score]]/Table1[[#This Row],[Summed Raw Scores]]</f>
        <v>0.26115430654885657</v>
      </c>
      <c r="Z15" s="10">
        <v>914</v>
      </c>
      <c r="AA15" s="10">
        <f>Table1[[#This Row],[Raw Freshwater Score]]/Table1[[#This Row],[Summed Raw Scores]]</f>
        <v>0.73884569345114337</v>
      </c>
      <c r="AB15" s="10">
        <f>Table1[[#This Row],[Raw Terrestrial Score]]+Table1[[#This Row],[Raw Freshwater Score]]</f>
        <v>1237.0648000000001</v>
      </c>
      <c r="AC15" s="11">
        <f>Table1[[#This Row],[Terrestrial % of Summed Score]]*Table1[[#This Row],[Scaled Summed Score]]</f>
        <v>3.9696675019727623E-2</v>
      </c>
      <c r="AD15" s="11">
        <f>Table1[[#This Row],[Freshwater % of Summed Score]]*Table1[[#This Row],[Scaled Summed Score]]</f>
        <v>0.11230799817259897</v>
      </c>
      <c r="AE15" s="11">
        <f>Table1[[#This Row],[Summed Raw Scores]]/MAX(Table1[Summed Raw Scores])</f>
        <v>0.15200467319232661</v>
      </c>
      <c r="AF15" s="1"/>
    </row>
    <row r="16" spans="1:32" x14ac:dyDescent="0.3">
      <c r="A16" s="8" t="s">
        <v>68</v>
      </c>
      <c r="B16" s="8" t="s">
        <v>64</v>
      </c>
      <c r="C16" s="8" t="s">
        <v>32</v>
      </c>
      <c r="D16" s="8" t="s">
        <v>182</v>
      </c>
      <c r="E16" s="12">
        <v>49.95</v>
      </c>
      <c r="F16" s="12">
        <v>-124.23</v>
      </c>
      <c r="G16" s="9">
        <v>40.1</v>
      </c>
      <c r="H16" s="9">
        <v>40</v>
      </c>
      <c r="I16" s="9">
        <v>16</v>
      </c>
      <c r="J16" s="13">
        <v>172.2</v>
      </c>
      <c r="K16" s="13">
        <v>79.419958709065014</v>
      </c>
      <c r="L16" s="9" t="s">
        <v>22</v>
      </c>
      <c r="M16" s="12">
        <v>0</v>
      </c>
      <c r="N16" s="1">
        <v>21.230865786513867</v>
      </c>
      <c r="O16" s="1">
        <f>Table1[[#This Row],[R1 Length (km)]]+Table1[[#This Row],[T1 Length (km)]]</f>
        <v>21.230865786513867</v>
      </c>
      <c r="P16" s="2">
        <v>130</v>
      </c>
      <c r="Q16" s="1">
        <f>(Table1[[#This Row],[Linear Features (km)]]*0.4)*100</f>
        <v>849.23463146055462</v>
      </c>
      <c r="R16" s="1">
        <v>21.23</v>
      </c>
      <c r="S16" s="3">
        <f>Table1[[#This Row],[ATG (ha)]]/Table1[[#This Row],[Linear Area (ha)]]</f>
        <v>2.4998980509647405E-2</v>
      </c>
      <c r="T16" s="2" t="s">
        <v>22</v>
      </c>
      <c r="U16" s="2" t="s">
        <v>22</v>
      </c>
      <c r="V16" s="1" t="s">
        <v>22</v>
      </c>
      <c r="W16" s="1" t="s">
        <v>22</v>
      </c>
      <c r="X16" s="10">
        <v>99.524050000000003</v>
      </c>
      <c r="Y16" s="10">
        <f>Table1[[#This Row],[Raw Terrestrial Score]]/Table1[[#This Row],[Summed Raw Scores]]</f>
        <v>0.24559719183674278</v>
      </c>
      <c r="Z16" s="10">
        <v>305.7088</v>
      </c>
      <c r="AA16" s="10">
        <f>Table1[[#This Row],[Raw Freshwater Score]]/Table1[[#This Row],[Summed Raw Scores]]</f>
        <v>0.75440280816325722</v>
      </c>
      <c r="AB16" s="10">
        <f>Table1[[#This Row],[Raw Terrestrial Score]]+Table1[[#This Row],[Raw Freshwater Score]]</f>
        <v>405.23284999999998</v>
      </c>
      <c r="AC16" s="11">
        <f>Table1[[#This Row],[Terrestrial % of Summed Score]]*Table1[[#This Row],[Scaled Summed Score]]</f>
        <v>1.2229044666881454E-2</v>
      </c>
      <c r="AD16" s="11">
        <f>Table1[[#This Row],[Freshwater % of Summed Score]]*Table1[[#This Row],[Scaled Summed Score]]</f>
        <v>3.7564051807163483E-2</v>
      </c>
      <c r="AE16" s="11">
        <f>Table1[[#This Row],[Summed Raw Scores]]/MAX(Table1[Summed Raw Scores])</f>
        <v>4.9793096474044937E-2</v>
      </c>
      <c r="AF16" s="1"/>
    </row>
    <row r="17" spans="1:32" x14ac:dyDescent="0.3">
      <c r="A17" s="8" t="s">
        <v>28</v>
      </c>
      <c r="B17" s="8" t="s">
        <v>24</v>
      </c>
      <c r="C17" s="8" t="s">
        <v>27</v>
      </c>
      <c r="D17" s="8" t="s">
        <v>182</v>
      </c>
      <c r="E17" s="9">
        <v>57.498854999999999</v>
      </c>
      <c r="F17" s="9">
        <v>-122.24574699999999</v>
      </c>
      <c r="G17" s="9">
        <v>12.2</v>
      </c>
      <c r="H17" s="9">
        <v>9</v>
      </c>
      <c r="I17" s="9" t="s">
        <v>22</v>
      </c>
      <c r="J17" s="9">
        <v>69</v>
      </c>
      <c r="K17" s="9">
        <v>216.85</v>
      </c>
      <c r="L17" s="9" t="s">
        <v>22</v>
      </c>
      <c r="M17" s="9">
        <v>0</v>
      </c>
      <c r="N17" s="9">
        <v>193.38300000000001</v>
      </c>
      <c r="O17" s="9">
        <f>Table1[[#This Row],[R1 Length (km)]]+Table1[[#This Row],[T1 Length (km)]]</f>
        <v>193.38300000000001</v>
      </c>
      <c r="P17" s="8">
        <v>230</v>
      </c>
      <c r="Q17" s="9">
        <f>(Table1[[#This Row],[Linear Features (km)]]*0.4)*100</f>
        <v>7735.3200000000015</v>
      </c>
      <c r="R17" s="1">
        <v>2.8</v>
      </c>
      <c r="S17" s="3">
        <f>Table1[[#This Row],[ATG (ha)]]/Table1[[#This Row],[Linear Area (ha)]]</f>
        <v>3.619759751374215E-4</v>
      </c>
      <c r="T17" s="2" t="s">
        <v>22</v>
      </c>
      <c r="U17" s="2" t="s">
        <v>22</v>
      </c>
      <c r="V17" s="1" t="s">
        <v>22</v>
      </c>
      <c r="W17" s="1" t="s">
        <v>22</v>
      </c>
      <c r="X17" s="10">
        <v>1184.797</v>
      </c>
      <c r="Y17" s="10">
        <f>Table1[[#This Row],[Raw Terrestrial Score]]/Table1[[#This Row],[Summed Raw Scores]]</f>
        <v>0.47472107862287266</v>
      </c>
      <c r="Z17" s="10">
        <v>1310.9780000000001</v>
      </c>
      <c r="AA17" s="10">
        <f>Table1[[#This Row],[Raw Freshwater Score]]/Table1[[#This Row],[Summed Raw Scores]]</f>
        <v>0.52527892137712739</v>
      </c>
      <c r="AB17" s="10">
        <f>Table1[[#This Row],[Raw Terrestrial Score]]+Table1[[#This Row],[Raw Freshwater Score]]</f>
        <v>2495.7750000000001</v>
      </c>
      <c r="AC17" s="11">
        <f>Table1[[#This Row],[Terrestrial % of Summed Score]]*Table1[[#This Row],[Scaled Summed Score]]</f>
        <v>0.14558225307538375</v>
      </c>
      <c r="AD17" s="11">
        <f>Table1[[#This Row],[Freshwater % of Summed Score]]*Table1[[#This Row],[Scaled Summed Score]]</f>
        <v>0.16108677771150709</v>
      </c>
      <c r="AE17" s="11">
        <f>Table1[[#This Row],[Summed Raw Scores]]/MAX(Table1[Summed Raw Scores])</f>
        <v>0.30666903078689084</v>
      </c>
      <c r="AF17" s="1"/>
    </row>
    <row r="18" spans="1:32" x14ac:dyDescent="0.3">
      <c r="A18" s="8" t="s">
        <v>43</v>
      </c>
      <c r="B18" s="8" t="s">
        <v>42</v>
      </c>
      <c r="C18" s="8" t="s">
        <v>32</v>
      </c>
      <c r="D18" s="8" t="s">
        <v>182</v>
      </c>
      <c r="E18" s="12">
        <v>49.402025060500002</v>
      </c>
      <c r="F18" s="12">
        <v>-122.2587474</v>
      </c>
      <c r="G18" s="9">
        <v>1000</v>
      </c>
      <c r="H18" s="9" t="s">
        <v>22</v>
      </c>
      <c r="I18" s="1">
        <v>495</v>
      </c>
      <c r="J18" s="8" t="s">
        <v>22</v>
      </c>
      <c r="K18" s="8" t="s">
        <v>22</v>
      </c>
      <c r="L18" s="13">
        <v>169.30148060606061</v>
      </c>
      <c r="M18" s="9">
        <v>1.4</v>
      </c>
      <c r="N18" s="9">
        <v>39.6</v>
      </c>
      <c r="O18" s="9">
        <f>Table1[[#This Row],[R1 Length (km)]]+Table1[[#This Row],[T1 Length (km)]]</f>
        <v>41</v>
      </c>
      <c r="P18" s="8">
        <v>500</v>
      </c>
      <c r="Q18" s="9">
        <f>(Table1[[#This Row],[Linear Features (km)]]*0.4)*100</f>
        <v>1640.0000000000002</v>
      </c>
      <c r="R18" s="1">
        <v>42.72</v>
      </c>
      <c r="S18" s="3">
        <f>Table1[[#This Row],[ATG (ha)]]/Table1[[#This Row],[Linear Area (ha)]]</f>
        <v>2.6048780487804873E-2</v>
      </c>
      <c r="T18" s="2" t="s">
        <v>22</v>
      </c>
      <c r="U18" s="2" t="s">
        <v>22</v>
      </c>
      <c r="V18" s="1" t="s">
        <v>22</v>
      </c>
      <c r="W18" s="1" t="s">
        <v>22</v>
      </c>
      <c r="X18" s="10">
        <v>341.67919999999998</v>
      </c>
      <c r="Y18" s="10">
        <f>Table1[[#This Row],[Raw Terrestrial Score]]/Table1[[#This Row],[Summed Raw Scores]]</f>
        <v>0.30248190132735403</v>
      </c>
      <c r="Z18" s="10">
        <v>787.90639999999996</v>
      </c>
      <c r="AA18" s="10">
        <f>Table1[[#This Row],[Raw Freshwater Score]]/Table1[[#This Row],[Summed Raw Scores]]</f>
        <v>0.69751809867264603</v>
      </c>
      <c r="AB18" s="10">
        <f>Table1[[#This Row],[Raw Terrestrial Score]]+Table1[[#This Row],[Raw Freshwater Score]]</f>
        <v>1129.5855999999999</v>
      </c>
      <c r="AC18" s="11">
        <f>Table1[[#This Row],[Terrestrial % of Summed Score]]*Table1[[#This Row],[Scaled Summed Score]]</f>
        <v>4.1983924473977106E-2</v>
      </c>
      <c r="AD18" s="11">
        <f>Table1[[#This Row],[Freshwater % of Summed Score]]*Table1[[#This Row],[Scaled Summed Score]]</f>
        <v>9.6814212835206817E-2</v>
      </c>
      <c r="AE18" s="11">
        <f>Table1[[#This Row],[Summed Raw Scores]]/MAX(Table1[Summed Raw Scores])</f>
        <v>0.13879813730918392</v>
      </c>
      <c r="AF18" s="1"/>
    </row>
    <row r="19" spans="1:32" x14ac:dyDescent="0.3">
      <c r="A19" s="8" t="s">
        <v>69</v>
      </c>
      <c r="B19" s="8" t="s">
        <v>64</v>
      </c>
      <c r="C19" s="8" t="s">
        <v>30</v>
      </c>
      <c r="D19" s="8" t="s">
        <v>182</v>
      </c>
      <c r="E19" s="14">
        <v>55.71</v>
      </c>
      <c r="F19" s="14">
        <v>-129.34</v>
      </c>
      <c r="G19" s="9">
        <v>40.1</v>
      </c>
      <c r="H19" s="9">
        <v>40</v>
      </c>
      <c r="I19" s="9">
        <v>3</v>
      </c>
      <c r="J19" s="13">
        <v>132.80000000000001</v>
      </c>
      <c r="K19" s="13">
        <v>116.36779578392621</v>
      </c>
      <c r="L19" s="9" t="s">
        <v>22</v>
      </c>
      <c r="M19" s="9">
        <v>9.1999999999999993</v>
      </c>
      <c r="N19" s="9">
        <v>33.299999999999997</v>
      </c>
      <c r="O19" s="9">
        <f>Table1[[#This Row],[R1 Length (km)]]+Table1[[#This Row],[T1 Length (km)]]</f>
        <v>42.5</v>
      </c>
      <c r="P19" s="8">
        <v>130</v>
      </c>
      <c r="Q19" s="9">
        <f>(Table1[[#This Row],[Linear Features (km)]]*0.4)*100</f>
        <v>1700</v>
      </c>
      <c r="R19" s="1">
        <v>49.02</v>
      </c>
      <c r="S19" s="3">
        <f>Table1[[#This Row],[ATG (ha)]]/Table1[[#This Row],[Linear Area (ha)]]</f>
        <v>2.883529411764706E-2</v>
      </c>
      <c r="T19" s="2" t="s">
        <v>22</v>
      </c>
      <c r="U19" s="2" t="s">
        <v>22</v>
      </c>
      <c r="V19" s="1" t="s">
        <v>22</v>
      </c>
      <c r="W19" s="1" t="s">
        <v>22</v>
      </c>
      <c r="X19" s="10">
        <v>690.42100000000005</v>
      </c>
      <c r="Y19" s="10">
        <f>Table1[[#This Row],[Raw Terrestrial Score]]/Table1[[#This Row],[Summed Raw Scores]]</f>
        <v>0.38127217554332671</v>
      </c>
      <c r="Z19" s="10">
        <v>1120.414</v>
      </c>
      <c r="AA19" s="10">
        <f>Table1[[#This Row],[Raw Freshwater Score]]/Table1[[#This Row],[Summed Raw Scores]]</f>
        <v>0.61872782445667329</v>
      </c>
      <c r="AB19" s="10">
        <f>Table1[[#This Row],[Raw Terrestrial Score]]+Table1[[#This Row],[Raw Freshwater Score]]</f>
        <v>1810.835</v>
      </c>
      <c r="AC19" s="11">
        <f>Table1[[#This Row],[Terrestrial % of Summed Score]]*Table1[[#This Row],[Scaled Summed Score]]</f>
        <v>8.4835667840617024E-2</v>
      </c>
      <c r="AD19" s="11">
        <f>Table1[[#This Row],[Freshwater % of Summed Score]]*Table1[[#This Row],[Scaled Summed Score]]</f>
        <v>0.1376711744688778</v>
      </c>
      <c r="AE19" s="11">
        <f>Table1[[#This Row],[Summed Raw Scores]]/MAX(Table1[Summed Raw Scores])</f>
        <v>0.22250684230949483</v>
      </c>
      <c r="AF19" s="1"/>
    </row>
    <row r="20" spans="1:32" x14ac:dyDescent="0.3">
      <c r="A20" s="8" t="s">
        <v>168</v>
      </c>
      <c r="B20" s="8" t="s">
        <v>42</v>
      </c>
      <c r="C20" s="8" t="s">
        <v>21</v>
      </c>
      <c r="D20" s="8" t="s">
        <v>182</v>
      </c>
      <c r="E20" s="9">
        <v>49.069879999999898</v>
      </c>
      <c r="F20" s="9">
        <v>-124.41682</v>
      </c>
      <c r="G20" s="9">
        <v>500</v>
      </c>
      <c r="H20" s="9" t="s">
        <v>22</v>
      </c>
      <c r="I20" s="13">
        <v>408</v>
      </c>
      <c r="J20" s="8" t="s">
        <v>22</v>
      </c>
      <c r="K20" s="8" t="s">
        <v>22</v>
      </c>
      <c r="L20" s="13">
        <v>172.06</v>
      </c>
      <c r="M20" s="9">
        <v>20.2</v>
      </c>
      <c r="N20" s="13">
        <v>43.7</v>
      </c>
      <c r="O20" s="13">
        <f>Table1[[#This Row],[R1 Length (km)]]+Table1[[#This Row],[T1 Length (km)]]</f>
        <v>63.900000000000006</v>
      </c>
      <c r="P20" s="16">
        <v>500</v>
      </c>
      <c r="Q20" s="13">
        <f>(Table1[[#This Row],[Linear Features (km)]]*0.4)*100</f>
        <v>2556</v>
      </c>
      <c r="R20" s="1">
        <v>54.03</v>
      </c>
      <c r="S20" s="3">
        <f>Table1[[#This Row],[ATG (ha)]]/Table1[[#This Row],[Linear Area (ha)]]</f>
        <v>2.1138497652582161E-2</v>
      </c>
      <c r="T20" s="16" t="s">
        <v>22</v>
      </c>
      <c r="U20" s="2" t="s">
        <v>22</v>
      </c>
      <c r="V20" s="1" t="s">
        <v>22</v>
      </c>
      <c r="W20" s="1" t="s">
        <v>22</v>
      </c>
      <c r="X20" s="10">
        <v>454.49829999999997</v>
      </c>
      <c r="Y20" s="10">
        <f>Table1[[#This Row],[Raw Terrestrial Score]]/Table1[[#This Row],[Summed Raw Scores]]</f>
        <v>0.31301221075876234</v>
      </c>
      <c r="Z20" s="10">
        <v>997.5163</v>
      </c>
      <c r="AA20" s="10">
        <f>Table1[[#This Row],[Raw Freshwater Score]]/Table1[[#This Row],[Summed Raw Scores]]</f>
        <v>0.68698778924123771</v>
      </c>
      <c r="AB20" s="10">
        <f>Table1[[#This Row],[Raw Terrestrial Score]]+Table1[[#This Row],[Raw Freshwater Score]]</f>
        <v>1452.0146</v>
      </c>
      <c r="AC20" s="11">
        <f>Table1[[#This Row],[Terrestrial % of Summed Score]]*Table1[[#This Row],[Scaled Summed Score]]</f>
        <v>5.5846602019528825E-2</v>
      </c>
      <c r="AD20" s="11">
        <f>Table1[[#This Row],[Freshwater % of Summed Score]]*Table1[[#This Row],[Scaled Summed Score]]</f>
        <v>0.12257008621174803</v>
      </c>
      <c r="AE20" s="11">
        <f>Table1[[#This Row],[Summed Raw Scores]]/MAX(Table1[Summed Raw Scores])</f>
        <v>0.17841668823127685</v>
      </c>
      <c r="AF20" s="1"/>
    </row>
    <row r="21" spans="1:32" x14ac:dyDescent="0.3">
      <c r="A21" s="8" t="s">
        <v>29</v>
      </c>
      <c r="B21" s="8" t="s">
        <v>24</v>
      </c>
      <c r="C21" s="8" t="s">
        <v>30</v>
      </c>
      <c r="D21" s="8" t="s">
        <v>182</v>
      </c>
      <c r="E21" s="9">
        <v>54.322493000000001</v>
      </c>
      <c r="F21" s="9">
        <v>-128.539906</v>
      </c>
      <c r="G21" s="9">
        <v>19.600000000000001</v>
      </c>
      <c r="H21" s="9">
        <v>17</v>
      </c>
      <c r="I21" s="9" t="s">
        <v>22</v>
      </c>
      <c r="J21" s="9">
        <v>130</v>
      </c>
      <c r="K21" s="9">
        <v>163.18</v>
      </c>
      <c r="L21" s="9" t="s">
        <v>22</v>
      </c>
      <c r="M21" s="9">
        <f>1145.3743238/1000</f>
        <v>1.1453743238</v>
      </c>
      <c r="N21" s="9">
        <f>18393.3047631/1000</f>
        <v>18.393304763100002</v>
      </c>
      <c r="O21" s="9">
        <f>Table1[[#This Row],[R1 Length (km)]]+Table1[[#This Row],[T1 Length (km)]]</f>
        <v>19.5386790869</v>
      </c>
      <c r="P21" s="8">
        <v>25</v>
      </c>
      <c r="Q21" s="9">
        <f>(Table1[[#This Row],[Linear Features (km)]]*0.4)*100</f>
        <v>781.54716347600004</v>
      </c>
      <c r="R21" s="1">
        <v>5.2</v>
      </c>
      <c r="S21" s="3">
        <f>Table1[[#This Row],[ATG (ha)]]/Table1[[#This Row],[Linear Area (ha)]]</f>
        <v>6.6534692249058149E-3</v>
      </c>
      <c r="T21" s="2" t="s">
        <v>22</v>
      </c>
      <c r="U21" s="2" t="s">
        <v>22</v>
      </c>
      <c r="V21" s="1" t="s">
        <v>22</v>
      </c>
      <c r="W21" s="1" t="s">
        <v>22</v>
      </c>
      <c r="X21" s="10">
        <v>123.05840000000001</v>
      </c>
      <c r="Y21" s="10">
        <f>Table1[[#This Row],[Raw Terrestrial Score]]/Table1[[#This Row],[Summed Raw Scores]]</f>
        <v>0.30304427271876555</v>
      </c>
      <c r="Z21" s="10">
        <v>283.01560000000001</v>
      </c>
      <c r="AA21" s="10">
        <f>Table1[[#This Row],[Raw Freshwater Score]]/Table1[[#This Row],[Summed Raw Scores]]</f>
        <v>0.69695572728123445</v>
      </c>
      <c r="AB21" s="10">
        <f>Table1[[#This Row],[Raw Terrestrial Score]]+Table1[[#This Row],[Raw Freshwater Score]]</f>
        <v>406.07400000000001</v>
      </c>
      <c r="AC21" s="11">
        <f>Table1[[#This Row],[Terrestrial % of Summed Score]]*Table1[[#This Row],[Scaled Summed Score]]</f>
        <v>1.5120834313263627E-2</v>
      </c>
      <c r="AD21" s="11">
        <f>Table1[[#This Row],[Freshwater % of Summed Score]]*Table1[[#This Row],[Scaled Summed Score]]</f>
        <v>3.4775618695423414E-2</v>
      </c>
      <c r="AE21" s="11">
        <f>Table1[[#This Row],[Summed Raw Scores]]/MAX(Table1[Summed Raw Scores])</f>
        <v>4.9896453008687044E-2</v>
      </c>
      <c r="AF21" s="1"/>
    </row>
    <row r="22" spans="1:32" x14ac:dyDescent="0.3">
      <c r="A22" s="8" t="s">
        <v>31</v>
      </c>
      <c r="B22" s="8" t="s">
        <v>24</v>
      </c>
      <c r="C22" s="8" t="s">
        <v>32</v>
      </c>
      <c r="D22" s="8" t="s">
        <v>182</v>
      </c>
      <c r="E22" s="14">
        <v>50.569090000000003</v>
      </c>
      <c r="F22" s="14">
        <v>-123.512111</v>
      </c>
      <c r="G22" s="9">
        <v>99</v>
      </c>
      <c r="H22" s="9">
        <v>89</v>
      </c>
      <c r="I22" s="9" t="s">
        <v>22</v>
      </c>
      <c r="J22" s="15">
        <v>656.90040009999996</v>
      </c>
      <c r="K22" s="13">
        <v>98.184276859616105</v>
      </c>
      <c r="L22" s="9" t="s">
        <v>22</v>
      </c>
      <c r="M22" s="9">
        <v>2.5</v>
      </c>
      <c r="N22" s="9">
        <v>67.8</v>
      </c>
      <c r="O22" s="9">
        <f>Table1[[#This Row],[R1 Length (km)]]+Table1[[#This Row],[T1 Length (km)]]</f>
        <v>70.3</v>
      </c>
      <c r="P22" s="8">
        <v>230</v>
      </c>
      <c r="Q22" s="9">
        <f>(Table1[[#This Row],[Linear Features (km)]]*0.4)*100</f>
        <v>2812</v>
      </c>
      <c r="R22" s="1">
        <v>26.5</v>
      </c>
      <c r="S22" s="3">
        <f>Table1[[#This Row],[ATG (ha)]]/Table1[[#This Row],[Linear Area (ha)]]</f>
        <v>9.423897581792318E-3</v>
      </c>
      <c r="T22" s="2" t="s">
        <v>22</v>
      </c>
      <c r="U22" s="2" t="s">
        <v>22</v>
      </c>
      <c r="V22" s="1" t="s">
        <v>22</v>
      </c>
      <c r="W22" s="1" t="s">
        <v>22</v>
      </c>
      <c r="X22" s="10">
        <v>836.46040000000005</v>
      </c>
      <c r="Y22" s="10">
        <f>Table1[[#This Row],[Raw Terrestrial Score]]/Table1[[#This Row],[Summed Raw Scores]]</f>
        <v>0.43161826482378357</v>
      </c>
      <c r="Z22" s="10">
        <v>1101.5029999999999</v>
      </c>
      <c r="AA22" s="10">
        <f>Table1[[#This Row],[Raw Freshwater Score]]/Table1[[#This Row],[Summed Raw Scores]]</f>
        <v>0.56838173517621637</v>
      </c>
      <c r="AB22" s="10">
        <f>Table1[[#This Row],[Raw Terrestrial Score]]+Table1[[#This Row],[Raw Freshwater Score]]</f>
        <v>1937.9634000000001</v>
      </c>
      <c r="AC22" s="11">
        <f>Table1[[#This Row],[Terrestrial % of Summed Score]]*Table1[[#This Row],[Scaled Summed Score]]</f>
        <v>0.10278029876876522</v>
      </c>
      <c r="AD22" s="11">
        <f>Table1[[#This Row],[Freshwater % of Summed Score]]*Table1[[#This Row],[Scaled Summed Score]]</f>
        <v>0.1353474802090944</v>
      </c>
      <c r="AE22" s="11">
        <f>Table1[[#This Row],[Summed Raw Scores]]/MAX(Table1[Summed Raw Scores])</f>
        <v>0.23812777897785964</v>
      </c>
      <c r="AF22" s="1"/>
    </row>
    <row r="23" spans="1:32" x14ac:dyDescent="0.3">
      <c r="A23" s="8" t="s">
        <v>70</v>
      </c>
      <c r="B23" s="8" t="s">
        <v>64</v>
      </c>
      <c r="C23" s="8" t="s">
        <v>30</v>
      </c>
      <c r="D23" s="8" t="s">
        <v>182</v>
      </c>
      <c r="E23" s="9">
        <v>57.03</v>
      </c>
      <c r="F23" s="9">
        <v>-130.38</v>
      </c>
      <c r="G23" s="9">
        <v>76.599999999999994</v>
      </c>
      <c r="H23" s="9">
        <v>40</v>
      </c>
      <c r="I23" s="9">
        <v>3</v>
      </c>
      <c r="J23" s="9">
        <v>152</v>
      </c>
      <c r="K23" s="9">
        <v>154.71</v>
      </c>
      <c r="L23" s="9" t="s">
        <v>22</v>
      </c>
      <c r="M23" s="9">
        <f>3621.32034355755/1000</f>
        <v>3.6213203435575503</v>
      </c>
      <c r="N23" s="9">
        <v>13.109500000000001</v>
      </c>
      <c r="O23" s="9">
        <f>Table1[[#This Row],[R1 Length (km)]]+Table1[[#This Row],[T1 Length (km)]]</f>
        <v>16.73082034355755</v>
      </c>
      <c r="P23" s="8">
        <v>230</v>
      </c>
      <c r="Q23" s="9">
        <f>(Table1[[#This Row],[Linear Features (km)]]*0.4)*100</f>
        <v>669.23281374230203</v>
      </c>
      <c r="R23" s="1">
        <v>660.1</v>
      </c>
      <c r="S23" s="3">
        <f>Table1[[#This Row],[ATG (ha)]]/Table1[[#This Row],[Linear Area (ha)]]</f>
        <v>0.98635330851272529</v>
      </c>
      <c r="T23" s="2" t="s">
        <v>22</v>
      </c>
      <c r="U23" s="2" t="s">
        <v>22</v>
      </c>
      <c r="V23" s="1" t="s">
        <v>22</v>
      </c>
      <c r="W23" s="1" t="s">
        <v>22</v>
      </c>
      <c r="X23" s="10">
        <v>189.2998</v>
      </c>
      <c r="Y23" s="10">
        <f>Table1[[#This Row],[Raw Terrestrial Score]]/Table1[[#This Row],[Summed Raw Scores]]</f>
        <v>0.271389780938181</v>
      </c>
      <c r="Z23" s="10">
        <v>508.22019999999998</v>
      </c>
      <c r="AA23" s="10">
        <f>Table1[[#This Row],[Raw Freshwater Score]]/Table1[[#This Row],[Summed Raw Scores]]</f>
        <v>0.728610219061819</v>
      </c>
      <c r="AB23" s="10">
        <f>Table1[[#This Row],[Raw Terrestrial Score]]+Table1[[#This Row],[Raw Freshwater Score]]</f>
        <v>697.52</v>
      </c>
      <c r="AC23" s="11">
        <f>Table1[[#This Row],[Terrestrial % of Summed Score]]*Table1[[#This Row],[Scaled Summed Score]]</f>
        <v>2.3260264324369097E-2</v>
      </c>
      <c r="AD23" s="11">
        <f>Table1[[#This Row],[Freshwater % of Summed Score]]*Table1[[#This Row],[Scaled Summed Score]]</f>
        <v>6.2447695068794183E-2</v>
      </c>
      <c r="AE23" s="11">
        <f>Table1[[#This Row],[Summed Raw Scores]]/MAX(Table1[Summed Raw Scores])</f>
        <v>8.570795939316328E-2</v>
      </c>
      <c r="AF23" s="1"/>
    </row>
    <row r="24" spans="1:32" x14ac:dyDescent="0.3">
      <c r="A24" s="8" t="s">
        <v>36</v>
      </c>
      <c r="B24" s="8" t="s">
        <v>169</v>
      </c>
      <c r="C24" s="8" t="s">
        <v>21</v>
      </c>
      <c r="D24" s="8" t="s">
        <v>182</v>
      </c>
      <c r="E24" s="9">
        <v>49.681317</v>
      </c>
      <c r="F24" s="9">
        <v>-126.12749599999999</v>
      </c>
      <c r="G24" s="9">
        <v>12.2</v>
      </c>
      <c r="H24" s="9">
        <v>13</v>
      </c>
      <c r="I24" s="9" t="s">
        <v>22</v>
      </c>
      <c r="J24" s="9">
        <v>107</v>
      </c>
      <c r="K24" s="9">
        <v>178.98</v>
      </c>
      <c r="L24" s="9" t="s">
        <v>22</v>
      </c>
      <c r="M24" s="9">
        <v>0</v>
      </c>
      <c r="N24" s="9">
        <v>13.988200000000001</v>
      </c>
      <c r="O24" s="9">
        <f>Table1[[#This Row],[R1 Length (km)]]+Table1[[#This Row],[T1 Length (km)]]</f>
        <v>13.988200000000001</v>
      </c>
      <c r="P24" s="8">
        <v>25</v>
      </c>
      <c r="Q24" s="9">
        <f>(Table1[[#This Row],[Linear Features (km)]]*0.4)*100</f>
        <v>559.52800000000002</v>
      </c>
      <c r="R24" s="1">
        <v>4</v>
      </c>
      <c r="S24" s="3">
        <f>Table1[[#This Row],[ATG (ha)]]/Table1[[#This Row],[Linear Area (ha)]]</f>
        <v>7.148882629644986E-3</v>
      </c>
      <c r="T24" s="2" t="s">
        <v>22</v>
      </c>
      <c r="U24" s="2" t="s">
        <v>22</v>
      </c>
      <c r="V24" s="1" t="s">
        <v>22</v>
      </c>
      <c r="W24" s="1" t="s">
        <v>22</v>
      </c>
      <c r="X24" s="10">
        <v>36.617170000000002</v>
      </c>
      <c r="Y24" s="10">
        <f>Table1[[#This Row],[Raw Terrestrial Score]]/Table1[[#This Row],[Summed Raw Scores]]</f>
        <v>0.18718791402615631</v>
      </c>
      <c r="Z24" s="10">
        <v>159</v>
      </c>
      <c r="AA24" s="10">
        <f>Table1[[#This Row],[Raw Freshwater Score]]/Table1[[#This Row],[Summed Raw Scores]]</f>
        <v>0.8128120859738438</v>
      </c>
      <c r="AB24" s="10">
        <f>Table1[[#This Row],[Raw Terrestrial Score]]+Table1[[#This Row],[Raw Freshwater Score]]</f>
        <v>195.61716999999999</v>
      </c>
      <c r="AC24" s="11">
        <f>Table1[[#This Row],[Terrestrial % of Summed Score]]*Table1[[#This Row],[Scaled Summed Score]]</f>
        <v>4.4993447061769656E-3</v>
      </c>
      <c r="AD24" s="11">
        <f>Table1[[#This Row],[Freshwater % of Summed Score]]*Table1[[#This Row],[Scaled Summed Score]]</f>
        <v>1.9537168172257372E-2</v>
      </c>
      <c r="AE24" s="11">
        <f>Table1[[#This Row],[Summed Raw Scores]]/MAX(Table1[Summed Raw Scores])</f>
        <v>2.4036512878434335E-2</v>
      </c>
      <c r="AF24" s="1"/>
    </row>
    <row r="25" spans="1:32" x14ac:dyDescent="0.3">
      <c r="A25" s="8" t="s">
        <v>38</v>
      </c>
      <c r="B25" s="8" t="s">
        <v>169</v>
      </c>
      <c r="C25" s="8" t="s">
        <v>21</v>
      </c>
      <c r="D25" s="8" t="s">
        <v>182</v>
      </c>
      <c r="E25" s="9">
        <v>49.101284</v>
      </c>
      <c r="F25" s="9">
        <v>-123.010378</v>
      </c>
      <c r="G25" s="9">
        <v>25.3</v>
      </c>
      <c r="H25" s="9">
        <v>27</v>
      </c>
      <c r="I25" s="9" t="s">
        <v>22</v>
      </c>
      <c r="J25" s="9">
        <v>222</v>
      </c>
      <c r="K25" s="9">
        <v>92.14</v>
      </c>
      <c r="L25" s="9" t="s">
        <v>22</v>
      </c>
      <c r="M25" s="9">
        <v>0</v>
      </c>
      <c r="N25" s="9">
        <v>2.5970599999999999</v>
      </c>
      <c r="O25" s="9">
        <f>Table1[[#This Row],[R1 Length (km)]]+Table1[[#This Row],[T1 Length (km)]]</f>
        <v>2.5970599999999999</v>
      </c>
      <c r="P25" s="8">
        <v>69</v>
      </c>
      <c r="Q25" s="9">
        <f>(Table1[[#This Row],[Linear Features (km)]]*0.4)*100</f>
        <v>103.88239999999999</v>
      </c>
      <c r="R25" s="1">
        <v>4</v>
      </c>
      <c r="S25" s="3">
        <f>Table1[[#This Row],[ATG (ha)]]/Table1[[#This Row],[Linear Area (ha)]]</f>
        <v>3.850507881989635E-2</v>
      </c>
      <c r="T25" s="2" t="s">
        <v>22</v>
      </c>
      <c r="U25" s="2" t="s">
        <v>22</v>
      </c>
      <c r="V25" s="1" t="s">
        <v>22</v>
      </c>
      <c r="W25" s="1" t="s">
        <v>22</v>
      </c>
      <c r="X25" s="10">
        <v>59.583350000000003</v>
      </c>
      <c r="Y25" s="10">
        <f>Table1[[#This Row],[Raw Terrestrial Score]]/Table1[[#This Row],[Summed Raw Scores]]</f>
        <v>0.49825790965046557</v>
      </c>
      <c r="Z25" s="10">
        <v>60</v>
      </c>
      <c r="AA25" s="10">
        <f>Table1[[#This Row],[Raw Freshwater Score]]/Table1[[#This Row],[Summed Raw Scores]]</f>
        <v>0.50174209034953443</v>
      </c>
      <c r="AB25" s="10">
        <f>Table1[[#This Row],[Raw Terrestrial Score]]+Table1[[#This Row],[Raw Freshwater Score]]</f>
        <v>119.58335</v>
      </c>
      <c r="AC25" s="11">
        <f>Table1[[#This Row],[Terrestrial % of Summed Score]]*Table1[[#This Row],[Scaled Summed Score]]</f>
        <v>7.3213203095375545E-3</v>
      </c>
      <c r="AD25" s="11">
        <f>Table1[[#This Row],[Freshwater % of Summed Score]]*Table1[[#This Row],[Scaled Summed Score]]</f>
        <v>7.372516291417875E-3</v>
      </c>
      <c r="AE25" s="11">
        <f>Table1[[#This Row],[Summed Raw Scores]]/MAX(Table1[Summed Raw Scores])</f>
        <v>1.469383660095543E-2</v>
      </c>
      <c r="AF25" s="1"/>
    </row>
    <row r="26" spans="1:32" x14ac:dyDescent="0.3">
      <c r="A26" s="8" t="s">
        <v>39</v>
      </c>
      <c r="B26" s="8" t="s">
        <v>169</v>
      </c>
      <c r="C26" s="8" t="s">
        <v>40</v>
      </c>
      <c r="D26" s="8" t="s">
        <v>182</v>
      </c>
      <c r="E26" s="9">
        <v>49.944439000000003</v>
      </c>
      <c r="F26" s="9">
        <v>-119.422766</v>
      </c>
      <c r="G26" s="9">
        <v>13.5</v>
      </c>
      <c r="H26" s="9">
        <v>14</v>
      </c>
      <c r="I26" s="9" t="s">
        <v>22</v>
      </c>
      <c r="J26" s="9">
        <v>118</v>
      </c>
      <c r="K26" s="9">
        <v>226.48</v>
      </c>
      <c r="L26" s="9" t="s">
        <v>22</v>
      </c>
      <c r="M26" s="9">
        <v>0</v>
      </c>
      <c r="N26" s="9">
        <v>19.576499999999999</v>
      </c>
      <c r="O26" s="9">
        <f>Table1[[#This Row],[R1 Length (km)]]+Table1[[#This Row],[T1 Length (km)]]</f>
        <v>19.576499999999999</v>
      </c>
      <c r="P26" s="8">
        <v>25</v>
      </c>
      <c r="Q26" s="9">
        <f>(Table1[[#This Row],[Linear Features (km)]]*0.4)*100</f>
        <v>783.06000000000006</v>
      </c>
      <c r="R26" s="1">
        <v>4</v>
      </c>
      <c r="S26" s="3">
        <f>Table1[[#This Row],[ATG (ha)]]/Table1[[#This Row],[Linear Area (ha)]]</f>
        <v>5.1081654023957292E-3</v>
      </c>
      <c r="T26" s="2" t="s">
        <v>22</v>
      </c>
      <c r="U26" s="2" t="s">
        <v>22</v>
      </c>
      <c r="V26" s="1" t="s">
        <v>22</v>
      </c>
      <c r="W26" s="1" t="s">
        <v>22</v>
      </c>
      <c r="X26" s="10">
        <v>389.75850000000003</v>
      </c>
      <c r="Y26" s="10">
        <f>Table1[[#This Row],[Raw Terrestrial Score]]/Table1[[#This Row],[Summed Raw Scores]]</f>
        <v>0.85145005499624804</v>
      </c>
      <c r="Z26" s="10">
        <v>68</v>
      </c>
      <c r="AA26" s="10">
        <f>Table1[[#This Row],[Raw Freshwater Score]]/Table1[[#This Row],[Summed Raw Scores]]</f>
        <v>0.14854994500375196</v>
      </c>
      <c r="AB26" s="10">
        <f>Table1[[#This Row],[Raw Terrestrial Score]]+Table1[[#This Row],[Raw Freshwater Score]]</f>
        <v>457.75850000000003</v>
      </c>
      <c r="AC26" s="11">
        <f>Table1[[#This Row],[Terrestrial % of Summed Score]]*Table1[[#This Row],[Scaled Summed Score]]</f>
        <v>4.7891681516143245E-2</v>
      </c>
      <c r="AD26" s="11">
        <f>Table1[[#This Row],[Freshwater % of Summed Score]]*Table1[[#This Row],[Scaled Summed Score]]</f>
        <v>8.3555184636069264E-3</v>
      </c>
      <c r="AE26" s="11">
        <f>Table1[[#This Row],[Summed Raw Scores]]/MAX(Table1[Summed Raw Scores])</f>
        <v>5.6247199979750168E-2</v>
      </c>
      <c r="AF26" s="1"/>
    </row>
    <row r="27" spans="1:32" x14ac:dyDescent="0.3">
      <c r="A27" s="8" t="s">
        <v>33</v>
      </c>
      <c r="B27" s="8" t="s">
        <v>24</v>
      </c>
      <c r="C27" s="8" t="s">
        <v>32</v>
      </c>
      <c r="D27" s="8" t="s">
        <v>182</v>
      </c>
      <c r="E27" s="9">
        <v>50.101612000000003</v>
      </c>
      <c r="F27" s="9">
        <v>-123.362587</v>
      </c>
      <c r="G27" s="9">
        <v>40.700000000000003</v>
      </c>
      <c r="H27" s="9">
        <v>31</v>
      </c>
      <c r="I27" s="9" t="s">
        <v>22</v>
      </c>
      <c r="J27" s="9">
        <v>232</v>
      </c>
      <c r="K27" s="9">
        <v>114.74</v>
      </c>
      <c r="L27" s="9" t="s">
        <v>22</v>
      </c>
      <c r="M27" s="9">
        <f>12486.3054484/1000</f>
        <v>12.4863054484</v>
      </c>
      <c r="N27" s="9">
        <f>64896.1864223/1000</f>
        <v>64.896186422300005</v>
      </c>
      <c r="O27" s="9">
        <f>Table1[[#This Row],[R1 Length (km)]]+Table1[[#This Row],[T1 Length (km)]]</f>
        <v>77.382491870700008</v>
      </c>
      <c r="P27" s="8">
        <v>69</v>
      </c>
      <c r="Q27" s="9">
        <f>(Table1[[#This Row],[Linear Features (km)]]*0.4)*100</f>
        <v>3095.2996748280002</v>
      </c>
      <c r="R27" s="1">
        <v>9.4</v>
      </c>
      <c r="S27" s="3">
        <f>Table1[[#This Row],[ATG (ha)]]/Table1[[#This Row],[Linear Area (ha)]]</f>
        <v>3.0368626587092377E-3</v>
      </c>
      <c r="T27" s="2" t="s">
        <v>22</v>
      </c>
      <c r="U27" s="2" t="s">
        <v>22</v>
      </c>
      <c r="V27" s="1" t="s">
        <v>22</v>
      </c>
      <c r="W27" s="1" t="s">
        <v>22</v>
      </c>
      <c r="X27" s="10">
        <v>727.4402</v>
      </c>
      <c r="Y27" s="10">
        <f>Table1[[#This Row],[Raw Terrestrial Score]]/Table1[[#This Row],[Summed Raw Scores]]</f>
        <v>0.32083317455747401</v>
      </c>
      <c r="Z27" s="10">
        <v>1539.9069999999999</v>
      </c>
      <c r="AA27" s="10">
        <f>Table1[[#This Row],[Raw Freshwater Score]]/Table1[[#This Row],[Summed Raw Scores]]</f>
        <v>0.67916682544252593</v>
      </c>
      <c r="AB27" s="10">
        <f>Table1[[#This Row],[Raw Terrestrial Score]]+Table1[[#This Row],[Raw Freshwater Score]]</f>
        <v>2267.3472000000002</v>
      </c>
      <c r="AC27" s="11">
        <f>Table1[[#This Row],[Terrestrial % of Summed Score]]*Table1[[#This Row],[Scaled Summed Score]]</f>
        <v>8.9384412092204629E-2</v>
      </c>
      <c r="AD27" s="11">
        <f>Table1[[#This Row],[Freshwater % of Summed Score]]*Table1[[#This Row],[Scaled Summed Score]]</f>
        <v>0.18921649074614044</v>
      </c>
      <c r="AE27" s="11">
        <f>Table1[[#This Row],[Summed Raw Scores]]/MAX(Table1[Summed Raw Scores])</f>
        <v>0.2786009028383451</v>
      </c>
      <c r="AF27" s="1"/>
    </row>
    <row r="28" spans="1:32" x14ac:dyDescent="0.3">
      <c r="A28" s="8" t="s">
        <v>71</v>
      </c>
      <c r="B28" s="8" t="s">
        <v>64</v>
      </c>
      <c r="C28" s="8" t="s">
        <v>32</v>
      </c>
      <c r="D28" s="8" t="s">
        <v>182</v>
      </c>
      <c r="E28" s="12">
        <v>49.9</v>
      </c>
      <c r="F28" s="12">
        <v>-122</v>
      </c>
      <c r="G28" s="9">
        <v>83.9</v>
      </c>
      <c r="H28" s="9">
        <v>40</v>
      </c>
      <c r="I28" s="9">
        <v>16</v>
      </c>
      <c r="J28" s="13">
        <v>371.8</v>
      </c>
      <c r="K28" s="13">
        <v>72.604934026208781</v>
      </c>
      <c r="L28" s="9" t="s">
        <v>22</v>
      </c>
      <c r="M28" s="9">
        <v>0.3</v>
      </c>
      <c r="N28" s="9">
        <v>53.3</v>
      </c>
      <c r="O28" s="9">
        <f>Table1[[#This Row],[R1 Length (km)]]+Table1[[#This Row],[T1 Length (km)]]</f>
        <v>53.599999999999994</v>
      </c>
      <c r="P28" s="8">
        <v>130</v>
      </c>
      <c r="Q28" s="9">
        <f>(Table1[[#This Row],[Linear Features (km)]]*0.4)*100</f>
        <v>2144</v>
      </c>
      <c r="R28" s="1">
        <v>53.32</v>
      </c>
      <c r="S28" s="3">
        <f>Table1[[#This Row],[ATG (ha)]]/Table1[[#This Row],[Linear Area (ha)]]</f>
        <v>2.4869402985074628E-2</v>
      </c>
      <c r="T28" s="2" t="s">
        <v>22</v>
      </c>
      <c r="U28" s="2" t="s">
        <v>22</v>
      </c>
      <c r="V28" s="1" t="s">
        <v>22</v>
      </c>
      <c r="W28" s="1" t="s">
        <v>22</v>
      </c>
      <c r="X28" s="10">
        <v>737.17359999999996</v>
      </c>
      <c r="Y28" s="10">
        <f>Table1[[#This Row],[Raw Terrestrial Score]]/Table1[[#This Row],[Summed Raw Scores]]</f>
        <v>0.48231154581479319</v>
      </c>
      <c r="Z28" s="10">
        <v>791.24429999999995</v>
      </c>
      <c r="AA28" s="10">
        <f>Table1[[#This Row],[Raw Freshwater Score]]/Table1[[#This Row],[Summed Raw Scores]]</f>
        <v>0.51768845418520681</v>
      </c>
      <c r="AB28" s="10">
        <f>Table1[[#This Row],[Raw Terrestrial Score]]+Table1[[#This Row],[Raw Freshwater Score]]</f>
        <v>1528.4178999999999</v>
      </c>
      <c r="AC28" s="11">
        <f>Table1[[#This Row],[Terrestrial % of Summed Score]]*Table1[[#This Row],[Scaled Summed Score]]</f>
        <v>9.0580406260052745E-2</v>
      </c>
      <c r="AD28" s="11">
        <f>Table1[[#This Row],[Freshwater % of Summed Score]]*Table1[[#This Row],[Scaled Summed Score]]</f>
        <v>9.7224358204025543E-2</v>
      </c>
      <c r="AE28" s="11">
        <f>Table1[[#This Row],[Summed Raw Scores]]/MAX(Table1[Summed Raw Scores])</f>
        <v>0.18780476446407829</v>
      </c>
      <c r="AF28" s="1"/>
    </row>
    <row r="29" spans="1:32" x14ac:dyDescent="0.3">
      <c r="A29" s="8" t="s">
        <v>72</v>
      </c>
      <c r="B29" s="8" t="s">
        <v>64</v>
      </c>
      <c r="C29" s="8" t="s">
        <v>30</v>
      </c>
      <c r="D29" s="8" t="s">
        <v>182</v>
      </c>
      <c r="E29" s="9">
        <v>56.33</v>
      </c>
      <c r="F29" s="9">
        <v>-128.69</v>
      </c>
      <c r="G29" s="9">
        <v>77.2</v>
      </c>
      <c r="H29" s="9">
        <v>40</v>
      </c>
      <c r="I29" s="9">
        <v>5</v>
      </c>
      <c r="J29" s="9">
        <v>286</v>
      </c>
      <c r="K29" s="9">
        <v>109.41</v>
      </c>
      <c r="L29" s="9" t="s">
        <v>22</v>
      </c>
      <c r="M29" s="9">
        <f>8100/1000</f>
        <v>8.1</v>
      </c>
      <c r="N29" s="9">
        <v>53.5441</v>
      </c>
      <c r="O29" s="9">
        <f>Table1[[#This Row],[R1 Length (km)]]+Table1[[#This Row],[T1 Length (km)]]</f>
        <v>61.644100000000002</v>
      </c>
      <c r="P29" s="8">
        <v>130</v>
      </c>
      <c r="Q29" s="9">
        <f>(Table1[[#This Row],[Linear Features (km)]]*0.4)*100</f>
        <v>2465.7640000000001</v>
      </c>
      <c r="R29" s="1">
        <v>347.8</v>
      </c>
      <c r="S29" s="3">
        <f>Table1[[#This Row],[ATG (ha)]]/Table1[[#This Row],[Linear Area (ha)]]</f>
        <v>0.14105161726750817</v>
      </c>
      <c r="T29" s="2" t="s">
        <v>22</v>
      </c>
      <c r="U29" s="2" t="s">
        <v>22</v>
      </c>
      <c r="V29" s="1" t="s">
        <v>22</v>
      </c>
      <c r="W29" s="1" t="s">
        <v>22</v>
      </c>
      <c r="X29" s="10">
        <v>407.82010000000002</v>
      </c>
      <c r="Y29" s="10">
        <f>Table1[[#This Row],[Raw Terrestrial Score]]/Table1[[#This Row],[Summed Raw Scores]]</f>
        <v>0.30335688237689751</v>
      </c>
      <c r="Z29" s="10">
        <v>936.53740000000005</v>
      </c>
      <c r="AA29" s="10">
        <f>Table1[[#This Row],[Raw Freshwater Score]]/Table1[[#This Row],[Summed Raw Scores]]</f>
        <v>0.69664311762310249</v>
      </c>
      <c r="AB29" s="10">
        <f>Table1[[#This Row],[Raw Terrestrial Score]]+Table1[[#This Row],[Raw Freshwater Score]]</f>
        <v>1344.3575000000001</v>
      </c>
      <c r="AC29" s="11">
        <f>Table1[[#This Row],[Terrestrial % of Summed Score]]*Table1[[#This Row],[Scaled Summed Score]]</f>
        <v>5.011100552029446E-2</v>
      </c>
      <c r="AD29" s="11">
        <f>Table1[[#This Row],[Freshwater % of Summed Score]]*Table1[[#This Row],[Scaled Summed Score]]</f>
        <v>0.11507728731703568</v>
      </c>
      <c r="AE29" s="11">
        <f>Table1[[#This Row],[Summed Raw Scores]]/MAX(Table1[Summed Raw Scores])</f>
        <v>0.16518829283733014</v>
      </c>
      <c r="AF29" s="1"/>
    </row>
    <row r="30" spans="1:32" x14ac:dyDescent="0.3">
      <c r="A30" s="8" t="s">
        <v>88</v>
      </c>
      <c r="B30" s="8" t="s">
        <v>80</v>
      </c>
      <c r="C30" s="8" t="s">
        <v>30</v>
      </c>
      <c r="D30" s="8" t="s">
        <v>182</v>
      </c>
      <c r="E30" s="9">
        <v>53.464523669999998</v>
      </c>
      <c r="F30" s="9">
        <v>-130.32914880000001</v>
      </c>
      <c r="G30" s="9">
        <v>345</v>
      </c>
      <c r="H30" s="8" t="s">
        <v>22</v>
      </c>
      <c r="I30" s="9">
        <v>82.8</v>
      </c>
      <c r="J30" s="1">
        <v>1150.2493200000001</v>
      </c>
      <c r="K30" s="1">
        <v>75.229339188373373</v>
      </c>
      <c r="L30" s="9" t="s">
        <v>22</v>
      </c>
      <c r="M30" s="9">
        <v>3.8769558105500002</v>
      </c>
      <c r="N30" s="9">
        <v>99.066101562499995</v>
      </c>
      <c r="O30" s="9">
        <f>Table1[[#This Row],[R1 Length (km)]]+Table1[[#This Row],[T1 Length (km)]]</f>
        <v>102.94305737305</v>
      </c>
      <c r="P30" s="8">
        <v>230</v>
      </c>
      <c r="Q30" s="9">
        <f>(Table1[[#This Row],[Linear Features (km)]]*0.4)*100</f>
        <v>4117.7222949220004</v>
      </c>
      <c r="R30" s="1">
        <f>((PI()*(45^2))*Table1[[#This Row],[Number of Turbines - WIND]])/10000</f>
        <v>43.895903352283383</v>
      </c>
      <c r="S30" s="3">
        <f>Table1[[#This Row],[ATG (ha)]]/Table1[[#This Row],[Linear Area (ha)]]</f>
        <v>1.066023889139296E-2</v>
      </c>
      <c r="T30" s="8" t="s">
        <v>81</v>
      </c>
      <c r="U30" s="8">
        <v>69</v>
      </c>
      <c r="V30" s="1" t="s">
        <v>22</v>
      </c>
      <c r="W30" s="1" t="s">
        <v>22</v>
      </c>
      <c r="X30" s="10">
        <f>1333.567+67.3643</f>
        <v>1400.9313</v>
      </c>
      <c r="Y30" s="10">
        <f>Table1[[#This Row],[Raw Terrestrial Score]]/Table1[[#This Row],[Summed Raw Scores]]</f>
        <v>0.2359310497860147</v>
      </c>
      <c r="Z30" s="10">
        <f>3968.208+568.7451</f>
        <v>4536.9530999999997</v>
      </c>
      <c r="AA30" s="10">
        <f>Table1[[#This Row],[Raw Freshwater Score]]/Table1[[#This Row],[Summed Raw Scores]]</f>
        <v>0.76406895021398524</v>
      </c>
      <c r="AB30" s="10">
        <f>Table1[[#This Row],[Raw Terrestrial Score]]+Table1[[#This Row],[Raw Freshwater Score]]</f>
        <v>5937.8843999999999</v>
      </c>
      <c r="AC30" s="11">
        <f>Table1[[#This Row],[Terrestrial % of Summed Score]]*Table1[[#This Row],[Scaled Summed Score]]</f>
        <v>0.17213981387345373</v>
      </c>
      <c r="AD30" s="11">
        <f>Table1[[#This Row],[Freshwater % of Summed Score]]*Table1[[#This Row],[Scaled Summed Score]]</f>
        <v>0.55747934405248056</v>
      </c>
      <c r="AE30" s="11">
        <f>Table1[[#This Row],[Summed Raw Scores]]/MAX(Table1[Summed Raw Scores])</f>
        <v>0.72961915792593435</v>
      </c>
      <c r="AF30" s="1"/>
    </row>
    <row r="31" spans="1:32" x14ac:dyDescent="0.3">
      <c r="A31" s="8" t="s">
        <v>89</v>
      </c>
      <c r="B31" s="8" t="s">
        <v>80</v>
      </c>
      <c r="C31" s="8" t="s">
        <v>30</v>
      </c>
      <c r="D31" s="8" t="s">
        <v>182</v>
      </c>
      <c r="E31" s="9">
        <v>53.66880613</v>
      </c>
      <c r="F31" s="9">
        <v>-130.29157169999999</v>
      </c>
      <c r="G31" s="9">
        <v>234</v>
      </c>
      <c r="H31" s="8" t="s">
        <v>22</v>
      </c>
      <c r="I31" s="9">
        <v>56.4</v>
      </c>
      <c r="J31" s="1">
        <v>723.39204000000007</v>
      </c>
      <c r="K31" s="1">
        <v>84.952197534795616</v>
      </c>
      <c r="L31" s="9" t="s">
        <v>22</v>
      </c>
      <c r="M31" s="9">
        <v>3.9355344238300001</v>
      </c>
      <c r="N31" s="9">
        <v>78.465390624999998</v>
      </c>
      <c r="O31" s="9">
        <f>Table1[[#This Row],[R1 Length (km)]]+Table1[[#This Row],[T1 Length (km)]]</f>
        <v>82.400925048830004</v>
      </c>
      <c r="P31" s="8">
        <v>230</v>
      </c>
      <c r="Q31" s="9">
        <f>(Table1[[#This Row],[Linear Features (km)]]*0.4)*100</f>
        <v>3296.0370019532002</v>
      </c>
      <c r="R31" s="1">
        <f>((PI()*(45^2))*Table1[[#This Row],[Number of Turbines - WIND]])/10000</f>
        <v>29.900108080540853</v>
      </c>
      <c r="S31" s="3">
        <f>Table1[[#This Row],[ATG (ha)]]/Table1[[#This Row],[Linear Area (ha)]]</f>
        <v>9.0715328932358258E-3</v>
      </c>
      <c r="T31" s="8" t="s">
        <v>81</v>
      </c>
      <c r="U31" s="8">
        <v>47</v>
      </c>
      <c r="V31" s="1" t="s">
        <v>22</v>
      </c>
      <c r="W31" s="1" t="s">
        <v>22</v>
      </c>
      <c r="X31" s="10">
        <f>298.5236+39.63728</f>
        <v>338.16087999999996</v>
      </c>
      <c r="Y31" s="10">
        <f>Table1[[#This Row],[Raw Terrestrial Score]]/Table1[[#This Row],[Summed Raw Scores]]</f>
        <v>0.15485274904677149</v>
      </c>
      <c r="Z31" s="10">
        <f>1487.473+358.1238</f>
        <v>1845.5968</v>
      </c>
      <c r="AA31" s="10">
        <f>Table1[[#This Row],[Raw Freshwater Score]]/Table1[[#This Row],[Summed Raw Scores]]</f>
        <v>0.8451472509532284</v>
      </c>
      <c r="AB31" s="10">
        <f>Table1[[#This Row],[Raw Terrestrial Score]]+Table1[[#This Row],[Raw Freshwater Score]]</f>
        <v>2183.7576800000002</v>
      </c>
      <c r="AC31" s="11">
        <f>Table1[[#This Row],[Terrestrial % of Summed Score]]*Table1[[#This Row],[Scaled Summed Score]]</f>
        <v>4.1551609948670083E-2</v>
      </c>
      <c r="AD31" s="11">
        <f>Table1[[#This Row],[Freshwater % of Summed Score]]*Table1[[#This Row],[Scaled Summed Score]]</f>
        <v>0.22677820792314499</v>
      </c>
      <c r="AE31" s="11">
        <f>Table1[[#This Row],[Summed Raw Scores]]/MAX(Table1[Summed Raw Scores])</f>
        <v>0.26832981787181509</v>
      </c>
      <c r="AF31" s="1"/>
    </row>
    <row r="32" spans="1:32" x14ac:dyDescent="0.3">
      <c r="A32" s="8" t="s">
        <v>90</v>
      </c>
      <c r="B32" s="8" t="s">
        <v>80</v>
      </c>
      <c r="C32" s="8" t="s">
        <v>30</v>
      </c>
      <c r="D32" s="8" t="s">
        <v>182</v>
      </c>
      <c r="E32" s="9">
        <v>54.2217287</v>
      </c>
      <c r="F32" s="9">
        <v>-126.3493254</v>
      </c>
      <c r="G32" s="9">
        <v>117</v>
      </c>
      <c r="H32" s="8" t="s">
        <v>22</v>
      </c>
      <c r="I32" s="9">
        <v>27.599999999999998</v>
      </c>
      <c r="J32" s="9">
        <v>338.78861999999998</v>
      </c>
      <c r="K32" s="9">
        <v>78.174797926861075</v>
      </c>
      <c r="L32" s="9" t="s">
        <v>22</v>
      </c>
      <c r="M32" s="9">
        <v>1.0656854248000001</v>
      </c>
      <c r="N32" s="9">
        <v>28.352900390624999</v>
      </c>
      <c r="O32" s="9">
        <f>Table1[[#This Row],[R1 Length (km)]]+Table1[[#This Row],[T1 Length (km)]]</f>
        <v>29.418585815425001</v>
      </c>
      <c r="P32" s="8">
        <v>130</v>
      </c>
      <c r="Q32" s="9">
        <f>(Table1[[#This Row],[Linear Features (km)]]*0.4)*100</f>
        <v>1176.7434326170001</v>
      </c>
      <c r="R32" s="1">
        <v>14.63</v>
      </c>
      <c r="S32" s="3">
        <f>Table1[[#This Row],[ATG (ha)]]/Table1[[#This Row],[Linear Area (ha)]]</f>
        <v>1.2432616655836219E-2</v>
      </c>
      <c r="T32" s="8" t="s">
        <v>91</v>
      </c>
      <c r="U32" s="2" t="s">
        <v>22</v>
      </c>
      <c r="V32" s="1" t="s">
        <v>22</v>
      </c>
      <c r="W32" s="1" t="s">
        <v>22</v>
      </c>
      <c r="X32" s="10">
        <v>223.81370000000001</v>
      </c>
      <c r="Y32" s="10">
        <f>Table1[[#This Row],[Raw Terrestrial Score]]/Table1[[#This Row],[Summed Raw Scores]]</f>
        <v>0.20990328346294082</v>
      </c>
      <c r="Z32" s="10">
        <v>842.45690000000002</v>
      </c>
      <c r="AA32" s="10">
        <f>Table1[[#This Row],[Raw Freshwater Score]]/Table1[[#This Row],[Summed Raw Scores]]</f>
        <v>0.79009671653705915</v>
      </c>
      <c r="AB32" s="10">
        <f>Table1[[#This Row],[Raw Terrestrial Score]]+Table1[[#This Row],[Raw Freshwater Score]]</f>
        <v>1066.2706000000001</v>
      </c>
      <c r="AC32" s="11">
        <f>Table1[[#This Row],[Terrestrial % of Summed Score]]*Table1[[#This Row],[Scaled Summed Score]]</f>
        <v>2.7501169158208549E-2</v>
      </c>
      <c r="AD32" s="11">
        <f>Table1[[#This Row],[Freshwater % of Summed Score]]*Table1[[#This Row],[Scaled Summed Score]]</f>
        <v>0.10351712033445667</v>
      </c>
      <c r="AE32" s="11">
        <f>Table1[[#This Row],[Summed Raw Scores]]/MAX(Table1[Summed Raw Scores])</f>
        <v>0.13101828949266522</v>
      </c>
      <c r="AF32" s="1"/>
    </row>
    <row r="33" spans="1:32" x14ac:dyDescent="0.3">
      <c r="A33" s="8" t="s">
        <v>92</v>
      </c>
      <c r="B33" s="8" t="s">
        <v>80</v>
      </c>
      <c r="C33" s="8" t="s">
        <v>30</v>
      </c>
      <c r="D33" s="8" t="s">
        <v>182</v>
      </c>
      <c r="E33" s="9">
        <v>54.280761560000002</v>
      </c>
      <c r="F33" s="9">
        <v>-125.5268817</v>
      </c>
      <c r="G33" s="9">
        <v>195</v>
      </c>
      <c r="H33" s="8" t="s">
        <v>22</v>
      </c>
      <c r="I33" s="9">
        <v>46.8</v>
      </c>
      <c r="J33" s="9">
        <v>516.38886000000002</v>
      </c>
      <c r="K33" s="9">
        <v>84.12008727319369</v>
      </c>
      <c r="L33" s="9" t="s">
        <v>22</v>
      </c>
      <c r="M33" s="9">
        <v>1.48994958496</v>
      </c>
      <c r="N33" s="9">
        <v>42.6198046875</v>
      </c>
      <c r="O33" s="9">
        <f>Table1[[#This Row],[R1 Length (km)]]+Table1[[#This Row],[T1 Length (km)]]</f>
        <v>44.109754272460002</v>
      </c>
      <c r="P33" s="8">
        <v>230</v>
      </c>
      <c r="Q33" s="9">
        <f>(Table1[[#This Row],[Linear Features (km)]]*0.4)*100</f>
        <v>1764.3901708983999</v>
      </c>
      <c r="R33" s="1">
        <f>((PI()*(45^2))*Table1[[#This Row],[Number of Turbines - WIND]])/10000</f>
        <v>24.810727981725389</v>
      </c>
      <c r="S33" s="3">
        <f>Table1[[#This Row],[ATG (ha)]]/Table1[[#This Row],[Linear Area (ha)]]</f>
        <v>1.4061928246342562E-2</v>
      </c>
      <c r="T33" s="8" t="s">
        <v>81</v>
      </c>
      <c r="U33" s="8">
        <v>39</v>
      </c>
      <c r="V33" s="1" t="s">
        <v>22</v>
      </c>
      <c r="W33" s="1" t="s">
        <v>22</v>
      </c>
      <c r="X33" s="10">
        <f>155.6681+2.067903</f>
        <v>157.73600300000001</v>
      </c>
      <c r="Y33" s="10">
        <f>Table1[[#This Row],[Raw Terrestrial Score]]/Table1[[#This Row],[Summed Raw Scores]]</f>
        <v>0.14122986138754418</v>
      </c>
      <c r="Z33" s="10">
        <f>706.4183+252.72</f>
        <v>959.13830000000007</v>
      </c>
      <c r="AA33" s="10">
        <f>Table1[[#This Row],[Raw Freshwater Score]]/Table1[[#This Row],[Summed Raw Scores]]</f>
        <v>0.85877013861245588</v>
      </c>
      <c r="AB33" s="10">
        <f>Table1[[#This Row],[Raw Terrestrial Score]]+Table1[[#This Row],[Raw Freshwater Score]]</f>
        <v>1116.8743030000001</v>
      </c>
      <c r="AC33" s="11">
        <f>Table1[[#This Row],[Terrestrial % of Summed Score]]*Table1[[#This Row],[Scaled Summed Score]]</f>
        <v>1.9381854197677319E-2</v>
      </c>
      <c r="AD33" s="11">
        <f>Table1[[#This Row],[Freshwater % of Summed Score]]*Table1[[#This Row],[Scaled Summed Score]]</f>
        <v>0.11785437904121411</v>
      </c>
      <c r="AE33" s="11">
        <f>Table1[[#This Row],[Summed Raw Scores]]/MAX(Table1[Summed Raw Scores])</f>
        <v>0.13723623323889142</v>
      </c>
      <c r="AF33" s="1"/>
    </row>
    <row r="34" spans="1:32" x14ac:dyDescent="0.3">
      <c r="A34" s="8" t="s">
        <v>93</v>
      </c>
      <c r="B34" s="8" t="s">
        <v>80</v>
      </c>
      <c r="C34" s="8" t="s">
        <v>30</v>
      </c>
      <c r="D34" s="8" t="s">
        <v>182</v>
      </c>
      <c r="E34" s="9">
        <v>53.731754780000003</v>
      </c>
      <c r="F34" s="9">
        <v>-124.2257591</v>
      </c>
      <c r="G34" s="9">
        <v>333</v>
      </c>
      <c r="H34" s="8" t="s">
        <v>22</v>
      </c>
      <c r="I34" s="9">
        <v>80.399999999999991</v>
      </c>
      <c r="J34" s="9">
        <v>1126.00602</v>
      </c>
      <c r="K34" s="9">
        <v>61.8691277592863</v>
      </c>
      <c r="L34" s="9" t="s">
        <v>22</v>
      </c>
      <c r="M34" s="9">
        <v>0.241421356201</v>
      </c>
      <c r="N34" s="9">
        <v>34.152187499999997</v>
      </c>
      <c r="O34" s="9">
        <f>Table1[[#This Row],[R1 Length (km)]]+Table1[[#This Row],[T1 Length (km)]]</f>
        <v>34.393608856200999</v>
      </c>
      <c r="P34" s="8">
        <v>230</v>
      </c>
      <c r="Q34" s="9">
        <f>(Table1[[#This Row],[Linear Features (km)]]*0.4)*100</f>
        <v>1375.7443542480401</v>
      </c>
      <c r="R34" s="1">
        <f>((PI()*(45^2))*Table1[[#This Row],[Number of Turbines - WIND]])/10000</f>
        <v>42.623558327579516</v>
      </c>
      <c r="S34" s="3">
        <f>Table1[[#This Row],[ATG (ha)]]/Table1[[#This Row],[Linear Area (ha)]]</f>
        <v>3.0982179353283172E-2</v>
      </c>
      <c r="T34" s="8" t="s">
        <v>81</v>
      </c>
      <c r="U34" s="8">
        <v>67</v>
      </c>
      <c r="V34" s="1" t="s">
        <v>22</v>
      </c>
      <c r="W34" s="1" t="s">
        <v>22</v>
      </c>
      <c r="X34" s="10">
        <f>251.7909+10.74379</f>
        <v>262.53469000000001</v>
      </c>
      <c r="Y34" s="10">
        <f>Table1[[#This Row],[Raw Terrestrial Score]]/Table1[[#This Row],[Summed Raw Scores]]</f>
        <v>0.14988030655966711</v>
      </c>
      <c r="Z34" s="10">
        <f>1104.322+384.7723</f>
        <v>1489.0942999999997</v>
      </c>
      <c r="AA34" s="10">
        <f>Table1[[#This Row],[Raw Freshwater Score]]/Table1[[#This Row],[Summed Raw Scores]]</f>
        <v>0.85011969344033289</v>
      </c>
      <c r="AB34" s="10">
        <f>Table1[[#This Row],[Raw Terrestrial Score]]+Table1[[#This Row],[Raw Freshwater Score]]</f>
        <v>1751.6289899999997</v>
      </c>
      <c r="AC34" s="11">
        <f>Table1[[#This Row],[Terrestrial % of Summed Score]]*Table1[[#This Row],[Scaled Summed Score]]</f>
        <v>3.2259021318122361E-2</v>
      </c>
      <c r="AD34" s="11">
        <f>Table1[[#This Row],[Freshwater % of Summed Score]]*Table1[[#This Row],[Scaled Summed Score]]</f>
        <v>0.18297286643679159</v>
      </c>
      <c r="AE34" s="11">
        <f>Table1[[#This Row],[Summed Raw Scores]]/MAX(Table1[Summed Raw Scores])</f>
        <v>0.21523188775491395</v>
      </c>
      <c r="AF34" s="1"/>
    </row>
    <row r="35" spans="1:32" x14ac:dyDescent="0.3">
      <c r="A35" s="8" t="s">
        <v>94</v>
      </c>
      <c r="B35" s="8" t="s">
        <v>80</v>
      </c>
      <c r="C35" s="8" t="s">
        <v>55</v>
      </c>
      <c r="D35" s="8" t="s">
        <v>182</v>
      </c>
      <c r="E35" s="9">
        <v>53.603466359999999</v>
      </c>
      <c r="F35" s="9">
        <v>-122.39073879999999</v>
      </c>
      <c r="G35" s="9">
        <v>96</v>
      </c>
      <c r="H35" s="8" t="s">
        <v>22</v>
      </c>
      <c r="I35" s="9">
        <v>22.8</v>
      </c>
      <c r="J35" s="9">
        <v>300.25776000000002</v>
      </c>
      <c r="K35" s="9">
        <v>81.417215013863583</v>
      </c>
      <c r="L35" s="9" t="s">
        <v>22</v>
      </c>
      <c r="M35" s="9">
        <v>2.6384777831999999</v>
      </c>
      <c r="N35" s="9">
        <v>33.161730468750001</v>
      </c>
      <c r="O35" s="9">
        <f>Table1[[#This Row],[R1 Length (km)]]+Table1[[#This Row],[T1 Length (km)]]</f>
        <v>35.800208251950004</v>
      </c>
      <c r="P35" s="8">
        <v>230</v>
      </c>
      <c r="Q35" s="9">
        <f>(Table1[[#This Row],[Linear Features (km)]]*0.4)*100</f>
        <v>1432.0083300780002</v>
      </c>
      <c r="R35" s="1">
        <v>12.09</v>
      </c>
      <c r="S35" s="3">
        <f>Table1[[#This Row],[ATG (ha)]]/Table1[[#This Row],[Linear Area (ha)]]</f>
        <v>8.4426883182596203E-3</v>
      </c>
      <c r="T35" s="8" t="s">
        <v>91</v>
      </c>
      <c r="U35" s="2" t="s">
        <v>22</v>
      </c>
      <c r="V35" s="1" t="s">
        <v>22</v>
      </c>
      <c r="W35" s="1" t="s">
        <v>22</v>
      </c>
      <c r="X35" s="10">
        <v>251.5129</v>
      </c>
      <c r="Y35" s="10">
        <f>Table1[[#This Row],[Raw Terrestrial Score]]/Table1[[#This Row],[Summed Raw Scores]]</f>
        <v>0.32552012924880663</v>
      </c>
      <c r="Z35" s="10">
        <v>521.13639999999998</v>
      </c>
      <c r="AA35" s="10">
        <f>Table1[[#This Row],[Raw Freshwater Score]]/Table1[[#This Row],[Summed Raw Scores]]</f>
        <v>0.67447987075119331</v>
      </c>
      <c r="AB35" s="10">
        <f>Table1[[#This Row],[Raw Terrestrial Score]]+Table1[[#This Row],[Raw Freshwater Score]]</f>
        <v>772.64930000000004</v>
      </c>
      <c r="AC35" s="11">
        <f>Table1[[#This Row],[Terrestrial % of Summed Score]]*Table1[[#This Row],[Scaled Summed Score]]</f>
        <v>3.0904715879195917E-2</v>
      </c>
      <c r="AD35" s="11">
        <f>Table1[[#This Row],[Freshwater % of Summed Score]]*Table1[[#This Row],[Scaled Summed Score]]</f>
        <v>6.4034776650847711E-2</v>
      </c>
      <c r="AE35" s="11">
        <f>Table1[[#This Row],[Summed Raw Scores]]/MAX(Table1[Summed Raw Scores])</f>
        <v>9.4939492530043634E-2</v>
      </c>
      <c r="AF35" s="1"/>
    </row>
    <row r="36" spans="1:32" x14ac:dyDescent="0.3">
      <c r="A36" s="8" t="s">
        <v>95</v>
      </c>
      <c r="B36" s="8" t="s">
        <v>80</v>
      </c>
      <c r="C36" s="8" t="s">
        <v>30</v>
      </c>
      <c r="D36" s="8" t="s">
        <v>182</v>
      </c>
      <c r="E36" s="9">
        <v>53.759855649999999</v>
      </c>
      <c r="F36" s="9">
        <v>-123.8971043</v>
      </c>
      <c r="G36" s="9">
        <v>75</v>
      </c>
      <c r="H36" s="8" t="s">
        <v>22</v>
      </c>
      <c r="I36" s="9">
        <v>18</v>
      </c>
      <c r="J36" s="9">
        <v>246.9006</v>
      </c>
      <c r="K36" s="9">
        <v>84.536178019825769</v>
      </c>
      <c r="L36" s="9" t="s">
        <v>22</v>
      </c>
      <c r="M36" s="9">
        <v>1.95563513184</v>
      </c>
      <c r="N36" s="9">
        <v>31.794826171874998</v>
      </c>
      <c r="O36" s="9">
        <f>Table1[[#This Row],[R1 Length (km)]]+Table1[[#This Row],[T1 Length (km)]]</f>
        <v>33.750461303714999</v>
      </c>
      <c r="P36" s="8">
        <v>230</v>
      </c>
      <c r="Q36" s="9">
        <f>(Table1[[#This Row],[Linear Features (km)]]*0.4)*100</f>
        <v>1350.0184521486001</v>
      </c>
      <c r="R36" s="1">
        <v>9.5399999999999991</v>
      </c>
      <c r="S36" s="3">
        <f>Table1[[#This Row],[ATG (ha)]]/Table1[[#This Row],[Linear Area (ha)]]</f>
        <v>7.0665700789620811E-3</v>
      </c>
      <c r="T36" s="8" t="s">
        <v>91</v>
      </c>
      <c r="U36" s="2" t="s">
        <v>22</v>
      </c>
      <c r="V36" s="1" t="s">
        <v>22</v>
      </c>
      <c r="W36" s="1" t="s">
        <v>22</v>
      </c>
      <c r="X36" s="10">
        <v>445.17739999999998</v>
      </c>
      <c r="Y36" s="10">
        <f>Table1[[#This Row],[Raw Terrestrial Score]]/Table1[[#This Row],[Summed Raw Scores]]</f>
        <v>0.28559908347037694</v>
      </c>
      <c r="Z36" s="10">
        <v>1113.5719999999999</v>
      </c>
      <c r="AA36" s="10">
        <f>Table1[[#This Row],[Raw Freshwater Score]]/Table1[[#This Row],[Summed Raw Scores]]</f>
        <v>0.71440091652962301</v>
      </c>
      <c r="AB36" s="10">
        <f>Table1[[#This Row],[Raw Terrestrial Score]]+Table1[[#This Row],[Raw Freshwater Score]]</f>
        <v>1558.7493999999999</v>
      </c>
      <c r="AC36" s="11">
        <f>Table1[[#This Row],[Terrestrial % of Summed Score]]*Table1[[#This Row],[Scaled Summed Score]]</f>
        <v>5.4701293901184195E-2</v>
      </c>
      <c r="AD36" s="11">
        <f>Table1[[#This Row],[Freshwater % of Summed Score]]*Table1[[#This Row],[Scaled Summed Score]]</f>
        <v>0.13683046186111311</v>
      </c>
      <c r="AE36" s="11">
        <f>Table1[[#This Row],[Summed Raw Scores]]/MAX(Table1[Summed Raw Scores])</f>
        <v>0.19153175576229731</v>
      </c>
      <c r="AF36" s="1"/>
    </row>
    <row r="37" spans="1:32" x14ac:dyDescent="0.3">
      <c r="A37" s="8" t="s">
        <v>73</v>
      </c>
      <c r="B37" s="8" t="s">
        <v>64</v>
      </c>
      <c r="C37" s="8" t="s">
        <v>21</v>
      </c>
      <c r="D37" s="8" t="s">
        <v>182</v>
      </c>
      <c r="E37" s="12">
        <v>50.52</v>
      </c>
      <c r="F37" s="12">
        <v>-127.02</v>
      </c>
      <c r="G37" s="9">
        <v>77.599999999999994</v>
      </c>
      <c r="H37" s="9">
        <v>40</v>
      </c>
      <c r="I37" s="9">
        <v>38</v>
      </c>
      <c r="J37" s="13">
        <v>380</v>
      </c>
      <c r="K37" s="13">
        <v>75.443835022643938</v>
      </c>
      <c r="L37" s="9" t="s">
        <v>22</v>
      </c>
      <c r="M37" s="9">
        <v>0</v>
      </c>
      <c r="N37" s="9">
        <v>7.6</v>
      </c>
      <c r="O37" s="9">
        <f>Table1[[#This Row],[R1 Length (km)]]+Table1[[#This Row],[T1 Length (km)]]</f>
        <v>7.6</v>
      </c>
      <c r="P37" s="8">
        <v>130</v>
      </c>
      <c r="Q37" s="9">
        <f>(Table1[[#This Row],[Linear Features (km)]]*0.4)*100</f>
        <v>304</v>
      </c>
      <c r="R37" s="1">
        <v>7.62</v>
      </c>
      <c r="S37" s="3">
        <f>Table1[[#This Row],[ATG (ha)]]/Table1[[#This Row],[Linear Area (ha)]]</f>
        <v>2.5065789473684211E-2</v>
      </c>
      <c r="T37" s="2" t="s">
        <v>22</v>
      </c>
      <c r="U37" s="2" t="s">
        <v>22</v>
      </c>
      <c r="V37" s="1" t="s">
        <v>22</v>
      </c>
      <c r="W37" s="1" t="s">
        <v>22</v>
      </c>
      <c r="X37" s="10">
        <v>20.30828</v>
      </c>
      <c r="Y37" s="10">
        <f>Table1[[#This Row],[Raw Terrestrial Score]]/Table1[[#This Row],[Summed Raw Scores]]</f>
        <v>0.12723618841021364</v>
      </c>
      <c r="Z37" s="10">
        <v>139.30260000000001</v>
      </c>
      <c r="AA37" s="10">
        <f>Table1[[#This Row],[Raw Freshwater Score]]/Table1[[#This Row],[Summed Raw Scores]]</f>
        <v>0.87276381158978644</v>
      </c>
      <c r="AB37" s="10">
        <f>Table1[[#This Row],[Raw Terrestrial Score]]+Table1[[#This Row],[Raw Freshwater Score]]</f>
        <v>159.61088000000001</v>
      </c>
      <c r="AC37" s="11">
        <f>Table1[[#This Row],[Terrestrial % of Summed Score]]*Table1[[#This Row],[Scaled Summed Score]]</f>
        <v>2.4953854191779304E-3</v>
      </c>
      <c r="AD37" s="11">
        <f>Table1[[#This Row],[Freshwater % of Summed Score]]*Table1[[#This Row],[Scaled Summed Score]]</f>
        <v>1.7116844798947799E-2</v>
      </c>
      <c r="AE37" s="11">
        <f>Table1[[#This Row],[Summed Raw Scores]]/MAX(Table1[Summed Raw Scores])</f>
        <v>1.9612230218125727E-2</v>
      </c>
      <c r="AF37" s="1"/>
    </row>
    <row r="38" spans="1:32" x14ac:dyDescent="0.3">
      <c r="A38" s="8" t="s">
        <v>96</v>
      </c>
      <c r="B38" s="8" t="s">
        <v>80</v>
      </c>
      <c r="C38" s="8" t="s">
        <v>27</v>
      </c>
      <c r="D38" s="8" t="s">
        <v>182</v>
      </c>
      <c r="E38" s="9">
        <v>56.835681530000002</v>
      </c>
      <c r="F38" s="9">
        <v>-123.01556770000001</v>
      </c>
      <c r="G38" s="9">
        <v>243</v>
      </c>
      <c r="H38" s="8" t="s">
        <v>22</v>
      </c>
      <c r="I38" s="9">
        <v>58.8</v>
      </c>
      <c r="J38" s="9">
        <v>935.09933999999998</v>
      </c>
      <c r="K38" s="9">
        <v>72.047365486389182</v>
      </c>
      <c r="L38" s="9" t="s">
        <v>22</v>
      </c>
      <c r="M38" s="9">
        <v>6.5627421874999996</v>
      </c>
      <c r="N38" s="9">
        <v>134.880015625</v>
      </c>
      <c r="O38" s="9">
        <f>Table1[[#This Row],[R1 Length (km)]]+Table1[[#This Row],[T1 Length (km)]]</f>
        <v>141.44275781249999</v>
      </c>
      <c r="P38" s="8">
        <v>230</v>
      </c>
      <c r="Q38" s="9">
        <f>(Table1[[#This Row],[Linear Features (km)]]*0.4)*100</f>
        <v>5657.7103125000003</v>
      </c>
      <c r="R38" s="1">
        <v>31.17</v>
      </c>
      <c r="S38" s="3">
        <f>Table1[[#This Row],[ATG (ha)]]/Table1[[#This Row],[Linear Area (ha)]]</f>
        <v>5.5092958596932402E-3</v>
      </c>
      <c r="T38" s="8" t="s">
        <v>91</v>
      </c>
      <c r="U38" s="2" t="s">
        <v>22</v>
      </c>
      <c r="V38" s="1" t="s">
        <v>22</v>
      </c>
      <c r="W38" s="1" t="s">
        <v>22</v>
      </c>
      <c r="X38" s="10">
        <v>820.08159999999998</v>
      </c>
      <c r="Y38" s="10">
        <f>Table1[[#This Row],[Raw Terrestrial Score]]/Table1[[#This Row],[Summed Raw Scores]]</f>
        <v>0.53905045062762902</v>
      </c>
      <c r="Z38" s="10">
        <v>701.26319999999998</v>
      </c>
      <c r="AA38" s="10">
        <f>Table1[[#This Row],[Raw Freshwater Score]]/Table1[[#This Row],[Summed Raw Scores]]</f>
        <v>0.46094954937237109</v>
      </c>
      <c r="AB38" s="10">
        <f>Table1[[#This Row],[Raw Terrestrial Score]]+Table1[[#This Row],[Raw Freshwater Score]]</f>
        <v>1521.3447999999999</v>
      </c>
      <c r="AC38" s="11">
        <f>Table1[[#This Row],[Terrestrial % of Summed Score]]*Table1[[#This Row],[Scaled Summed Score]]</f>
        <v>0.10076774927153398</v>
      </c>
      <c r="AD38" s="11">
        <f>Table1[[#This Row],[Freshwater % of Summed Score]]*Table1[[#This Row],[Scaled Summed Score]]</f>
        <v>8.616790610953054E-2</v>
      </c>
      <c r="AE38" s="11">
        <f>Table1[[#This Row],[Summed Raw Scores]]/MAX(Table1[Summed Raw Scores])</f>
        <v>0.18693565538106449</v>
      </c>
      <c r="AF38" s="1"/>
    </row>
    <row r="39" spans="1:32" x14ac:dyDescent="0.3">
      <c r="A39" s="8" t="s">
        <v>97</v>
      </c>
      <c r="B39" s="8" t="s">
        <v>80</v>
      </c>
      <c r="C39" s="8" t="s">
        <v>27</v>
      </c>
      <c r="D39" s="8" t="s">
        <v>182</v>
      </c>
      <c r="E39" s="9">
        <v>56.576144149999998</v>
      </c>
      <c r="F39" s="9">
        <v>-122.7750882</v>
      </c>
      <c r="G39" s="9">
        <v>207</v>
      </c>
      <c r="H39" s="8" t="s">
        <v>22</v>
      </c>
      <c r="I39" s="9">
        <v>49.199999999999996</v>
      </c>
      <c r="J39" s="9">
        <v>849.41339999999991</v>
      </c>
      <c r="K39" s="9">
        <v>65.79728571598406</v>
      </c>
      <c r="L39" s="9" t="s">
        <v>22</v>
      </c>
      <c r="M39" s="9">
        <v>3.5870061035200003</v>
      </c>
      <c r="N39" s="9">
        <v>101.32417968750001</v>
      </c>
      <c r="O39" s="9">
        <f>Table1[[#This Row],[R1 Length (km)]]+Table1[[#This Row],[T1 Length (km)]]</f>
        <v>104.91118579102</v>
      </c>
      <c r="P39" s="8">
        <v>230</v>
      </c>
      <c r="Q39" s="9">
        <f>(Table1[[#This Row],[Linear Features (km)]]*0.4)*100</f>
        <v>4196.4474316408005</v>
      </c>
      <c r="R39" s="1">
        <v>26.08</v>
      </c>
      <c r="S39" s="3">
        <f>Table1[[#This Row],[ATG (ha)]]/Table1[[#This Row],[Linear Area (ha)]]</f>
        <v>6.2147805792488586E-3</v>
      </c>
      <c r="T39" s="8" t="s">
        <v>91</v>
      </c>
      <c r="U39" s="2" t="s">
        <v>22</v>
      </c>
      <c r="V39" s="1" t="s">
        <v>22</v>
      </c>
      <c r="W39" s="1" t="s">
        <v>22</v>
      </c>
      <c r="X39" s="10">
        <v>756.94179999999994</v>
      </c>
      <c r="Y39" s="10">
        <f>Table1[[#This Row],[Raw Terrestrial Score]]/Table1[[#This Row],[Summed Raw Scores]]</f>
        <v>0.48316876352713251</v>
      </c>
      <c r="Z39" s="10">
        <v>809.67809999999997</v>
      </c>
      <c r="AA39" s="10">
        <f>Table1[[#This Row],[Raw Freshwater Score]]/Table1[[#This Row],[Summed Raw Scores]]</f>
        <v>0.51683123647286744</v>
      </c>
      <c r="AB39" s="10">
        <f>Table1[[#This Row],[Raw Terrestrial Score]]+Table1[[#This Row],[Raw Freshwater Score]]</f>
        <v>1566.6198999999999</v>
      </c>
      <c r="AC39" s="11">
        <f>Table1[[#This Row],[Terrestrial % of Summed Score]]*Table1[[#This Row],[Scaled Summed Score]]</f>
        <v>9.3009429202586189E-2</v>
      </c>
      <c r="AD39" s="11">
        <f>Table1[[#This Row],[Freshwater % of Summed Score]]*Table1[[#This Row],[Scaled Summed Score]]</f>
        <v>9.9489416384237861E-2</v>
      </c>
      <c r="AE39" s="11">
        <f>Table1[[#This Row],[Summed Raw Scores]]/MAX(Table1[Summed Raw Scores])</f>
        <v>0.19249884558682406</v>
      </c>
      <c r="AF39" s="1"/>
    </row>
    <row r="40" spans="1:32" x14ac:dyDescent="0.3">
      <c r="A40" s="8" t="s">
        <v>98</v>
      </c>
      <c r="B40" s="8" t="s">
        <v>80</v>
      </c>
      <c r="C40" s="8" t="s">
        <v>27</v>
      </c>
      <c r="D40" s="8" t="s">
        <v>182</v>
      </c>
      <c r="E40" s="14">
        <v>56.4503433</v>
      </c>
      <c r="F40" s="14">
        <v>-122.62548390000001</v>
      </c>
      <c r="G40" s="9">
        <v>297</v>
      </c>
      <c r="H40" s="8" t="s">
        <v>22</v>
      </c>
      <c r="I40" s="1">
        <v>70.8</v>
      </c>
      <c r="J40" s="1">
        <v>1239.1238999999998</v>
      </c>
      <c r="K40" s="1">
        <v>55.402836873971559</v>
      </c>
      <c r="L40" s="9" t="s">
        <v>22</v>
      </c>
      <c r="M40" s="9">
        <v>1.7</v>
      </c>
      <c r="N40" s="9">
        <v>82.7</v>
      </c>
      <c r="O40" s="9">
        <f>Table1[[#This Row],[R1 Length (km)]]+Table1[[#This Row],[T1 Length (km)]]</f>
        <v>84.4</v>
      </c>
      <c r="P40" s="8">
        <v>230</v>
      </c>
      <c r="Q40" s="9">
        <f>(Table1[[#This Row],[Linear Features (km)]]*0.4)*100</f>
        <v>3376.0000000000005</v>
      </c>
      <c r="R40" s="1">
        <v>37.53</v>
      </c>
      <c r="S40" s="3">
        <f>Table1[[#This Row],[ATG (ha)]]/Table1[[#This Row],[Linear Area (ha)]]</f>
        <v>1.1116706161137439E-2</v>
      </c>
      <c r="T40" s="8" t="s">
        <v>91</v>
      </c>
      <c r="U40" s="2" t="s">
        <v>22</v>
      </c>
      <c r="V40" s="1" t="s">
        <v>22</v>
      </c>
      <c r="W40" s="1" t="s">
        <v>22</v>
      </c>
      <c r="X40" s="10">
        <v>938.84609999999998</v>
      </c>
      <c r="Y40" s="10">
        <f>Table1[[#This Row],[Raw Terrestrial Score]]/Table1[[#This Row],[Summed Raw Scores]]</f>
        <v>0.4944546953378024</v>
      </c>
      <c r="Z40" s="10">
        <v>959.90440000000001</v>
      </c>
      <c r="AA40" s="10">
        <f>Table1[[#This Row],[Raw Freshwater Score]]/Table1[[#This Row],[Summed Raw Scores]]</f>
        <v>0.5055453046621976</v>
      </c>
      <c r="AB40" s="10">
        <f>Table1[[#This Row],[Raw Terrestrial Score]]+Table1[[#This Row],[Raw Freshwater Score]]</f>
        <v>1898.7505000000001</v>
      </c>
      <c r="AC40" s="11">
        <f>Table1[[#This Row],[Terrestrial % of Summed Score]]*Table1[[#This Row],[Scaled Summed Score]]</f>
        <v>0.11536096945640227</v>
      </c>
      <c r="AD40" s="11">
        <f>Table1[[#This Row],[Freshwater % of Summed Score]]*Table1[[#This Row],[Scaled Summed Score]]</f>
        <v>0.11794851378672837</v>
      </c>
      <c r="AE40" s="11">
        <f>Table1[[#This Row],[Summed Raw Scores]]/MAX(Table1[Summed Raw Scores])</f>
        <v>0.23330948324313064</v>
      </c>
      <c r="AF40" s="1"/>
    </row>
    <row r="41" spans="1:32" x14ac:dyDescent="0.3">
      <c r="A41" s="8" t="s">
        <v>99</v>
      </c>
      <c r="B41" s="8" t="s">
        <v>80</v>
      </c>
      <c r="C41" s="8" t="s">
        <v>27</v>
      </c>
      <c r="D41" s="8" t="s">
        <v>182</v>
      </c>
      <c r="E41" s="14">
        <v>54.408751680000002</v>
      </c>
      <c r="F41" s="14">
        <v>-120.1624003</v>
      </c>
      <c r="G41" s="9">
        <v>126</v>
      </c>
      <c r="H41" s="8" t="s">
        <v>22</v>
      </c>
      <c r="I41" s="1">
        <v>30</v>
      </c>
      <c r="J41" s="1">
        <v>570.82349999999997</v>
      </c>
      <c r="K41" s="1">
        <v>63.989458989339575</v>
      </c>
      <c r="L41" s="9" t="s">
        <v>22</v>
      </c>
      <c r="M41" s="14">
        <v>32.181849609399997</v>
      </c>
      <c r="N41" s="1">
        <v>105.7322109375</v>
      </c>
      <c r="O41" s="1">
        <f>Table1[[#This Row],[R1 Length (km)]]+Table1[[#This Row],[T1 Length (km)]]</f>
        <v>137.9140605469</v>
      </c>
      <c r="P41" s="17">
        <v>230</v>
      </c>
      <c r="Q41" s="14">
        <f>(Table1[[#This Row],[Linear Features (km)]]*0.4)*100</f>
        <v>5516.5624218760004</v>
      </c>
      <c r="R41" s="1">
        <v>15.9</v>
      </c>
      <c r="S41" s="3">
        <f>Table1[[#This Row],[ATG (ha)]]/Table1[[#This Row],[Linear Area (ha)]]</f>
        <v>2.8822296901687078E-3</v>
      </c>
      <c r="T41" s="17" t="s">
        <v>91</v>
      </c>
      <c r="U41" s="2" t="s">
        <v>22</v>
      </c>
      <c r="V41" s="1" t="s">
        <v>22</v>
      </c>
      <c r="W41" s="1" t="s">
        <v>22</v>
      </c>
      <c r="X41" s="10">
        <v>1288.992</v>
      </c>
      <c r="Y41" s="10">
        <f>Table1[[#This Row],[Raw Terrestrial Score]]/Table1[[#This Row],[Summed Raw Scores]]</f>
        <v>0.48910863287786627</v>
      </c>
      <c r="Z41" s="10">
        <v>1346.3979999999999</v>
      </c>
      <c r="AA41" s="10">
        <f>Table1[[#This Row],[Raw Freshwater Score]]/Table1[[#This Row],[Summed Raw Scores]]</f>
        <v>0.51089136712213368</v>
      </c>
      <c r="AB41" s="10">
        <f>Table1[[#This Row],[Raw Terrestrial Score]]+Table1[[#This Row],[Raw Freshwater Score]]</f>
        <v>2635.39</v>
      </c>
      <c r="AC41" s="11">
        <f>Table1[[#This Row],[Terrestrial % of Summed Score]]*Table1[[#This Row],[Scaled Summed Score]]</f>
        <v>0.15838524199178849</v>
      </c>
      <c r="AD41" s="11">
        <f>Table1[[#This Row],[Freshwater % of Summed Score]]*Table1[[#This Row],[Scaled Summed Score]]</f>
        <v>0.16543901982887407</v>
      </c>
      <c r="AE41" s="11">
        <f>Table1[[#This Row],[Summed Raw Scores]]/MAX(Table1[Summed Raw Scores])</f>
        <v>0.3238242618206626</v>
      </c>
      <c r="AF41" s="1"/>
    </row>
    <row r="42" spans="1:32" x14ac:dyDescent="0.3">
      <c r="A42" s="8" t="s">
        <v>100</v>
      </c>
      <c r="B42" s="8" t="s">
        <v>80</v>
      </c>
      <c r="C42" s="8" t="s">
        <v>27</v>
      </c>
      <c r="D42" s="8" t="s">
        <v>182</v>
      </c>
      <c r="E42" s="9">
        <v>54.532078400000003</v>
      </c>
      <c r="F42" s="9">
        <v>-120.0978831</v>
      </c>
      <c r="G42" s="9">
        <v>96</v>
      </c>
      <c r="H42" s="8" t="s">
        <v>22</v>
      </c>
      <c r="I42" s="9">
        <v>22.8</v>
      </c>
      <c r="J42" s="1">
        <v>344.44758000000002</v>
      </c>
      <c r="K42" s="1">
        <v>80.359901262891157</v>
      </c>
      <c r="L42" s="9" t="s">
        <v>22</v>
      </c>
      <c r="M42" s="9">
        <v>14.8</v>
      </c>
      <c r="N42" s="9">
        <v>97.7</v>
      </c>
      <c r="O42" s="9">
        <f>Table1[[#This Row],[R1 Length (km)]]+Table1[[#This Row],[T1 Length (km)]]</f>
        <v>112.5</v>
      </c>
      <c r="P42" s="8">
        <v>230</v>
      </c>
      <c r="Q42" s="9">
        <f>(Table1[[#This Row],[Linear Features (km)]]*0.4)*100</f>
        <v>4500</v>
      </c>
      <c r="R42" s="1">
        <v>12.09</v>
      </c>
      <c r="S42" s="3">
        <f>Table1[[#This Row],[ATG (ha)]]/Table1[[#This Row],[Linear Area (ha)]]</f>
        <v>2.6866666666666666E-3</v>
      </c>
      <c r="T42" s="8" t="s">
        <v>91</v>
      </c>
      <c r="U42" s="2" t="s">
        <v>22</v>
      </c>
      <c r="V42" s="1" t="s">
        <v>22</v>
      </c>
      <c r="W42" s="1" t="s">
        <v>22</v>
      </c>
      <c r="X42" s="10">
        <v>555.74310000000003</v>
      </c>
      <c r="Y42" s="10">
        <f>Table1[[#This Row],[Raw Terrestrial Score]]/Table1[[#This Row],[Summed Raw Scores]]</f>
        <v>0.48621583946830288</v>
      </c>
      <c r="Z42" s="10">
        <v>587.25360000000001</v>
      </c>
      <c r="AA42" s="10">
        <f>Table1[[#This Row],[Raw Freshwater Score]]/Table1[[#This Row],[Summed Raw Scores]]</f>
        <v>0.51378416053169707</v>
      </c>
      <c r="AB42" s="10">
        <f>Table1[[#This Row],[Raw Terrestrial Score]]+Table1[[#This Row],[Raw Freshwater Score]]</f>
        <v>1142.9967000000001</v>
      </c>
      <c r="AC42" s="11">
        <f>Table1[[#This Row],[Terrestrial % of Summed Score]]*Table1[[#This Row],[Scaled Summed Score]]</f>
        <v>6.828708430988456E-2</v>
      </c>
      <c r="AD42" s="11">
        <f>Table1[[#This Row],[Freshwater % of Summed Score]]*Table1[[#This Row],[Scaled Summed Score]]</f>
        <v>7.215894555322995E-2</v>
      </c>
      <c r="AE42" s="11">
        <f>Table1[[#This Row],[Summed Raw Scores]]/MAX(Table1[Summed Raw Scores])</f>
        <v>0.14044602986311452</v>
      </c>
      <c r="AF42" s="1"/>
    </row>
    <row r="43" spans="1:32" x14ac:dyDescent="0.3">
      <c r="A43" s="8" t="s">
        <v>101</v>
      </c>
      <c r="B43" s="8" t="s">
        <v>80</v>
      </c>
      <c r="C43" s="8" t="s">
        <v>27</v>
      </c>
      <c r="D43" s="8" t="s">
        <v>182</v>
      </c>
      <c r="E43" s="14">
        <v>54.475945340000003</v>
      </c>
      <c r="F43" s="14">
        <v>-120.2898646</v>
      </c>
      <c r="G43" s="9">
        <v>135</v>
      </c>
      <c r="H43" s="8" t="s">
        <v>22</v>
      </c>
      <c r="I43" s="1">
        <v>32.4</v>
      </c>
      <c r="J43" s="1">
        <v>639.31355999999994</v>
      </c>
      <c r="K43" s="1">
        <v>58.304319594040237</v>
      </c>
      <c r="L43" s="9" t="s">
        <v>22</v>
      </c>
      <c r="M43" s="14">
        <v>6.0698486328099994</v>
      </c>
      <c r="N43" s="1">
        <v>95.404289062499998</v>
      </c>
      <c r="O43" s="1">
        <f>Table1[[#This Row],[R1 Length (km)]]+Table1[[#This Row],[T1 Length (km)]]</f>
        <v>101.47413769530999</v>
      </c>
      <c r="P43" s="17">
        <v>230</v>
      </c>
      <c r="Q43" s="14">
        <f>(Table1[[#This Row],[Linear Features (km)]]*0.4)*100</f>
        <v>4058.9655078123997</v>
      </c>
      <c r="R43" s="1">
        <v>17.18</v>
      </c>
      <c r="S43" s="3">
        <f>Table1[[#This Row],[ATG (ha)]]/Table1[[#This Row],[Linear Area (ha)]]</f>
        <v>4.2326055658598706E-3</v>
      </c>
      <c r="T43" s="17" t="s">
        <v>91</v>
      </c>
      <c r="U43" s="2" t="s">
        <v>22</v>
      </c>
      <c r="V43" s="1" t="s">
        <v>22</v>
      </c>
      <c r="W43" s="1" t="s">
        <v>22</v>
      </c>
      <c r="X43" s="10">
        <v>995.06020000000001</v>
      </c>
      <c r="Y43" s="10">
        <f>Table1[[#This Row],[Raw Terrestrial Score]]/Table1[[#This Row],[Summed Raw Scores]]</f>
        <v>0.46916371134984985</v>
      </c>
      <c r="Z43" s="10">
        <v>1125.8630000000001</v>
      </c>
      <c r="AA43" s="10">
        <f>Table1[[#This Row],[Raw Freshwater Score]]/Table1[[#This Row],[Summed Raw Scores]]</f>
        <v>0.53083628865015009</v>
      </c>
      <c r="AB43" s="10">
        <f>Table1[[#This Row],[Raw Terrestrial Score]]+Table1[[#This Row],[Raw Freshwater Score]]</f>
        <v>2120.9232000000002</v>
      </c>
      <c r="AC43" s="11">
        <f>Table1[[#This Row],[Terrestrial % of Summed Score]]*Table1[[#This Row],[Scaled Summed Score]]</f>
        <v>0.12226829225735883</v>
      </c>
      <c r="AD43" s="11">
        <f>Table1[[#This Row],[Freshwater % of Summed Score]]*Table1[[#This Row],[Scaled Summed Score]]</f>
        <v>0.13834072182341009</v>
      </c>
      <c r="AE43" s="11">
        <f>Table1[[#This Row],[Summed Raw Scores]]/MAX(Table1[Summed Raw Scores])</f>
        <v>0.26060901408076892</v>
      </c>
      <c r="AF43" s="1"/>
    </row>
    <row r="44" spans="1:32" x14ac:dyDescent="0.3">
      <c r="A44" s="8" t="s">
        <v>102</v>
      </c>
      <c r="B44" s="8" t="s">
        <v>80</v>
      </c>
      <c r="C44" s="8" t="s">
        <v>27</v>
      </c>
      <c r="D44" s="8" t="s">
        <v>182</v>
      </c>
      <c r="E44" s="9">
        <v>54.607456880000001</v>
      </c>
      <c r="F44" s="9">
        <v>-120.4986409</v>
      </c>
      <c r="G44" s="9">
        <v>144</v>
      </c>
      <c r="H44" s="8" t="s">
        <v>22</v>
      </c>
      <c r="I44" s="9">
        <v>34.799999999999997</v>
      </c>
      <c r="J44" s="1">
        <v>640.30781999999999</v>
      </c>
      <c r="K44" s="1">
        <v>53.724829135258389</v>
      </c>
      <c r="L44" s="9" t="s">
        <v>22</v>
      </c>
      <c r="M44" s="9">
        <v>8</v>
      </c>
      <c r="N44" s="9">
        <v>75.900000000000006</v>
      </c>
      <c r="O44" s="9">
        <f>Table1[[#This Row],[R1 Length (km)]]+Table1[[#This Row],[T1 Length (km)]]</f>
        <v>83.9</v>
      </c>
      <c r="P44" s="8">
        <v>230</v>
      </c>
      <c r="Q44" s="9">
        <f>(Table1[[#This Row],[Linear Features (km)]]*0.4)*100</f>
        <v>3356</v>
      </c>
      <c r="R44" s="1">
        <v>18.45</v>
      </c>
      <c r="S44" s="3">
        <f>Table1[[#This Row],[ATG (ha)]]/Table1[[#This Row],[Linear Area (ha)]]</f>
        <v>5.49761620977354E-3</v>
      </c>
      <c r="T44" s="8" t="s">
        <v>91</v>
      </c>
      <c r="U44" s="2" t="s">
        <v>22</v>
      </c>
      <c r="V44" s="1" t="s">
        <v>22</v>
      </c>
      <c r="W44" s="1" t="s">
        <v>22</v>
      </c>
      <c r="X44" s="10">
        <v>189.9632</v>
      </c>
      <c r="Y44" s="10">
        <f>Table1[[#This Row],[Raw Terrestrial Score]]/Table1[[#This Row],[Summed Raw Scores]]</f>
        <v>0.26701980082367671</v>
      </c>
      <c r="Z44" s="10">
        <v>521.45669999999996</v>
      </c>
      <c r="AA44" s="10">
        <f>Table1[[#This Row],[Raw Freshwater Score]]/Table1[[#This Row],[Summed Raw Scores]]</f>
        <v>0.73298019917632329</v>
      </c>
      <c r="AB44" s="10">
        <f>Table1[[#This Row],[Raw Terrestrial Score]]+Table1[[#This Row],[Raw Freshwater Score]]</f>
        <v>711.41989999999998</v>
      </c>
      <c r="AC44" s="11">
        <f>Table1[[#This Row],[Terrestrial % of Summed Score]]*Table1[[#This Row],[Scaled Summed Score]]</f>
        <v>2.3341779779497869E-2</v>
      </c>
      <c r="AD44" s="11">
        <f>Table1[[#This Row],[Freshwater % of Summed Score]]*Table1[[#This Row],[Scaled Summed Score]]</f>
        <v>6.4074133600316718E-2</v>
      </c>
      <c r="AE44" s="11">
        <f>Table1[[#This Row],[Summed Raw Scores]]/MAX(Table1[Summed Raw Scores])</f>
        <v>8.7415913379814594E-2</v>
      </c>
      <c r="AF44" s="1"/>
    </row>
    <row r="45" spans="1:32" x14ac:dyDescent="0.3">
      <c r="A45" s="8" t="s">
        <v>103</v>
      </c>
      <c r="B45" s="8" t="s">
        <v>80</v>
      </c>
      <c r="C45" s="8" t="s">
        <v>27</v>
      </c>
      <c r="D45" s="8" t="s">
        <v>182</v>
      </c>
      <c r="E45" s="9">
        <v>54.738847200000002</v>
      </c>
      <c r="F45" s="9">
        <v>-120.7330381</v>
      </c>
      <c r="G45" s="9">
        <v>108</v>
      </c>
      <c r="H45" s="8" t="s">
        <v>22</v>
      </c>
      <c r="I45" s="9">
        <v>26.4</v>
      </c>
      <c r="J45" s="1">
        <v>476.30748000000006</v>
      </c>
      <c r="K45" s="1">
        <v>62.376135598209594</v>
      </c>
      <c r="L45" s="9" t="s">
        <v>22</v>
      </c>
      <c r="M45" s="9">
        <v>13.4</v>
      </c>
      <c r="N45" s="9">
        <v>55.7</v>
      </c>
      <c r="O45" s="9">
        <f>Table1[[#This Row],[R1 Length (km)]]+Table1[[#This Row],[T1 Length (km)]]</f>
        <v>69.100000000000009</v>
      </c>
      <c r="P45" s="8">
        <v>230</v>
      </c>
      <c r="Q45" s="9">
        <f>(Table1[[#This Row],[Linear Features (km)]]*0.4)*100</f>
        <v>2764.0000000000005</v>
      </c>
      <c r="R45" s="1">
        <v>14</v>
      </c>
      <c r="S45" s="3">
        <f>Table1[[#This Row],[ATG (ha)]]/Table1[[#This Row],[Linear Area (ha)]]</f>
        <v>5.0651230101302451E-3</v>
      </c>
      <c r="T45" s="8" t="s">
        <v>91</v>
      </c>
      <c r="U45" s="2" t="s">
        <v>22</v>
      </c>
      <c r="V45" s="1" t="s">
        <v>22</v>
      </c>
      <c r="W45" s="1" t="s">
        <v>22</v>
      </c>
      <c r="X45" s="10">
        <v>153.7278</v>
      </c>
      <c r="Y45" s="10">
        <f>Table1[[#This Row],[Raw Terrestrial Score]]/Table1[[#This Row],[Summed Raw Scores]]</f>
        <v>0.271105311803787</v>
      </c>
      <c r="Z45" s="10">
        <v>413.31310000000002</v>
      </c>
      <c r="AA45" s="10">
        <f>Table1[[#This Row],[Raw Freshwater Score]]/Table1[[#This Row],[Summed Raw Scores]]</f>
        <v>0.72889468819621306</v>
      </c>
      <c r="AB45" s="10">
        <f>Table1[[#This Row],[Raw Terrestrial Score]]+Table1[[#This Row],[Raw Freshwater Score]]</f>
        <v>567.04089999999997</v>
      </c>
      <c r="AC45" s="11">
        <f>Table1[[#This Row],[Terrestrial % of Summed Score]]*Table1[[#This Row],[Scaled Summed Score]]</f>
        <v>1.8889345165730483E-2</v>
      </c>
      <c r="AD45" s="11">
        <f>Table1[[#This Row],[Freshwater % of Summed Score]]*Table1[[#This Row],[Scaled Summed Score]]</f>
        <v>5.0785959386773764E-2</v>
      </c>
      <c r="AE45" s="11">
        <f>Table1[[#This Row],[Summed Raw Scores]]/MAX(Table1[Summed Raw Scores])</f>
        <v>6.9675304552504244E-2</v>
      </c>
      <c r="AF45" s="1"/>
    </row>
    <row r="46" spans="1:32" x14ac:dyDescent="0.3">
      <c r="A46" s="8" t="s">
        <v>104</v>
      </c>
      <c r="B46" s="8" t="s">
        <v>80</v>
      </c>
      <c r="C46" s="8" t="s">
        <v>27</v>
      </c>
      <c r="D46" s="8" t="s">
        <v>182</v>
      </c>
      <c r="E46" s="14">
        <v>54.660196710000001</v>
      </c>
      <c r="F46" s="14">
        <v>-120.64686709999999</v>
      </c>
      <c r="G46" s="9">
        <v>99</v>
      </c>
      <c r="H46" s="8" t="s">
        <v>22</v>
      </c>
      <c r="I46" s="1">
        <v>24</v>
      </c>
      <c r="J46" s="1">
        <v>455.60760000000005</v>
      </c>
      <c r="K46" s="1">
        <v>62.647886314441195</v>
      </c>
      <c r="L46" s="9" t="s">
        <v>22</v>
      </c>
      <c r="M46" s="14">
        <v>7.4941132812499998</v>
      </c>
      <c r="N46" s="1">
        <v>66.314632812499994</v>
      </c>
      <c r="O46" s="1">
        <f>Table1[[#This Row],[R1 Length (km)]]+Table1[[#This Row],[T1 Length (km)]]</f>
        <v>73.808746093749988</v>
      </c>
      <c r="P46" s="17">
        <v>230</v>
      </c>
      <c r="Q46" s="14">
        <f>(Table1[[#This Row],[Linear Features (km)]]*0.4)*100</f>
        <v>2952.3498437499993</v>
      </c>
      <c r="R46" s="1">
        <v>12.72</v>
      </c>
      <c r="S46" s="3">
        <f>Table1[[#This Row],[ATG (ha)]]/Table1[[#This Row],[Linear Area (ha)]]</f>
        <v>4.3084324938413741E-3</v>
      </c>
      <c r="T46" s="17" t="s">
        <v>91</v>
      </c>
      <c r="U46" s="2" t="s">
        <v>22</v>
      </c>
      <c r="V46" s="1" t="s">
        <v>22</v>
      </c>
      <c r="W46" s="1" t="s">
        <v>22</v>
      </c>
      <c r="X46" s="10">
        <v>410.91399999999999</v>
      </c>
      <c r="Y46" s="10">
        <f>Table1[[#This Row],[Raw Terrestrial Score]]/Table1[[#This Row],[Summed Raw Scores]]</f>
        <v>0.38684121909294328</v>
      </c>
      <c r="Z46" s="10">
        <v>651.31510000000003</v>
      </c>
      <c r="AA46" s="10">
        <f>Table1[[#This Row],[Raw Freshwater Score]]/Table1[[#This Row],[Summed Raw Scores]]</f>
        <v>0.61315878090705667</v>
      </c>
      <c r="AB46" s="10">
        <f>Table1[[#This Row],[Raw Terrestrial Score]]+Table1[[#This Row],[Raw Freshwater Score]]</f>
        <v>1062.2291</v>
      </c>
      <c r="AC46" s="11">
        <f>Table1[[#This Row],[Terrestrial % of Summed Score]]*Table1[[#This Row],[Scaled Summed Score]]</f>
        <v>5.0491169322861421E-2</v>
      </c>
      <c r="AD46" s="11">
        <f>Table1[[#This Row],[Freshwater % of Summed Score]]*Table1[[#This Row],[Scaled Summed Score]]</f>
        <v>8.0030519759941063E-2</v>
      </c>
      <c r="AE46" s="11">
        <f>Table1[[#This Row],[Summed Raw Scores]]/MAX(Table1[Summed Raw Scores])</f>
        <v>0.13052168908280248</v>
      </c>
      <c r="AF46" s="1"/>
    </row>
    <row r="47" spans="1:32" x14ac:dyDescent="0.3">
      <c r="A47" s="8" t="s">
        <v>105</v>
      </c>
      <c r="B47" s="8" t="s">
        <v>80</v>
      </c>
      <c r="C47" s="8" t="s">
        <v>27</v>
      </c>
      <c r="D47" s="8" t="s">
        <v>182</v>
      </c>
      <c r="E47" s="9">
        <v>55.689261600000002</v>
      </c>
      <c r="F47" s="9">
        <v>-122.1239058</v>
      </c>
      <c r="G47" s="9">
        <v>102</v>
      </c>
      <c r="H47" s="8" t="s">
        <v>22</v>
      </c>
      <c r="I47" s="9">
        <v>25.2</v>
      </c>
      <c r="J47" s="1">
        <v>335.91096000000005</v>
      </c>
      <c r="K47" s="1">
        <v>68.72877135682117</v>
      </c>
      <c r="L47" s="9" t="s">
        <v>22</v>
      </c>
      <c r="M47" s="9">
        <v>1.4</v>
      </c>
      <c r="N47" s="9">
        <v>32.299999999999997</v>
      </c>
      <c r="O47" s="9">
        <f>Table1[[#This Row],[R1 Length (km)]]+Table1[[#This Row],[T1 Length (km)]]</f>
        <v>33.699999999999996</v>
      </c>
      <c r="P47" s="8">
        <v>130</v>
      </c>
      <c r="Q47" s="9">
        <f>(Table1[[#This Row],[Linear Features (km)]]*0.4)*100</f>
        <v>1347.9999999999998</v>
      </c>
      <c r="R47" s="1">
        <v>13.36</v>
      </c>
      <c r="S47" s="3">
        <f>Table1[[#This Row],[ATG (ha)]]/Table1[[#This Row],[Linear Area (ha)]]</f>
        <v>9.9109792284866483E-3</v>
      </c>
      <c r="T47" s="8" t="s">
        <v>91</v>
      </c>
      <c r="U47" s="2" t="s">
        <v>22</v>
      </c>
      <c r="V47" s="1" t="s">
        <v>22</v>
      </c>
      <c r="W47" s="1" t="s">
        <v>22</v>
      </c>
      <c r="X47" s="10">
        <v>785.17930000000001</v>
      </c>
      <c r="Y47" s="10">
        <f>Table1[[#This Row],[Raw Terrestrial Score]]/Table1[[#This Row],[Summed Raw Scores]]</f>
        <v>0.46906628794678745</v>
      </c>
      <c r="Z47" s="10">
        <v>888.74040000000002</v>
      </c>
      <c r="AA47" s="10">
        <f>Table1[[#This Row],[Raw Freshwater Score]]/Table1[[#This Row],[Summed Raw Scores]]</f>
        <v>0.5309337120532126</v>
      </c>
      <c r="AB47" s="10">
        <f>Table1[[#This Row],[Raw Terrestrial Score]]+Table1[[#This Row],[Raw Freshwater Score]]</f>
        <v>1673.9196999999999</v>
      </c>
      <c r="AC47" s="11">
        <f>Table1[[#This Row],[Terrestrial % of Summed Score]]*Table1[[#This Row],[Scaled Summed Score]]</f>
        <v>9.6479119682234729E-2</v>
      </c>
      <c r="AD47" s="11">
        <f>Table1[[#This Row],[Freshwater % of Summed Score]]*Table1[[#This Row],[Scaled Summed Score]]</f>
        <v>0.10920421796402066</v>
      </c>
      <c r="AE47" s="11">
        <f>Table1[[#This Row],[Summed Raw Scores]]/MAX(Table1[Summed Raw Scores])</f>
        <v>0.20568333764625538</v>
      </c>
      <c r="AF47" s="1"/>
    </row>
    <row r="48" spans="1:32" x14ac:dyDescent="0.3">
      <c r="A48" s="8" t="s">
        <v>106</v>
      </c>
      <c r="B48" s="8" t="s">
        <v>80</v>
      </c>
      <c r="C48" s="8" t="s">
        <v>27</v>
      </c>
      <c r="D48" s="8" t="s">
        <v>182</v>
      </c>
      <c r="E48" s="14">
        <v>55.364116840000001</v>
      </c>
      <c r="F48" s="14">
        <v>-121.4835836</v>
      </c>
      <c r="G48" s="9">
        <v>138</v>
      </c>
      <c r="H48" s="8" t="s">
        <v>22</v>
      </c>
      <c r="I48" s="1">
        <v>33.6</v>
      </c>
      <c r="J48" s="1">
        <v>562.91759999999999</v>
      </c>
      <c r="K48" s="1">
        <v>52.49959951056757</v>
      </c>
      <c r="L48" s="9" t="s">
        <v>22</v>
      </c>
      <c r="M48" s="14">
        <v>7.1597988281300005</v>
      </c>
      <c r="N48" s="1">
        <v>18.976451171874999</v>
      </c>
      <c r="O48" s="1">
        <f>Table1[[#This Row],[R1 Length (km)]]+Table1[[#This Row],[T1 Length (km)]]</f>
        <v>26.136250000004999</v>
      </c>
      <c r="P48" s="17">
        <v>230</v>
      </c>
      <c r="Q48" s="14">
        <f>(Table1[[#This Row],[Linear Features (km)]]*0.4)*100</f>
        <v>1045.4500000001999</v>
      </c>
      <c r="R48" s="1">
        <v>17.809999999999999</v>
      </c>
      <c r="S48" s="3">
        <f>Table1[[#This Row],[ATG (ha)]]/Table1[[#This Row],[Linear Area (ha)]]</f>
        <v>1.7035726242284752E-2</v>
      </c>
      <c r="T48" s="17" t="s">
        <v>91</v>
      </c>
      <c r="U48" s="2" t="s">
        <v>22</v>
      </c>
      <c r="V48" s="1" t="s">
        <v>22</v>
      </c>
      <c r="W48" s="1" t="s">
        <v>22</v>
      </c>
      <c r="X48" s="10">
        <v>107.6652</v>
      </c>
      <c r="Y48" s="10">
        <f>Table1[[#This Row],[Raw Terrestrial Score]]/Table1[[#This Row],[Summed Raw Scores]]</f>
        <v>0.35602241053823058</v>
      </c>
      <c r="Z48" s="10">
        <v>194.74610000000001</v>
      </c>
      <c r="AA48" s="10">
        <f>Table1[[#This Row],[Raw Freshwater Score]]/Table1[[#This Row],[Summed Raw Scores]]</f>
        <v>0.64397758946176953</v>
      </c>
      <c r="AB48" s="10">
        <f>Table1[[#This Row],[Raw Terrestrial Score]]+Table1[[#This Row],[Raw Freshwater Score]]</f>
        <v>302.41129999999998</v>
      </c>
      <c r="AC48" s="11">
        <f>Table1[[#This Row],[Terrestrial % of Summed Score]]*Table1[[#This Row],[Scaled Summed Score]]</f>
        <v>1.3229390683646066E-2</v>
      </c>
      <c r="AD48" s="11">
        <f>Table1[[#This Row],[Freshwater % of Summed Score]]*Table1[[#This Row],[Scaled Summed Score]]</f>
        <v>2.392947991566825E-2</v>
      </c>
      <c r="AE48" s="11">
        <f>Table1[[#This Row],[Summed Raw Scores]]/MAX(Table1[Summed Raw Scores])</f>
        <v>3.715887059931431E-2</v>
      </c>
      <c r="AF48" s="1"/>
    </row>
    <row r="49" spans="1:32" x14ac:dyDescent="0.3">
      <c r="A49" s="8" t="s">
        <v>107</v>
      </c>
      <c r="B49" s="8" t="s">
        <v>80</v>
      </c>
      <c r="C49" s="8" t="s">
        <v>27</v>
      </c>
      <c r="D49" s="8" t="s">
        <v>182</v>
      </c>
      <c r="E49" s="14">
        <v>54.924725109999997</v>
      </c>
      <c r="F49" s="14">
        <v>-121.4223738</v>
      </c>
      <c r="G49" s="9">
        <v>117</v>
      </c>
      <c r="H49" s="8" t="s">
        <v>22</v>
      </c>
      <c r="I49" s="1">
        <v>27.599999999999998</v>
      </c>
      <c r="J49" s="1">
        <v>536.13828000000001</v>
      </c>
      <c r="K49" s="1">
        <v>54.493656577696221</v>
      </c>
      <c r="L49" s="9" t="s">
        <v>22</v>
      </c>
      <c r="M49" s="14">
        <v>3.4455847168</v>
      </c>
      <c r="N49" s="1">
        <v>33.058789062499997</v>
      </c>
      <c r="O49" s="1">
        <f>Table1[[#This Row],[R1 Length (km)]]+Table1[[#This Row],[T1 Length (km)]]</f>
        <v>36.504373779299996</v>
      </c>
      <c r="P49" s="17">
        <v>230</v>
      </c>
      <c r="Q49" s="14">
        <f>(Table1[[#This Row],[Linear Features (km)]]*0.4)*100</f>
        <v>1460.174951172</v>
      </c>
      <c r="R49" s="1">
        <v>14.63</v>
      </c>
      <c r="S49" s="3">
        <f>Table1[[#This Row],[ATG (ha)]]/Table1[[#This Row],[Linear Area (ha)]]</f>
        <v>1.0019347331124483E-2</v>
      </c>
      <c r="T49" s="17" t="s">
        <v>91</v>
      </c>
      <c r="U49" s="2" t="s">
        <v>22</v>
      </c>
      <c r="V49" s="1" t="s">
        <v>22</v>
      </c>
      <c r="W49" s="1" t="s">
        <v>22</v>
      </c>
      <c r="X49" s="10">
        <v>663.57870000000003</v>
      </c>
      <c r="Y49" s="10">
        <f>Table1[[#This Row],[Raw Terrestrial Score]]/Table1[[#This Row],[Summed Raw Scores]]</f>
        <v>0.42234335529343181</v>
      </c>
      <c r="Z49" s="10">
        <v>907.60429999999997</v>
      </c>
      <c r="AA49" s="10">
        <f>Table1[[#This Row],[Raw Freshwater Score]]/Table1[[#This Row],[Summed Raw Scores]]</f>
        <v>0.57765664470656819</v>
      </c>
      <c r="AB49" s="10">
        <f>Table1[[#This Row],[Raw Terrestrial Score]]+Table1[[#This Row],[Raw Freshwater Score]]</f>
        <v>1571.183</v>
      </c>
      <c r="AC49" s="11">
        <f>Table1[[#This Row],[Terrestrial % of Summed Score]]*Table1[[#This Row],[Scaled Summed Score]]</f>
        <v>8.1537412939798271E-2</v>
      </c>
      <c r="AD49" s="11">
        <f>Table1[[#This Row],[Freshwater % of Summed Score]]*Table1[[#This Row],[Scaled Summed Score]]</f>
        <v>0.11152212479851528</v>
      </c>
      <c r="AE49" s="11">
        <f>Table1[[#This Row],[Summed Raw Scores]]/MAX(Table1[Summed Raw Scores])</f>
        <v>0.19305953773831355</v>
      </c>
      <c r="AF49" s="1"/>
    </row>
    <row r="50" spans="1:32" x14ac:dyDescent="0.3">
      <c r="A50" s="8" t="s">
        <v>108</v>
      </c>
      <c r="B50" s="8" t="s">
        <v>80</v>
      </c>
      <c r="C50" s="8" t="s">
        <v>27</v>
      </c>
      <c r="D50" s="8" t="s">
        <v>182</v>
      </c>
      <c r="E50" s="9">
        <v>54.783424879999998</v>
      </c>
      <c r="F50" s="9">
        <v>-120.28676</v>
      </c>
      <c r="G50" s="9">
        <v>156</v>
      </c>
      <c r="H50" s="8" t="s">
        <v>22</v>
      </c>
      <c r="I50" s="9">
        <v>38.4</v>
      </c>
      <c r="J50" s="1">
        <v>681.59807999999998</v>
      </c>
      <c r="K50" s="1">
        <v>53.877756587889799</v>
      </c>
      <c r="L50" s="9" t="s">
        <v>22</v>
      </c>
      <c r="M50" s="9">
        <v>7.3</v>
      </c>
      <c r="N50" s="9">
        <v>72.2</v>
      </c>
      <c r="O50" s="9">
        <f>Table1[[#This Row],[R1 Length (km)]]+Table1[[#This Row],[T1 Length (km)]]</f>
        <v>79.5</v>
      </c>
      <c r="P50" s="8">
        <v>230</v>
      </c>
      <c r="Q50" s="9">
        <f>(Table1[[#This Row],[Linear Features (km)]]*0.4)*100</f>
        <v>3180</v>
      </c>
      <c r="R50" s="1">
        <v>20.36</v>
      </c>
      <c r="S50" s="3">
        <f>Table1[[#This Row],[ATG (ha)]]/Table1[[#This Row],[Linear Area (ha)]]</f>
        <v>6.4025157232704402E-3</v>
      </c>
      <c r="T50" s="8" t="s">
        <v>91</v>
      </c>
      <c r="U50" s="2" t="s">
        <v>22</v>
      </c>
      <c r="V50" s="1" t="s">
        <v>22</v>
      </c>
      <c r="W50" s="1" t="s">
        <v>22</v>
      </c>
      <c r="X50" s="10">
        <v>382.43549999999999</v>
      </c>
      <c r="Y50" s="10">
        <f>Table1[[#This Row],[Raw Terrestrial Score]]/Table1[[#This Row],[Summed Raw Scores]]</f>
        <v>0.53401077333751867</v>
      </c>
      <c r="Z50" s="10">
        <v>333.72140000000002</v>
      </c>
      <c r="AA50" s="10">
        <f>Table1[[#This Row],[Raw Freshwater Score]]/Table1[[#This Row],[Summed Raw Scores]]</f>
        <v>0.46598922666248144</v>
      </c>
      <c r="AB50" s="10">
        <f>Table1[[#This Row],[Raw Terrestrial Score]]+Table1[[#This Row],[Raw Freshwater Score]]</f>
        <v>716.15689999999995</v>
      </c>
      <c r="AC50" s="11">
        <f>Table1[[#This Row],[Terrestrial % of Summed Score]]*Table1[[#This Row],[Scaled Summed Score]]</f>
        <v>4.6991865902775688E-2</v>
      </c>
      <c r="AD50" s="11">
        <f>Table1[[#This Row],[Freshwater % of Summed Score]]*Table1[[#This Row],[Scaled Summed Score]]</f>
        <v>4.1006107638246365E-2</v>
      </c>
      <c r="AE50" s="11">
        <f>Table1[[#This Row],[Summed Raw Scores]]/MAX(Table1[Summed Raw Scores])</f>
        <v>8.799797354102204E-2</v>
      </c>
      <c r="AF50" s="1"/>
    </row>
    <row r="51" spans="1:32" x14ac:dyDescent="0.3">
      <c r="A51" s="8" t="s">
        <v>109</v>
      </c>
      <c r="B51" s="8" t="s">
        <v>80</v>
      </c>
      <c r="C51" s="8" t="s">
        <v>27</v>
      </c>
      <c r="D51" s="8" t="s">
        <v>182</v>
      </c>
      <c r="E51" s="14">
        <v>54.862150470000003</v>
      </c>
      <c r="F51" s="14">
        <v>-121.0169033</v>
      </c>
      <c r="G51" s="9">
        <v>99</v>
      </c>
      <c r="H51" s="8" t="s">
        <v>22</v>
      </c>
      <c r="I51" s="1">
        <v>24</v>
      </c>
      <c r="J51" s="1">
        <v>462.52800000000002</v>
      </c>
      <c r="K51" s="1">
        <v>57.646413028801121</v>
      </c>
      <c r="L51" s="9" t="s">
        <v>22</v>
      </c>
      <c r="M51" s="14">
        <v>15.8065888672</v>
      </c>
      <c r="N51" s="1">
        <v>35.176449218750001</v>
      </c>
      <c r="O51" s="1">
        <f>Table1[[#This Row],[R1 Length (km)]]+Table1[[#This Row],[T1 Length (km)]]</f>
        <v>50.98303808595</v>
      </c>
      <c r="P51" s="17">
        <v>230</v>
      </c>
      <c r="Q51" s="14">
        <f>(Table1[[#This Row],[Linear Features (km)]]*0.4)*100</f>
        <v>2039.3215234380002</v>
      </c>
      <c r="R51" s="1">
        <v>12.72</v>
      </c>
      <c r="S51" s="3">
        <f>Table1[[#This Row],[ATG (ha)]]/Table1[[#This Row],[Linear Area (ha)]]</f>
        <v>6.2373685825450054E-3</v>
      </c>
      <c r="T51" s="17" t="s">
        <v>91</v>
      </c>
      <c r="U51" s="2" t="s">
        <v>22</v>
      </c>
      <c r="V51" s="1" t="s">
        <v>22</v>
      </c>
      <c r="W51" s="1" t="s">
        <v>22</v>
      </c>
      <c r="X51" s="10">
        <v>781.95899999999995</v>
      </c>
      <c r="Y51" s="10">
        <f>Table1[[#This Row],[Raw Terrestrial Score]]/Table1[[#This Row],[Summed Raw Scores]]</f>
        <v>0.46634750603122704</v>
      </c>
      <c r="Z51" s="10">
        <v>894.81420000000003</v>
      </c>
      <c r="AA51" s="10">
        <f>Table1[[#This Row],[Raw Freshwater Score]]/Table1[[#This Row],[Summed Raw Scores]]</f>
        <v>0.5336524939687729</v>
      </c>
      <c r="AB51" s="10">
        <f>Table1[[#This Row],[Raw Terrestrial Score]]+Table1[[#This Row],[Raw Freshwater Score]]</f>
        <v>1676.7732000000001</v>
      </c>
      <c r="AC51" s="11">
        <f>Table1[[#This Row],[Terrestrial % of Summed Score]]*Table1[[#This Row],[Scaled Summed Score]]</f>
        <v>9.6083424445347176E-2</v>
      </c>
      <c r="AD51" s="11">
        <f>Table1[[#This Row],[Freshwater % of Summed Score]]*Table1[[#This Row],[Scaled Summed Score]]</f>
        <v>0.10995053778820091</v>
      </c>
      <c r="AE51" s="11">
        <f>Table1[[#This Row],[Summed Raw Scores]]/MAX(Table1[Summed Raw Scores])</f>
        <v>0.20603396223354808</v>
      </c>
      <c r="AF51" s="1"/>
    </row>
    <row r="52" spans="1:32" x14ac:dyDescent="0.3">
      <c r="A52" s="8" t="s">
        <v>110</v>
      </c>
      <c r="B52" s="8" t="s">
        <v>80</v>
      </c>
      <c r="C52" s="8" t="s">
        <v>55</v>
      </c>
      <c r="D52" s="8" t="s">
        <v>182</v>
      </c>
      <c r="E52" s="9">
        <v>55.22798306</v>
      </c>
      <c r="F52" s="9">
        <v>-123.42672570000001</v>
      </c>
      <c r="G52" s="9">
        <v>117</v>
      </c>
      <c r="H52" s="8" t="s">
        <v>22</v>
      </c>
      <c r="I52" s="9">
        <v>38.4</v>
      </c>
      <c r="J52" s="9">
        <v>477.38496000000004</v>
      </c>
      <c r="K52" s="9">
        <v>83.356993131118287</v>
      </c>
      <c r="L52" s="9" t="s">
        <v>22</v>
      </c>
      <c r="M52" s="9">
        <v>1.6485283203100001</v>
      </c>
      <c r="N52" s="9">
        <v>24.594826171874999</v>
      </c>
      <c r="O52" s="9">
        <f>Table1[[#This Row],[R1 Length (km)]]+Table1[[#This Row],[T1 Length (km)]]</f>
        <v>26.243354492184999</v>
      </c>
      <c r="P52" s="8">
        <v>130</v>
      </c>
      <c r="Q52" s="9">
        <f>(Table1[[#This Row],[Linear Features (km)]]*0.4)*100</f>
        <v>1049.7341796874</v>
      </c>
      <c r="R52" s="1">
        <v>20.36</v>
      </c>
      <c r="S52" s="3">
        <f>Table1[[#This Row],[ATG (ha)]]/Table1[[#This Row],[Linear Area (ha)]]</f>
        <v>1.9395386369207294E-2</v>
      </c>
      <c r="T52" s="8" t="s">
        <v>91</v>
      </c>
      <c r="U52" s="2" t="s">
        <v>22</v>
      </c>
      <c r="V52" s="1" t="s">
        <v>22</v>
      </c>
      <c r="W52" s="1" t="s">
        <v>22</v>
      </c>
      <c r="X52" s="10">
        <v>329.01400000000001</v>
      </c>
      <c r="Y52" s="10">
        <f>Table1[[#This Row],[Raw Terrestrial Score]]/Table1[[#This Row],[Summed Raw Scores]]</f>
        <v>0.3798300142528323</v>
      </c>
      <c r="Z52" s="10">
        <v>537.19979999999998</v>
      </c>
      <c r="AA52" s="10">
        <f>Table1[[#This Row],[Raw Freshwater Score]]/Table1[[#This Row],[Summed Raw Scores]]</f>
        <v>0.62016998574716775</v>
      </c>
      <c r="AB52" s="10">
        <f>Table1[[#This Row],[Raw Terrestrial Score]]+Table1[[#This Row],[Raw Freshwater Score]]</f>
        <v>866.21379999999999</v>
      </c>
      <c r="AC52" s="11">
        <f>Table1[[#This Row],[Terrestrial % of Summed Score]]*Table1[[#This Row],[Scaled Summed Score]]</f>
        <v>4.0427684585076021E-2</v>
      </c>
      <c r="AD52" s="11">
        <f>Table1[[#This Row],[Freshwater % of Summed Score]]*Table1[[#This Row],[Scaled Summed Score]]</f>
        <v>6.6008571287440407E-2</v>
      </c>
      <c r="AE52" s="11">
        <f>Table1[[#This Row],[Summed Raw Scores]]/MAX(Table1[Summed Raw Scores])</f>
        <v>0.10643625587251643</v>
      </c>
      <c r="AF52" s="1"/>
    </row>
    <row r="53" spans="1:32" x14ac:dyDescent="0.3">
      <c r="A53" s="8" t="s">
        <v>111</v>
      </c>
      <c r="B53" s="8" t="s">
        <v>80</v>
      </c>
      <c r="C53" s="8" t="s">
        <v>27</v>
      </c>
      <c r="D53" s="8" t="s">
        <v>182</v>
      </c>
      <c r="E53" s="14">
        <v>55.543307339999998</v>
      </c>
      <c r="F53" s="14">
        <v>-122.3474683</v>
      </c>
      <c r="G53" s="9">
        <v>126</v>
      </c>
      <c r="H53" s="8" t="s">
        <v>22</v>
      </c>
      <c r="I53" s="1">
        <v>30</v>
      </c>
      <c r="J53" s="1">
        <v>518.37300000000005</v>
      </c>
      <c r="K53" s="1">
        <v>59.692496414795102</v>
      </c>
      <c r="L53" s="9" t="s">
        <v>22</v>
      </c>
      <c r="M53" s="14">
        <v>4.9526914062499996</v>
      </c>
      <c r="N53" s="1">
        <v>52.425691406250003</v>
      </c>
      <c r="O53" s="1">
        <f>Table1[[#This Row],[R1 Length (km)]]+Table1[[#This Row],[T1 Length (km)]]</f>
        <v>57.3783828125</v>
      </c>
      <c r="P53" s="17">
        <v>130</v>
      </c>
      <c r="Q53" s="14">
        <f>(Table1[[#This Row],[Linear Features (km)]]*0.4)*100</f>
        <v>2295.1353125000001</v>
      </c>
      <c r="R53" s="1">
        <v>15.9</v>
      </c>
      <c r="S53" s="3">
        <f>Table1[[#This Row],[ATG (ha)]]/Table1[[#This Row],[Linear Area (ha)]]</f>
        <v>6.927696120313168E-3</v>
      </c>
      <c r="T53" s="17" t="s">
        <v>91</v>
      </c>
      <c r="U53" s="2" t="s">
        <v>22</v>
      </c>
      <c r="V53" s="1" t="s">
        <v>22</v>
      </c>
      <c r="W53" s="1" t="s">
        <v>22</v>
      </c>
      <c r="X53" s="10">
        <v>656.76279999999997</v>
      </c>
      <c r="Y53" s="10">
        <f>Table1[[#This Row],[Raw Terrestrial Score]]/Table1[[#This Row],[Summed Raw Scores]]</f>
        <v>0.46111971234835214</v>
      </c>
      <c r="Z53" s="10">
        <v>767.51549999999997</v>
      </c>
      <c r="AA53" s="10">
        <f>Table1[[#This Row],[Raw Freshwater Score]]/Table1[[#This Row],[Summed Raw Scores]]</f>
        <v>0.53888028765164786</v>
      </c>
      <c r="AB53" s="10">
        <f>Table1[[#This Row],[Raw Terrestrial Score]]+Table1[[#This Row],[Raw Freshwater Score]]</f>
        <v>1424.2782999999999</v>
      </c>
      <c r="AC53" s="11">
        <f>Table1[[#This Row],[Terrestrial % of Summed Score]]*Table1[[#This Row],[Scaled Summed Score]]</f>
        <v>8.0699907376620333E-2</v>
      </c>
      <c r="AD53" s="11">
        <f>Table1[[#This Row],[Freshwater % of Summed Score]]*Table1[[#This Row],[Scaled Summed Score]]</f>
        <v>9.4308675461095615E-2</v>
      </c>
      <c r="AE53" s="11">
        <f>Table1[[#This Row],[Summed Raw Scores]]/MAX(Table1[Summed Raw Scores])</f>
        <v>0.17500858283771595</v>
      </c>
      <c r="AF53" s="1"/>
    </row>
    <row r="54" spans="1:32" x14ac:dyDescent="0.3">
      <c r="A54" s="8" t="s">
        <v>112</v>
      </c>
      <c r="B54" s="8" t="s">
        <v>80</v>
      </c>
      <c r="C54" s="8" t="s">
        <v>27</v>
      </c>
      <c r="D54" s="8" t="s">
        <v>182</v>
      </c>
      <c r="E54" s="14">
        <v>55.088797079999999</v>
      </c>
      <c r="F54" s="14">
        <v>-120.8807972</v>
      </c>
      <c r="G54" s="9">
        <v>108</v>
      </c>
      <c r="H54" s="8" t="s">
        <v>22</v>
      </c>
      <c r="I54" s="9">
        <v>26.4</v>
      </c>
      <c r="J54" s="9">
        <v>349.97952000000004</v>
      </c>
      <c r="K54" s="9">
        <v>74.776098252114934</v>
      </c>
      <c r="L54" s="9" t="s">
        <v>22</v>
      </c>
      <c r="M54" s="9">
        <v>0.6</v>
      </c>
      <c r="N54" s="9">
        <v>18.7</v>
      </c>
      <c r="O54" s="9">
        <f>Table1[[#This Row],[R1 Length (km)]]+Table1[[#This Row],[T1 Length (km)]]</f>
        <v>19.3</v>
      </c>
      <c r="P54" s="8">
        <v>230</v>
      </c>
      <c r="Q54" s="9">
        <f>(Table1[[#This Row],[Linear Features (km)]]*0.4)*100</f>
        <v>772.00000000000011</v>
      </c>
      <c r="R54" s="1">
        <v>14</v>
      </c>
      <c r="S54" s="3">
        <f>Table1[[#This Row],[ATG (ha)]]/Table1[[#This Row],[Linear Area (ha)]]</f>
        <v>1.8134715025906734E-2</v>
      </c>
      <c r="T54" s="8" t="s">
        <v>91</v>
      </c>
      <c r="U54" s="2" t="s">
        <v>22</v>
      </c>
      <c r="V54" s="1" t="s">
        <v>22</v>
      </c>
      <c r="W54" s="1" t="s">
        <v>22</v>
      </c>
      <c r="X54" s="10">
        <v>174.3604</v>
      </c>
      <c r="Y54" s="10">
        <f>Table1[[#This Row],[Raw Terrestrial Score]]/Table1[[#This Row],[Summed Raw Scores]]</f>
        <v>0.5425696507721548</v>
      </c>
      <c r="Z54" s="10">
        <v>147</v>
      </c>
      <c r="AA54" s="10">
        <f>Table1[[#This Row],[Raw Freshwater Score]]/Table1[[#This Row],[Summed Raw Scores]]</f>
        <v>0.45743034922784509</v>
      </c>
      <c r="AB54" s="10">
        <f>Table1[[#This Row],[Raw Terrestrial Score]]+Table1[[#This Row],[Raw Freshwater Score]]</f>
        <v>321.36040000000003</v>
      </c>
      <c r="AC54" s="11">
        <f>Table1[[#This Row],[Terrestrial % of Summed Score]]*Table1[[#This Row],[Scaled Summed Score]]</f>
        <v>2.1424581492968955E-2</v>
      </c>
      <c r="AD54" s="11">
        <f>Table1[[#This Row],[Freshwater % of Summed Score]]*Table1[[#This Row],[Scaled Summed Score]]</f>
        <v>1.8062664913973795E-2</v>
      </c>
      <c r="AE54" s="11">
        <f>Table1[[#This Row],[Summed Raw Scores]]/MAX(Table1[Summed Raw Scores])</f>
        <v>3.9487246406942754E-2</v>
      </c>
      <c r="AF54" s="1"/>
    </row>
    <row r="55" spans="1:32" x14ac:dyDescent="0.3">
      <c r="A55" s="8" t="s">
        <v>113</v>
      </c>
      <c r="B55" s="8" t="s">
        <v>80</v>
      </c>
      <c r="C55" s="8" t="s">
        <v>27</v>
      </c>
      <c r="D55" s="8" t="s">
        <v>182</v>
      </c>
      <c r="E55" s="14">
        <v>55.438547239999998</v>
      </c>
      <c r="F55" s="14">
        <v>-122.1718735</v>
      </c>
      <c r="G55" s="9">
        <v>153</v>
      </c>
      <c r="H55" s="8" t="s">
        <v>22</v>
      </c>
      <c r="I55" s="1">
        <v>36</v>
      </c>
      <c r="J55" s="1">
        <v>694.58039999999994</v>
      </c>
      <c r="K55" s="1">
        <v>50.959020257979866</v>
      </c>
      <c r="L55" s="9" t="s">
        <v>22</v>
      </c>
      <c r="M55" s="9">
        <v>4.9000000000000004</v>
      </c>
      <c r="N55" s="1">
        <v>45.674933593749998</v>
      </c>
      <c r="O55" s="1">
        <f>Table1[[#This Row],[R1 Length (km)]]+Table1[[#This Row],[T1 Length (km)]]</f>
        <v>50.574933593749996</v>
      </c>
      <c r="P55" s="17">
        <v>130</v>
      </c>
      <c r="Q55" s="14">
        <f>(Table1[[#This Row],[Linear Features (km)]]*0.4)*100</f>
        <v>2022.99734375</v>
      </c>
      <c r="R55" s="1">
        <v>19.09</v>
      </c>
      <c r="S55" s="3">
        <f>Table1[[#This Row],[ATG (ha)]]/Table1[[#This Row],[Linear Area (ha)]]</f>
        <v>9.4364928648957846E-3</v>
      </c>
      <c r="T55" s="17" t="s">
        <v>91</v>
      </c>
      <c r="U55" s="2" t="s">
        <v>22</v>
      </c>
      <c r="V55" s="1" t="s">
        <v>22</v>
      </c>
      <c r="W55" s="1" t="s">
        <v>22</v>
      </c>
      <c r="X55" s="10">
        <v>609.39559999999994</v>
      </c>
      <c r="Y55" s="10">
        <f>Table1[[#This Row],[Raw Terrestrial Score]]/Table1[[#This Row],[Summed Raw Scores]]</f>
        <v>0.45340770642420264</v>
      </c>
      <c r="Z55" s="10">
        <v>734.63890000000004</v>
      </c>
      <c r="AA55" s="10">
        <f>Table1[[#This Row],[Raw Freshwater Score]]/Table1[[#This Row],[Summed Raw Scores]]</f>
        <v>0.54659229357579742</v>
      </c>
      <c r="AB55" s="10">
        <f>Table1[[#This Row],[Raw Terrestrial Score]]+Table1[[#This Row],[Raw Freshwater Score]]</f>
        <v>1344.0345</v>
      </c>
      <c r="AC55" s="11">
        <f>Table1[[#This Row],[Terrestrial % of Summed Score]]*Table1[[#This Row],[Scaled Summed Score]]</f>
        <v>7.487964981530619E-2</v>
      </c>
      <c r="AD55" s="11">
        <f>Table1[[#This Row],[Freshwater % of Summed Score]]*Table1[[#This Row],[Scaled Summed Score]]</f>
        <v>9.0268954309321803E-2</v>
      </c>
      <c r="AE55" s="11">
        <f>Table1[[#This Row],[Summed Raw Scores]]/MAX(Table1[Summed Raw Scores])</f>
        <v>0.16514860412462798</v>
      </c>
      <c r="AF55" s="1"/>
    </row>
    <row r="56" spans="1:32" x14ac:dyDescent="0.3">
      <c r="A56" s="8" t="s">
        <v>114</v>
      </c>
      <c r="B56" s="8" t="s">
        <v>80</v>
      </c>
      <c r="C56" s="8" t="s">
        <v>27</v>
      </c>
      <c r="D56" s="8" t="s">
        <v>182</v>
      </c>
      <c r="E56" s="9">
        <v>55.808584250000003</v>
      </c>
      <c r="F56" s="9">
        <v>-121.38396040000001</v>
      </c>
      <c r="G56" s="9">
        <v>150</v>
      </c>
      <c r="H56" s="8" t="s">
        <v>22</v>
      </c>
      <c r="I56" s="9">
        <v>36</v>
      </c>
      <c r="J56" s="9">
        <v>383.81940000000003</v>
      </c>
      <c r="K56" s="9">
        <v>84.166982229582743</v>
      </c>
      <c r="L56" s="9" t="s">
        <v>22</v>
      </c>
      <c r="M56" s="9">
        <v>0.1</v>
      </c>
      <c r="N56" s="9">
        <v>20</v>
      </c>
      <c r="O56" s="9">
        <f>Table1[[#This Row],[R1 Length (km)]]+Table1[[#This Row],[T1 Length (km)]]</f>
        <v>20.100000000000001</v>
      </c>
      <c r="P56" s="8">
        <v>130</v>
      </c>
      <c r="Q56" s="9">
        <f>(Table1[[#This Row],[Linear Features (km)]]*0.4)*100</f>
        <v>804.00000000000011</v>
      </c>
      <c r="R56" s="1">
        <f>((PI()*(45^2))*Table1[[#This Row],[Number of Turbines - WIND]])/10000</f>
        <v>19.085175370557995</v>
      </c>
      <c r="S56" s="3">
        <f>Table1[[#This Row],[ATG (ha)]]/Table1[[#This Row],[Linear Area (ha)]]</f>
        <v>2.3737780311639294E-2</v>
      </c>
      <c r="T56" s="8" t="s">
        <v>81</v>
      </c>
      <c r="U56" s="8">
        <v>30</v>
      </c>
      <c r="V56" s="1" t="s">
        <v>22</v>
      </c>
      <c r="W56" s="1" t="s">
        <v>22</v>
      </c>
      <c r="X56" s="10">
        <f>12.92114+6.255355</f>
        <v>19.176494999999999</v>
      </c>
      <c r="Y56" s="10">
        <f>Table1[[#This Row],[Raw Terrestrial Score]]/Table1[[#This Row],[Summed Raw Scores]]</f>
        <v>0.14506807928383186</v>
      </c>
      <c r="Z56" s="10">
        <f>69.10525+43.90788</f>
        <v>113.01312999999999</v>
      </c>
      <c r="AA56" s="10">
        <f>Table1[[#This Row],[Raw Freshwater Score]]/Table1[[#This Row],[Summed Raw Scores]]</f>
        <v>0.85493192071616819</v>
      </c>
      <c r="AB56" s="10">
        <f>Table1[[#This Row],[Raw Terrestrial Score]]+Table1[[#This Row],[Raw Freshwater Score]]</f>
        <v>132.18962499999998</v>
      </c>
      <c r="AC56" s="11">
        <f>Table1[[#This Row],[Terrestrial % of Summed Score]]*Table1[[#This Row],[Scaled Summed Score]]</f>
        <v>2.3563170299965575E-3</v>
      </c>
      <c r="AD56" s="11">
        <f>Table1[[#This Row],[Freshwater % of Summed Score]]*Table1[[#This Row],[Scaled Summed Score]]</f>
        <v>1.3886519034485437E-2</v>
      </c>
      <c r="AE56" s="11">
        <f>Table1[[#This Row],[Summed Raw Scores]]/MAX(Table1[Summed Raw Scores])</f>
        <v>1.6242836064481993E-2</v>
      </c>
      <c r="AF56" s="1"/>
    </row>
    <row r="57" spans="1:32" x14ac:dyDescent="0.3">
      <c r="A57" s="8" t="s">
        <v>115</v>
      </c>
      <c r="B57" s="8" t="s">
        <v>80</v>
      </c>
      <c r="C57" s="8" t="s">
        <v>27</v>
      </c>
      <c r="D57" s="8" t="s">
        <v>182</v>
      </c>
      <c r="E57" s="9">
        <v>55.548454599999999</v>
      </c>
      <c r="F57" s="9">
        <v>-120.7554162</v>
      </c>
      <c r="G57" s="9">
        <v>351</v>
      </c>
      <c r="H57" s="8" t="s">
        <v>22</v>
      </c>
      <c r="I57" s="9">
        <v>84</v>
      </c>
      <c r="J57" s="9">
        <v>952.91280000000006</v>
      </c>
      <c r="K57" s="9">
        <v>77.43051985602311</v>
      </c>
      <c r="L57" s="9" t="s">
        <v>22</v>
      </c>
      <c r="M57" s="9">
        <v>1.4</v>
      </c>
      <c r="N57" s="9">
        <v>54.8</v>
      </c>
      <c r="O57" s="9">
        <f>Table1[[#This Row],[R1 Length (km)]]+Table1[[#This Row],[T1 Length (km)]]</f>
        <v>56.199999999999996</v>
      </c>
      <c r="P57" s="8">
        <v>230</v>
      </c>
      <c r="Q57" s="9">
        <f>(Table1[[#This Row],[Linear Features (km)]]*0.4)*100</f>
        <v>2248</v>
      </c>
      <c r="R57" s="1">
        <v>44.53</v>
      </c>
      <c r="S57" s="3">
        <f>Table1[[#This Row],[ATG (ha)]]/Table1[[#This Row],[Linear Area (ha)]]</f>
        <v>1.9808718861209964E-2</v>
      </c>
      <c r="T57" s="8" t="s">
        <v>91</v>
      </c>
      <c r="U57" s="2" t="s">
        <v>22</v>
      </c>
      <c r="V57" s="1" t="s">
        <v>22</v>
      </c>
      <c r="W57" s="1" t="s">
        <v>22</v>
      </c>
      <c r="X57" s="10">
        <v>220.4101</v>
      </c>
      <c r="Y57" s="10">
        <f>Table1[[#This Row],[Raw Terrestrial Score]]/Table1[[#This Row],[Summed Raw Scores]]</f>
        <v>0.42968047585516922</v>
      </c>
      <c r="Z57" s="10">
        <v>292.55270000000002</v>
      </c>
      <c r="AA57" s="10">
        <f>Table1[[#This Row],[Raw Freshwater Score]]/Table1[[#This Row],[Summed Raw Scores]]</f>
        <v>0.57031952414483078</v>
      </c>
      <c r="AB57" s="10">
        <f>Table1[[#This Row],[Raw Terrestrial Score]]+Table1[[#This Row],[Raw Freshwater Score]]</f>
        <v>512.96280000000002</v>
      </c>
      <c r="AC57" s="11">
        <f>Table1[[#This Row],[Terrestrial % of Summed Score]]*Table1[[#This Row],[Scaled Summed Score]]</f>
        <v>2.708295088405072E-2</v>
      </c>
      <c r="AD57" s="11">
        <f>Table1[[#This Row],[Freshwater % of Summed Score]]*Table1[[#This Row],[Scaled Summed Score]]</f>
        <v>3.5947492447471439E-2</v>
      </c>
      <c r="AE57" s="11">
        <f>Table1[[#This Row],[Summed Raw Scores]]/MAX(Table1[Summed Raw Scores])</f>
        <v>6.3030443331522162E-2</v>
      </c>
      <c r="AF57" s="1"/>
    </row>
    <row r="58" spans="1:32" x14ac:dyDescent="0.3">
      <c r="A58" s="8" t="s">
        <v>116</v>
      </c>
      <c r="B58" s="8" t="s">
        <v>80</v>
      </c>
      <c r="C58" s="8" t="s">
        <v>27</v>
      </c>
      <c r="D58" s="8" t="s">
        <v>182</v>
      </c>
      <c r="E58" s="9">
        <v>55.960574549999997</v>
      </c>
      <c r="F58" s="9">
        <v>-120.86637829999999</v>
      </c>
      <c r="G58" s="9">
        <v>171</v>
      </c>
      <c r="H58" s="8" t="s">
        <v>22</v>
      </c>
      <c r="I58" s="9">
        <v>42</v>
      </c>
      <c r="J58" s="9">
        <v>456.5274</v>
      </c>
      <c r="K58" s="9">
        <v>91.951307550862538</v>
      </c>
      <c r="L58" s="9" t="s">
        <v>22</v>
      </c>
      <c r="M58" s="9">
        <v>4.4041630859400005</v>
      </c>
      <c r="N58" s="9">
        <v>72.494023437500005</v>
      </c>
      <c r="O58" s="9">
        <f>Table1[[#This Row],[R1 Length (km)]]+Table1[[#This Row],[T1 Length (km)]]</f>
        <v>76.898186523440003</v>
      </c>
      <c r="P58" s="8">
        <v>230</v>
      </c>
      <c r="Q58" s="9">
        <f>(Table1[[#This Row],[Linear Features (km)]]*0.4)*100</f>
        <v>3075.9274609376002</v>
      </c>
      <c r="R58" s="1">
        <v>22.27</v>
      </c>
      <c r="S58" s="3">
        <f>Table1[[#This Row],[ATG (ha)]]/Table1[[#This Row],[Linear Area (ha)]]</f>
        <v>7.2400927144139109E-3</v>
      </c>
      <c r="T58" s="8" t="s">
        <v>91</v>
      </c>
      <c r="U58" s="2" t="s">
        <v>22</v>
      </c>
      <c r="V58" s="1" t="s">
        <v>22</v>
      </c>
      <c r="W58" s="1" t="s">
        <v>22</v>
      </c>
      <c r="X58" s="10">
        <v>622.38850000000002</v>
      </c>
      <c r="Y58" s="10">
        <f>Table1[[#This Row],[Raw Terrestrial Score]]/Table1[[#This Row],[Summed Raw Scores]]</f>
        <v>0.77517822017834659</v>
      </c>
      <c r="Z58" s="10">
        <v>180.50880000000001</v>
      </c>
      <c r="AA58" s="10">
        <f>Table1[[#This Row],[Raw Freshwater Score]]/Table1[[#This Row],[Summed Raw Scores]]</f>
        <v>0.22482177982165338</v>
      </c>
      <c r="AB58" s="10">
        <f>Table1[[#This Row],[Raw Terrestrial Score]]+Table1[[#This Row],[Raw Freshwater Score]]</f>
        <v>802.89730000000009</v>
      </c>
      <c r="AC58" s="11">
        <f>Table1[[#This Row],[Terrestrial % of Summed Score]]*Table1[[#This Row],[Scaled Summed Score]]</f>
        <v>7.6476155930685588E-2</v>
      </c>
      <c r="AD58" s="11">
        <f>Table1[[#This Row],[Freshwater % of Summed Score]]*Table1[[#This Row],[Scaled Summed Score]]</f>
        <v>2.2180067812404849E-2</v>
      </c>
      <c r="AE58" s="11">
        <f>Table1[[#This Row],[Summed Raw Scores]]/MAX(Table1[Summed Raw Scores])</f>
        <v>9.8656223743090438E-2</v>
      </c>
      <c r="AF58" s="1"/>
    </row>
    <row r="59" spans="1:32" x14ac:dyDescent="0.3">
      <c r="A59" s="8" t="s">
        <v>117</v>
      </c>
      <c r="B59" s="8" t="s">
        <v>80</v>
      </c>
      <c r="C59" s="8" t="s">
        <v>27</v>
      </c>
      <c r="D59" s="8" t="s">
        <v>182</v>
      </c>
      <c r="E59" s="9">
        <v>56.54299082</v>
      </c>
      <c r="F59" s="9">
        <v>-123.0058961</v>
      </c>
      <c r="G59" s="9">
        <v>72</v>
      </c>
      <c r="H59" s="8" t="s">
        <v>22</v>
      </c>
      <c r="I59" s="9">
        <v>16.8</v>
      </c>
      <c r="J59" s="9">
        <v>283.66631999999998</v>
      </c>
      <c r="K59" s="9">
        <v>86.422963406889508</v>
      </c>
      <c r="L59" s="9" t="s">
        <v>22</v>
      </c>
      <c r="M59" s="9">
        <v>10.212486328100001</v>
      </c>
      <c r="N59" s="9">
        <v>85.097687500000006</v>
      </c>
      <c r="O59" s="9">
        <f>Table1[[#This Row],[R1 Length (km)]]+Table1[[#This Row],[T1 Length (km)]]</f>
        <v>95.310173828100005</v>
      </c>
      <c r="P59" s="8">
        <v>130</v>
      </c>
      <c r="Q59" s="9">
        <f>(Table1[[#This Row],[Linear Features (km)]]*0.4)*100</f>
        <v>3812.4069531240002</v>
      </c>
      <c r="R59" s="1">
        <v>8.91</v>
      </c>
      <c r="S59" s="3">
        <f>Table1[[#This Row],[ATG (ha)]]/Table1[[#This Row],[Linear Area (ha)]]</f>
        <v>2.3371062191298543E-3</v>
      </c>
      <c r="T59" s="8" t="s">
        <v>91</v>
      </c>
      <c r="U59" s="2" t="s">
        <v>22</v>
      </c>
      <c r="V59" s="1" t="s">
        <v>22</v>
      </c>
      <c r="W59" s="1" t="s">
        <v>22</v>
      </c>
      <c r="X59" s="10">
        <v>514.48069999999996</v>
      </c>
      <c r="Y59" s="10">
        <f>Table1[[#This Row],[Raw Terrestrial Score]]/Table1[[#This Row],[Summed Raw Scores]]</f>
        <v>0.41133871107916214</v>
      </c>
      <c r="Z59" s="10">
        <v>736.26639999999998</v>
      </c>
      <c r="AA59" s="10">
        <f>Table1[[#This Row],[Raw Freshwater Score]]/Table1[[#This Row],[Summed Raw Scores]]</f>
        <v>0.5886612889208378</v>
      </c>
      <c r="AB59" s="10">
        <f>Table1[[#This Row],[Raw Terrestrial Score]]+Table1[[#This Row],[Raw Freshwater Score]]</f>
        <v>1250.7471</v>
      </c>
      <c r="AC59" s="11">
        <f>Table1[[#This Row],[Terrestrial % of Summed Score]]*Table1[[#This Row],[Scaled Summed Score]]</f>
        <v>6.3216955706167879E-2</v>
      </c>
      <c r="AD59" s="11">
        <f>Table1[[#This Row],[Freshwater % of Summed Score]]*Table1[[#This Row],[Scaled Summed Score]]</f>
        <v>9.0468933813726518E-2</v>
      </c>
      <c r="AE59" s="11">
        <f>Table1[[#This Row],[Summed Raw Scores]]/MAX(Table1[Summed Raw Scores])</f>
        <v>0.1536858895198944</v>
      </c>
      <c r="AF59" s="1"/>
    </row>
    <row r="60" spans="1:32" x14ac:dyDescent="0.3">
      <c r="A60" s="8" t="s">
        <v>118</v>
      </c>
      <c r="B60" s="8" t="s">
        <v>80</v>
      </c>
      <c r="C60" s="8" t="s">
        <v>27</v>
      </c>
      <c r="D60" s="8" t="s">
        <v>182</v>
      </c>
      <c r="E60" s="9">
        <v>55.866821960000003</v>
      </c>
      <c r="F60" s="9">
        <v>-121.7623816</v>
      </c>
      <c r="G60" s="9">
        <v>129</v>
      </c>
      <c r="H60" s="8" t="s">
        <v>22</v>
      </c>
      <c r="I60" s="9">
        <v>31.2</v>
      </c>
      <c r="J60" s="9">
        <v>344.60088000000002</v>
      </c>
      <c r="K60" s="9">
        <v>84.35861942811421</v>
      </c>
      <c r="L60" s="9" t="s">
        <v>22</v>
      </c>
      <c r="M60" s="9">
        <v>3.9213208007799998</v>
      </c>
      <c r="N60" s="9">
        <v>23.785281250000001</v>
      </c>
      <c r="O60" s="9">
        <f>Table1[[#This Row],[R1 Length (km)]]+Table1[[#This Row],[T1 Length (km)]]</f>
        <v>27.706602050779999</v>
      </c>
      <c r="P60" s="8">
        <v>130</v>
      </c>
      <c r="Q60" s="9">
        <f>(Table1[[#This Row],[Linear Features (km)]]*0.4)*100</f>
        <v>1108.2640820312001</v>
      </c>
      <c r="R60" s="1">
        <v>16.54</v>
      </c>
      <c r="S60" s="3">
        <f>Table1[[#This Row],[ATG (ha)]]/Table1[[#This Row],[Linear Area (ha)]]</f>
        <v>1.4924240772727995E-2</v>
      </c>
      <c r="T60" s="8" t="s">
        <v>91</v>
      </c>
      <c r="U60" s="2" t="s">
        <v>22</v>
      </c>
      <c r="V60" s="1" t="s">
        <v>22</v>
      </c>
      <c r="W60" s="1" t="s">
        <v>22</v>
      </c>
      <c r="X60" s="10">
        <v>183.3913</v>
      </c>
      <c r="Y60" s="10">
        <f>Table1[[#This Row],[Raw Terrestrial Score]]/Table1[[#This Row],[Summed Raw Scores]]</f>
        <v>0.45764556389649036</v>
      </c>
      <c r="Z60" s="10">
        <v>217.3365</v>
      </c>
      <c r="AA60" s="10">
        <f>Table1[[#This Row],[Raw Freshwater Score]]/Table1[[#This Row],[Summed Raw Scores]]</f>
        <v>0.54235443610350964</v>
      </c>
      <c r="AB60" s="10">
        <f>Table1[[#This Row],[Raw Terrestrial Score]]+Table1[[#This Row],[Raw Freshwater Score]]</f>
        <v>400.7278</v>
      </c>
      <c r="AC60" s="11">
        <f>Table1[[#This Row],[Terrestrial % of Summed Score]]*Table1[[#This Row],[Scaled Summed Score]]</f>
        <v>2.2534255782571719E-2</v>
      </c>
      <c r="AD60" s="11">
        <f>Table1[[#This Row],[Freshwater % of Summed Score]]*Table1[[#This Row],[Scaled Summed Score]]</f>
        <v>2.6705281449495688E-2</v>
      </c>
      <c r="AE60" s="11">
        <f>Table1[[#This Row],[Summed Raw Scores]]/MAX(Table1[Summed Raw Scores])</f>
        <v>4.9239537232067407E-2</v>
      </c>
      <c r="AF60" s="1"/>
    </row>
    <row r="61" spans="1:32" x14ac:dyDescent="0.3">
      <c r="A61" s="8" t="s">
        <v>119</v>
      </c>
      <c r="B61" s="8" t="s">
        <v>80</v>
      </c>
      <c r="C61" s="8" t="s">
        <v>27</v>
      </c>
      <c r="D61" s="8" t="s">
        <v>182</v>
      </c>
      <c r="E61" s="9">
        <v>55.729118999999997</v>
      </c>
      <c r="F61" s="9">
        <v>-121.80133600000001</v>
      </c>
      <c r="G61" s="9">
        <v>186</v>
      </c>
      <c r="H61" s="8" t="s">
        <v>22</v>
      </c>
      <c r="I61" s="9">
        <v>45.6</v>
      </c>
      <c r="J61" s="9">
        <v>549.25199999999995</v>
      </c>
      <c r="K61" s="9">
        <v>76.208568497958495</v>
      </c>
      <c r="L61" s="9" t="s">
        <v>22</v>
      </c>
      <c r="M61" s="9">
        <v>8.5299999999999994</v>
      </c>
      <c r="N61" s="9">
        <v>26.352185546874999</v>
      </c>
      <c r="O61" s="9">
        <f>Table1[[#This Row],[R1 Length (km)]]+Table1[[#This Row],[T1 Length (km)]]</f>
        <v>34.882185546875</v>
      </c>
      <c r="P61" s="8">
        <v>230</v>
      </c>
      <c r="Q61" s="9">
        <f>(Table1[[#This Row],[Linear Features (km)]]*0.4)*100</f>
        <v>1395.2874218750001</v>
      </c>
      <c r="R61" s="1">
        <v>24.17</v>
      </c>
      <c r="S61" s="3">
        <f>Table1[[#This Row],[ATG (ha)]]/Table1[[#This Row],[Linear Area (ha)]]</f>
        <v>1.7322595775657559E-2</v>
      </c>
      <c r="T61" s="8" t="s">
        <v>91</v>
      </c>
      <c r="U61" s="2" t="s">
        <v>22</v>
      </c>
      <c r="V61" s="1" t="s">
        <v>22</v>
      </c>
      <c r="W61" s="1" t="s">
        <v>22</v>
      </c>
      <c r="X61" s="10">
        <v>543.53679999999997</v>
      </c>
      <c r="Y61" s="10">
        <f>Table1[[#This Row],[Raw Terrestrial Score]]/Table1[[#This Row],[Summed Raw Scores]]</f>
        <v>0.47253805216918965</v>
      </c>
      <c r="Z61" s="10">
        <v>606.71299999999997</v>
      </c>
      <c r="AA61" s="10">
        <f>Table1[[#This Row],[Raw Freshwater Score]]/Table1[[#This Row],[Summed Raw Scores]]</f>
        <v>0.52746194783081024</v>
      </c>
      <c r="AB61" s="10">
        <f>Table1[[#This Row],[Raw Terrestrial Score]]+Table1[[#This Row],[Raw Freshwater Score]]</f>
        <v>1150.2498000000001</v>
      </c>
      <c r="AC61" s="11">
        <f>Table1[[#This Row],[Terrestrial % of Summed Score]]*Table1[[#This Row],[Scaled Summed Score]]</f>
        <v>6.6787231883085663E-2</v>
      </c>
      <c r="AD61" s="11">
        <f>Table1[[#This Row],[Freshwater % of Summed Score]]*Table1[[#This Row],[Scaled Summed Score]]</f>
        <v>7.4550024611916885E-2</v>
      </c>
      <c r="AE61" s="11">
        <f>Table1[[#This Row],[Summed Raw Scores]]/MAX(Table1[Summed Raw Scores])</f>
        <v>0.14133725649500256</v>
      </c>
      <c r="AF61" s="1"/>
    </row>
    <row r="62" spans="1:32" x14ac:dyDescent="0.3">
      <c r="A62" s="8" t="s">
        <v>120</v>
      </c>
      <c r="B62" s="8" t="s">
        <v>80</v>
      </c>
      <c r="C62" s="8" t="s">
        <v>27</v>
      </c>
      <c r="D62" s="8" t="s">
        <v>182</v>
      </c>
      <c r="E62" s="9">
        <v>55.229832969999997</v>
      </c>
      <c r="F62" s="9">
        <v>-121.17872</v>
      </c>
      <c r="G62" s="9">
        <v>117</v>
      </c>
      <c r="H62" s="8" t="s">
        <v>22</v>
      </c>
      <c r="I62" s="9">
        <v>28.799999999999997</v>
      </c>
      <c r="J62" s="9">
        <v>417.64176000000003</v>
      </c>
      <c r="K62" s="9">
        <v>74.026330439887317</v>
      </c>
      <c r="L62" s="9" t="s">
        <v>22</v>
      </c>
      <c r="M62" s="9">
        <v>1.2</v>
      </c>
      <c r="N62" s="9">
        <v>10.5</v>
      </c>
      <c r="O62" s="9">
        <f>Table1[[#This Row],[R1 Length (km)]]+Table1[[#This Row],[T1 Length (km)]]</f>
        <v>11.7</v>
      </c>
      <c r="P62" s="8">
        <v>230</v>
      </c>
      <c r="Q62" s="9">
        <f>(Table1[[#This Row],[Linear Features (km)]]*0.4)*100</f>
        <v>468</v>
      </c>
      <c r="R62" s="1">
        <v>15.27</v>
      </c>
      <c r="S62" s="3">
        <f>Table1[[#This Row],[ATG (ha)]]/Table1[[#This Row],[Linear Area (ha)]]</f>
        <v>3.2628205128205127E-2</v>
      </c>
      <c r="T62" s="8" t="s">
        <v>91</v>
      </c>
      <c r="U62" s="2" t="s">
        <v>22</v>
      </c>
      <c r="V62" s="1" t="s">
        <v>22</v>
      </c>
      <c r="W62" s="1" t="s">
        <v>22</v>
      </c>
      <c r="X62" s="10">
        <v>379.13569999999999</v>
      </c>
      <c r="Y62" s="10">
        <f>Table1[[#This Row],[Raw Terrestrial Score]]/Table1[[#This Row],[Summed Raw Scores]]</f>
        <v>0.52823859813577623</v>
      </c>
      <c r="Z62" s="10">
        <v>338.6</v>
      </c>
      <c r="AA62" s="10">
        <f>Table1[[#This Row],[Raw Freshwater Score]]/Table1[[#This Row],[Summed Raw Scores]]</f>
        <v>0.47176140186422388</v>
      </c>
      <c r="AB62" s="10">
        <f>Table1[[#This Row],[Raw Terrestrial Score]]+Table1[[#This Row],[Raw Freshwater Score]]</f>
        <v>717.73569999999995</v>
      </c>
      <c r="AC62" s="11">
        <f>Table1[[#This Row],[Terrestrial % of Summed Score]]*Table1[[#This Row],[Scaled Summed Score]]</f>
        <v>4.6586402081802016E-2</v>
      </c>
      <c r="AD62" s="11">
        <f>Table1[[#This Row],[Freshwater % of Summed Score]]*Table1[[#This Row],[Scaled Summed Score]]</f>
        <v>4.1605566937901552E-2</v>
      </c>
      <c r="AE62" s="11">
        <f>Table1[[#This Row],[Summed Raw Scores]]/MAX(Table1[Summed Raw Scores])</f>
        <v>8.8191969019703553E-2</v>
      </c>
      <c r="AF62" s="1"/>
    </row>
    <row r="63" spans="1:32" x14ac:dyDescent="0.3">
      <c r="A63" s="8" t="s">
        <v>121</v>
      </c>
      <c r="B63" s="8" t="s">
        <v>80</v>
      </c>
      <c r="C63" s="8" t="s">
        <v>27</v>
      </c>
      <c r="D63" s="8" t="s">
        <v>182</v>
      </c>
      <c r="E63" s="14">
        <v>55.162438520000002</v>
      </c>
      <c r="F63" s="14">
        <v>-121.5944693</v>
      </c>
      <c r="G63" s="9">
        <v>45</v>
      </c>
      <c r="H63" s="8" t="s">
        <v>22</v>
      </c>
      <c r="I63" s="1">
        <v>10.799999999999999</v>
      </c>
      <c r="J63" s="1">
        <v>196.35101999999998</v>
      </c>
      <c r="K63" s="1">
        <v>62.521940881479459</v>
      </c>
      <c r="L63" s="9" t="s">
        <v>22</v>
      </c>
      <c r="M63" s="14">
        <v>3.1798994140599999</v>
      </c>
      <c r="N63" s="1">
        <v>30.518376953124999</v>
      </c>
      <c r="O63" s="1">
        <f>Table1[[#This Row],[R1 Length (km)]]+Table1[[#This Row],[T1 Length (km)]]</f>
        <v>33.698276367185002</v>
      </c>
      <c r="P63" s="17">
        <v>69</v>
      </c>
      <c r="Q63" s="14">
        <f>(Table1[[#This Row],[Linear Features (km)]]*0.4)*100</f>
        <v>1347.9310546874001</v>
      </c>
      <c r="R63" s="1">
        <v>5.73</v>
      </c>
      <c r="S63" s="3">
        <f>Table1[[#This Row],[ATG (ha)]]/Table1[[#This Row],[Linear Area (ha)]]</f>
        <v>4.2509592609162421E-3</v>
      </c>
      <c r="T63" s="17" t="s">
        <v>91</v>
      </c>
      <c r="U63" s="2" t="s">
        <v>22</v>
      </c>
      <c r="V63" s="1" t="s">
        <v>22</v>
      </c>
      <c r="W63" s="1" t="s">
        <v>22</v>
      </c>
      <c r="X63" s="10">
        <v>280.92419999999998</v>
      </c>
      <c r="Y63" s="10">
        <f>Table1[[#This Row],[Raw Terrestrial Score]]/Table1[[#This Row],[Summed Raw Scores]]</f>
        <v>0.49033397437217702</v>
      </c>
      <c r="Z63" s="10">
        <v>292</v>
      </c>
      <c r="AA63" s="10">
        <f>Table1[[#This Row],[Raw Freshwater Score]]/Table1[[#This Row],[Summed Raw Scores]]</f>
        <v>0.50966602562782304</v>
      </c>
      <c r="AB63" s="10">
        <f>Table1[[#This Row],[Raw Terrestrial Score]]+Table1[[#This Row],[Raw Freshwater Score]]</f>
        <v>572.92419999999993</v>
      </c>
      <c r="AC63" s="11">
        <f>Table1[[#This Row],[Terrestrial % of Summed Score]]*Table1[[#This Row],[Scaled Summed Score]]</f>
        <v>3.451863735255889E-2</v>
      </c>
      <c r="AD63" s="11">
        <f>Table1[[#This Row],[Freshwater % of Summed Score]]*Table1[[#This Row],[Scaled Summed Score]]</f>
        <v>3.5879579284900327E-2</v>
      </c>
      <c r="AE63" s="11">
        <f>Table1[[#This Row],[Summed Raw Scores]]/MAX(Table1[Summed Raw Scores])</f>
        <v>7.039821663745921E-2</v>
      </c>
      <c r="AF63" s="1"/>
    </row>
    <row r="64" spans="1:32" x14ac:dyDescent="0.3">
      <c r="A64" s="8" t="s">
        <v>122</v>
      </c>
      <c r="B64" s="8" t="s">
        <v>80</v>
      </c>
      <c r="C64" s="8" t="s">
        <v>27</v>
      </c>
      <c r="D64" s="8" t="s">
        <v>182</v>
      </c>
      <c r="E64" s="9">
        <v>55.351133089999998</v>
      </c>
      <c r="F64" s="9">
        <v>-121.08614369999999</v>
      </c>
      <c r="G64" s="9">
        <v>63</v>
      </c>
      <c r="H64" s="8" t="s">
        <v>22</v>
      </c>
      <c r="I64" s="9">
        <v>15.6</v>
      </c>
      <c r="J64" s="9">
        <v>275.98818</v>
      </c>
      <c r="K64" s="9">
        <v>65.30162752178073</v>
      </c>
      <c r="L64" s="9" t="s">
        <v>22</v>
      </c>
      <c r="M64" s="9">
        <v>1.8</v>
      </c>
      <c r="N64" s="9">
        <v>23.4</v>
      </c>
      <c r="O64" s="9">
        <f>Table1[[#This Row],[R1 Length (km)]]+Table1[[#This Row],[T1 Length (km)]]</f>
        <v>25.2</v>
      </c>
      <c r="P64" s="8">
        <v>230</v>
      </c>
      <c r="Q64" s="9">
        <f>(Table1[[#This Row],[Linear Features (km)]]*0.4)*100</f>
        <v>1008</v>
      </c>
      <c r="R64" s="1">
        <v>8.27</v>
      </c>
      <c r="S64" s="3">
        <f>Table1[[#This Row],[ATG (ha)]]/Table1[[#This Row],[Linear Area (ha)]]</f>
        <v>8.2043650793650787E-3</v>
      </c>
      <c r="T64" s="8" t="s">
        <v>91</v>
      </c>
      <c r="U64" s="2" t="s">
        <v>22</v>
      </c>
      <c r="V64" s="1" t="s">
        <v>22</v>
      </c>
      <c r="W64" s="1" t="s">
        <v>22</v>
      </c>
      <c r="X64" s="10">
        <v>179.4785</v>
      </c>
      <c r="Y64" s="10">
        <f>Table1[[#This Row],[Raw Terrestrial Score]]/Table1[[#This Row],[Summed Raw Scores]]</f>
        <v>0.4802535935700924</v>
      </c>
      <c r="Z64" s="10">
        <v>194.23759999999999</v>
      </c>
      <c r="AA64" s="10">
        <f>Table1[[#This Row],[Raw Freshwater Score]]/Table1[[#This Row],[Summed Raw Scores]]</f>
        <v>0.51974640642990766</v>
      </c>
      <c r="AB64" s="10">
        <f>Table1[[#This Row],[Raw Terrestrial Score]]+Table1[[#This Row],[Raw Freshwater Score]]</f>
        <v>373.71609999999998</v>
      </c>
      <c r="AC64" s="11">
        <f>Table1[[#This Row],[Terrestrial % of Summed Score]]*Table1[[#This Row],[Scaled Summed Score]]</f>
        <v>2.2053469420154057E-2</v>
      </c>
      <c r="AD64" s="11">
        <f>Table1[[#This Row],[Freshwater % of Summed Score]]*Table1[[#This Row],[Scaled Summed Score]]</f>
        <v>2.3866997840098481E-2</v>
      </c>
      <c r="AE64" s="11">
        <f>Table1[[#This Row],[Summed Raw Scores]]/MAX(Table1[Summed Raw Scores])</f>
        <v>4.5920467260252534E-2</v>
      </c>
      <c r="AF64" s="1"/>
    </row>
    <row r="65" spans="1:32" x14ac:dyDescent="0.3">
      <c r="A65" s="8" t="s">
        <v>123</v>
      </c>
      <c r="B65" s="8" t="s">
        <v>80</v>
      </c>
      <c r="C65" s="8" t="s">
        <v>27</v>
      </c>
      <c r="D65" s="8" t="s">
        <v>182</v>
      </c>
      <c r="E65" s="9">
        <v>55.077247999999997</v>
      </c>
      <c r="F65" s="9">
        <v>-121.11845</v>
      </c>
      <c r="G65" s="9">
        <v>54</v>
      </c>
      <c r="H65" s="8" t="s">
        <v>22</v>
      </c>
      <c r="I65" s="9">
        <v>13.2</v>
      </c>
      <c r="J65" s="9">
        <v>216.81</v>
      </c>
      <c r="K65" s="9">
        <v>76.420343570647532</v>
      </c>
      <c r="L65" s="9" t="s">
        <v>22</v>
      </c>
      <c r="M65" s="9">
        <v>6.8</v>
      </c>
      <c r="N65" s="9">
        <v>8.4</v>
      </c>
      <c r="O65" s="9">
        <f>Table1[[#This Row],[R1 Length (km)]]+Table1[[#This Row],[T1 Length (km)]]</f>
        <v>15.2</v>
      </c>
      <c r="P65" s="8">
        <v>69</v>
      </c>
      <c r="Q65" s="9">
        <f>(Table1[[#This Row],[Linear Features (km)]]*0.4)*100</f>
        <v>608</v>
      </c>
      <c r="R65" s="1">
        <v>7</v>
      </c>
      <c r="S65" s="3">
        <f>Table1[[#This Row],[ATG (ha)]]/Table1[[#This Row],[Linear Area (ha)]]</f>
        <v>1.1513157894736841E-2</v>
      </c>
      <c r="T65" s="8" t="s">
        <v>91</v>
      </c>
      <c r="U65" s="2" t="s">
        <v>22</v>
      </c>
      <c r="V65" s="1" t="s">
        <v>22</v>
      </c>
      <c r="W65" s="1" t="s">
        <v>22</v>
      </c>
      <c r="X65" s="10">
        <v>54.586309999999997</v>
      </c>
      <c r="Y65" s="10">
        <f>Table1[[#This Row],[Raw Terrestrial Score]]/Table1[[#This Row],[Summed Raw Scores]]</f>
        <v>0.34118104875231109</v>
      </c>
      <c r="Z65" s="10">
        <v>105.4059</v>
      </c>
      <c r="AA65" s="10">
        <f>Table1[[#This Row],[Raw Freshwater Score]]/Table1[[#This Row],[Summed Raw Scores]]</f>
        <v>0.65881895124768886</v>
      </c>
      <c r="AB65" s="10">
        <f>Table1[[#This Row],[Raw Terrestrial Score]]+Table1[[#This Row],[Raw Freshwater Score]]</f>
        <v>159.99221</v>
      </c>
      <c r="AC65" s="11">
        <f>Table1[[#This Row],[Terrestrial % of Summed Score]]*Table1[[#This Row],[Scaled Summed Score]]</f>
        <v>6.7073076627231073E-3</v>
      </c>
      <c r="AD65" s="11">
        <f>Table1[[#This Row],[Freshwater % of Summed Score]]*Table1[[#This Row],[Scaled Summed Score]]</f>
        <v>1.2951778582692725E-2</v>
      </c>
      <c r="AE65" s="11">
        <f>Table1[[#This Row],[Summed Raw Scores]]/MAX(Table1[Summed Raw Scores])</f>
        <v>1.9659086245415833E-2</v>
      </c>
      <c r="AF65" s="1"/>
    </row>
    <row r="66" spans="1:32" x14ac:dyDescent="0.3">
      <c r="A66" s="8" t="s">
        <v>124</v>
      </c>
      <c r="B66" s="8" t="s">
        <v>80</v>
      </c>
      <c r="C66" s="8" t="s">
        <v>27</v>
      </c>
      <c r="D66" s="8" t="s">
        <v>182</v>
      </c>
      <c r="E66" s="9">
        <v>54.960041250000003</v>
      </c>
      <c r="F66" s="9">
        <v>-120.59689109999999</v>
      </c>
      <c r="G66" s="9">
        <v>150</v>
      </c>
      <c r="H66" s="8" t="s">
        <v>22</v>
      </c>
      <c r="I66" s="9">
        <v>36</v>
      </c>
      <c r="J66" s="9">
        <v>569.35620000000006</v>
      </c>
      <c r="K66" s="9">
        <v>62.193665264181391</v>
      </c>
      <c r="L66" s="9" t="s">
        <v>22</v>
      </c>
      <c r="M66" s="9">
        <v>0.2</v>
      </c>
      <c r="N66" s="9">
        <v>43.3</v>
      </c>
      <c r="O66" s="9">
        <f>Table1[[#This Row],[R1 Length (km)]]+Table1[[#This Row],[T1 Length (km)]]</f>
        <v>43.5</v>
      </c>
      <c r="P66" s="8">
        <v>230</v>
      </c>
      <c r="Q66" s="9">
        <f>(Table1[[#This Row],[Linear Features (km)]]*0.4)*100</f>
        <v>1740.0000000000002</v>
      </c>
      <c r="R66" s="1">
        <v>19.09</v>
      </c>
      <c r="S66" s="3">
        <f>Table1[[#This Row],[ATG (ha)]]/Table1[[#This Row],[Linear Area (ha)]]</f>
        <v>1.097126436781609E-2</v>
      </c>
      <c r="T66" s="8" t="s">
        <v>91</v>
      </c>
      <c r="U66" s="2" t="s">
        <v>22</v>
      </c>
      <c r="V66" s="1" t="s">
        <v>22</v>
      </c>
      <c r="W66" s="1" t="s">
        <v>22</v>
      </c>
      <c r="X66" s="10">
        <v>311.14420000000001</v>
      </c>
      <c r="Y66" s="10">
        <f>Table1[[#This Row],[Raw Terrestrial Score]]/Table1[[#This Row],[Summed Raw Scores]]</f>
        <v>0.64774112854991761</v>
      </c>
      <c r="Z66" s="10">
        <v>169.20849999999999</v>
      </c>
      <c r="AA66" s="10">
        <f>Table1[[#This Row],[Raw Freshwater Score]]/Table1[[#This Row],[Summed Raw Scores]]</f>
        <v>0.35225887145008233</v>
      </c>
      <c r="AB66" s="10">
        <f>Table1[[#This Row],[Raw Terrestrial Score]]+Table1[[#This Row],[Raw Freshwater Score]]</f>
        <v>480.35270000000003</v>
      </c>
      <c r="AC66" s="11">
        <f>Table1[[#This Row],[Terrestrial % of Summed Score]]*Table1[[#This Row],[Scaled Summed Score]]</f>
        <v>3.8231928058003031E-2</v>
      </c>
      <c r="AD66" s="11">
        <f>Table1[[#This Row],[Freshwater % of Summed Score]]*Table1[[#This Row],[Scaled Summed Score]]</f>
        <v>2.0791540381606358E-2</v>
      </c>
      <c r="AE66" s="11">
        <f>Table1[[#This Row],[Summed Raw Scores]]/MAX(Table1[Summed Raw Scores])</f>
        <v>5.9023468439609393E-2</v>
      </c>
      <c r="AF66" s="1"/>
    </row>
    <row r="67" spans="1:32" x14ac:dyDescent="0.3">
      <c r="A67" s="8" t="s">
        <v>34</v>
      </c>
      <c r="B67" s="8" t="s">
        <v>24</v>
      </c>
      <c r="C67" s="8" t="s">
        <v>32</v>
      </c>
      <c r="D67" s="8" t="s">
        <v>182</v>
      </c>
      <c r="E67" s="14">
        <v>50.6678</v>
      </c>
      <c r="F67" s="14">
        <v>-123.47042500000001</v>
      </c>
      <c r="G67" s="9">
        <v>99</v>
      </c>
      <c r="H67" s="9">
        <v>89</v>
      </c>
      <c r="I67" s="9" t="s">
        <v>22</v>
      </c>
      <c r="J67" s="15">
        <v>656.90040010200858</v>
      </c>
      <c r="K67" s="13">
        <v>97.683961438932542</v>
      </c>
      <c r="L67" s="9" t="s">
        <v>22</v>
      </c>
      <c r="M67" s="14">
        <v>0.75</v>
      </c>
      <c r="N67" s="1">
        <v>66.571992187500001</v>
      </c>
      <c r="O67" s="1">
        <f>Table1[[#This Row],[R1 Length (km)]]+Table1[[#This Row],[T1 Length (km)]]</f>
        <v>67.321992187500001</v>
      </c>
      <c r="P67" s="2">
        <v>230</v>
      </c>
      <c r="Q67" s="1">
        <f>(Table1[[#This Row],[Linear Features (km)]]*0.4)*100</f>
        <v>2692.8796875000003</v>
      </c>
      <c r="R67" s="1">
        <v>26.5</v>
      </c>
      <c r="S67" s="3">
        <f>Table1[[#This Row],[ATG (ha)]]/Table1[[#This Row],[Linear Area (ha)]]</f>
        <v>9.8407664193129671E-3</v>
      </c>
      <c r="T67" s="2" t="s">
        <v>22</v>
      </c>
      <c r="U67" s="2" t="s">
        <v>22</v>
      </c>
      <c r="V67" s="1" t="s">
        <v>22</v>
      </c>
      <c r="W67" s="1" t="s">
        <v>22</v>
      </c>
      <c r="X67" s="10">
        <v>833.52049999999997</v>
      </c>
      <c r="Y67" s="10">
        <f>Table1[[#This Row],[Raw Terrestrial Score]]/Table1[[#This Row],[Summed Raw Scores]]</f>
        <v>0.30412270419914345</v>
      </c>
      <c r="Z67" s="10">
        <v>1907.2170000000001</v>
      </c>
      <c r="AA67" s="10">
        <f>Table1[[#This Row],[Raw Freshwater Score]]/Table1[[#This Row],[Summed Raw Scores]]</f>
        <v>0.69587729580085655</v>
      </c>
      <c r="AB67" s="10">
        <f>Table1[[#This Row],[Raw Terrestrial Score]]+Table1[[#This Row],[Raw Freshwater Score]]</f>
        <v>2740.7375000000002</v>
      </c>
      <c r="AC67" s="11">
        <f>Table1[[#This Row],[Terrestrial % of Summed Score]]*Table1[[#This Row],[Scaled Summed Score]]</f>
        <v>0.1024190577580129</v>
      </c>
      <c r="AD67" s="11">
        <f>Table1[[#This Row],[Freshwater % of Summed Score]]*Table1[[#This Row],[Scaled Summed Score]]</f>
        <v>0.23434980672948549</v>
      </c>
      <c r="AE67" s="11">
        <f>Table1[[#This Row],[Summed Raw Scores]]/MAX(Table1[Summed Raw Scores])</f>
        <v>0.33676886448749838</v>
      </c>
      <c r="AF67" s="1"/>
    </row>
    <row r="68" spans="1:32" x14ac:dyDescent="0.3">
      <c r="A68" s="8" t="s">
        <v>44</v>
      </c>
      <c r="B68" s="8" t="s">
        <v>42</v>
      </c>
      <c r="C68" s="8" t="s">
        <v>21</v>
      </c>
      <c r="D68" s="8" t="s">
        <v>182</v>
      </c>
      <c r="E68" s="12">
        <v>49.311390001299998</v>
      </c>
      <c r="F68" s="12">
        <v>-125.72295</v>
      </c>
      <c r="G68" s="9">
        <v>500</v>
      </c>
      <c r="H68" s="9" t="s">
        <v>22</v>
      </c>
      <c r="I68" s="1">
        <v>408</v>
      </c>
      <c r="J68" s="8" t="s">
        <v>22</v>
      </c>
      <c r="K68" s="8" t="s">
        <v>22</v>
      </c>
      <c r="L68" s="13">
        <v>193.71809398773007</v>
      </c>
      <c r="M68" s="12">
        <v>1.9727923584</v>
      </c>
      <c r="N68" s="1">
        <v>82.961731573007143</v>
      </c>
      <c r="O68" s="1">
        <f>Table1[[#This Row],[R1 Length (km)]]+Table1[[#This Row],[T1 Length (km)]]</f>
        <v>84.934523931407142</v>
      </c>
      <c r="P68" s="2">
        <v>500</v>
      </c>
      <c r="Q68" s="1">
        <f>(Table1[[#This Row],[Linear Features (km)]]*0.4)*100</f>
        <v>3397.3809572562859</v>
      </c>
      <c r="R68" s="1">
        <v>74.47</v>
      </c>
      <c r="S68" s="3">
        <f>Table1[[#This Row],[ATG (ha)]]/Table1[[#This Row],[Linear Area (ha)]]</f>
        <v>2.1919826165194538E-2</v>
      </c>
      <c r="T68" s="2" t="s">
        <v>22</v>
      </c>
      <c r="U68" s="2" t="s">
        <v>22</v>
      </c>
      <c r="V68" s="1" t="s">
        <v>22</v>
      </c>
      <c r="W68" s="1" t="s">
        <v>22</v>
      </c>
      <c r="X68" s="10">
        <v>783.49369999999999</v>
      </c>
      <c r="Y68" s="10">
        <f>Table1[[#This Row],[Raw Terrestrial Score]]/Table1[[#This Row],[Summed Raw Scores]]</f>
        <v>0.43397219243351348</v>
      </c>
      <c r="Z68" s="10">
        <v>1021.907</v>
      </c>
      <c r="AA68" s="10">
        <f>Table1[[#This Row],[Raw Freshwater Score]]/Table1[[#This Row],[Summed Raw Scores]]</f>
        <v>0.56602780756648652</v>
      </c>
      <c r="AB68" s="10">
        <f>Table1[[#This Row],[Raw Terrestrial Score]]+Table1[[#This Row],[Raw Freshwater Score]]</f>
        <v>1805.4007000000001</v>
      </c>
      <c r="AC68" s="11">
        <f>Table1[[#This Row],[Terrestrial % of Summed Score]]*Table1[[#This Row],[Scaled Summed Score]]</f>
        <v>9.6272001124554502E-2</v>
      </c>
      <c r="AD68" s="11">
        <f>Table1[[#This Row],[Freshwater % of Summed Score]]*Table1[[#This Row],[Scaled Summed Score]]</f>
        <v>0.12556710009689948</v>
      </c>
      <c r="AE68" s="11">
        <f>Table1[[#This Row],[Summed Raw Scores]]/MAX(Table1[Summed Raw Scores])</f>
        <v>0.22183910122145398</v>
      </c>
      <c r="AF68" s="1"/>
    </row>
    <row r="69" spans="1:32" x14ac:dyDescent="0.3">
      <c r="A69" s="8" t="s">
        <v>49</v>
      </c>
      <c r="B69" s="8" t="s">
        <v>50</v>
      </c>
      <c r="C69" s="8" t="s">
        <v>32</v>
      </c>
      <c r="D69" s="8" t="s">
        <v>182</v>
      </c>
      <c r="E69" s="9">
        <v>50.371716999999997</v>
      </c>
      <c r="F69" s="9">
        <v>-122.7530678</v>
      </c>
      <c r="G69" s="9">
        <v>15.82</v>
      </c>
      <c r="H69" s="9" t="s">
        <v>22</v>
      </c>
      <c r="I69" s="9">
        <v>2</v>
      </c>
      <c r="J69" s="9">
        <v>37</v>
      </c>
      <c r="K69" s="9">
        <v>86.53</v>
      </c>
      <c r="L69" s="9" t="s">
        <v>22</v>
      </c>
      <c r="M69" s="9">
        <f>200.000000002/1000</f>
        <v>0.20000000000199999</v>
      </c>
      <c r="N69" s="9">
        <f>5234.07068874/1000</f>
        <v>5.2340706887400001</v>
      </c>
      <c r="O69" s="9">
        <f>Table1[[#This Row],[R1 Length (km)]]+Table1[[#This Row],[T1 Length (km)]]</f>
        <v>5.4340706887420005</v>
      </c>
      <c r="P69" s="8">
        <v>69</v>
      </c>
      <c r="Q69" s="9">
        <f>(Table1[[#This Row],[Linear Features (km)]]*0.4)*100</f>
        <v>217.36282754968005</v>
      </c>
      <c r="R69" s="1">
        <v>6.85</v>
      </c>
      <c r="S69" s="3">
        <f>Table1[[#This Row],[ATG (ha)]]/Table1[[#This Row],[Linear Area (ha)]]</f>
        <v>3.1514128138742471E-2</v>
      </c>
      <c r="T69" s="2" t="s">
        <v>22</v>
      </c>
      <c r="U69" s="2" t="s">
        <v>22</v>
      </c>
      <c r="V69" s="1" t="s">
        <v>22</v>
      </c>
      <c r="W69" s="1" t="s">
        <v>22</v>
      </c>
      <c r="X69" s="10">
        <v>115.499</v>
      </c>
      <c r="Y69" s="10">
        <f>Table1[[#This Row],[Raw Terrestrial Score]]/Table1[[#This Row],[Summed Raw Scores]]</f>
        <v>0.59382824590357786</v>
      </c>
      <c r="Z69" s="10">
        <v>79</v>
      </c>
      <c r="AA69" s="10">
        <f>Table1[[#This Row],[Raw Freshwater Score]]/Table1[[#This Row],[Summed Raw Scores]]</f>
        <v>0.40617175409642209</v>
      </c>
      <c r="AB69" s="10">
        <f>Table1[[#This Row],[Raw Terrestrial Score]]+Table1[[#This Row],[Raw Freshwater Score]]</f>
        <v>194.499</v>
      </c>
      <c r="AC69" s="11">
        <f>Table1[[#This Row],[Terrestrial % of Summed Score]]*Table1[[#This Row],[Scaled Summed Score]]</f>
        <v>1.4191970985707887E-2</v>
      </c>
      <c r="AD69" s="11">
        <f>Table1[[#This Row],[Freshwater % of Summed Score]]*Table1[[#This Row],[Scaled Summed Score]]</f>
        <v>9.7071464503668704E-3</v>
      </c>
      <c r="AE69" s="11">
        <f>Table1[[#This Row],[Summed Raw Scores]]/MAX(Table1[Summed Raw Scores])</f>
        <v>2.3899117436074757E-2</v>
      </c>
      <c r="AF69" s="1"/>
    </row>
    <row r="70" spans="1:32" x14ac:dyDescent="0.3">
      <c r="A70" s="8" t="s">
        <v>51</v>
      </c>
      <c r="B70" s="8" t="s">
        <v>50</v>
      </c>
      <c r="C70" s="8" t="s">
        <v>32</v>
      </c>
      <c r="D70" s="8" t="s">
        <v>182</v>
      </c>
      <c r="E70" s="12">
        <v>49.712198797900001</v>
      </c>
      <c r="F70" s="12">
        <v>-122.750093851</v>
      </c>
      <c r="G70" s="9">
        <v>27.09</v>
      </c>
      <c r="H70" s="9" t="s">
        <v>22</v>
      </c>
      <c r="I70" s="9">
        <v>4</v>
      </c>
      <c r="J70" s="9">
        <v>78</v>
      </c>
      <c r="K70" s="9">
        <v>85.28</v>
      </c>
      <c r="L70" s="9" t="s">
        <v>22</v>
      </c>
      <c r="M70" s="12">
        <v>0.1</v>
      </c>
      <c r="N70" s="1">
        <v>65.222750000000005</v>
      </c>
      <c r="O70" s="1">
        <f>Table1[[#This Row],[R1 Length (km)]]+Table1[[#This Row],[T1 Length (km)]]</f>
        <v>65.322749999999999</v>
      </c>
      <c r="P70" s="2">
        <v>69</v>
      </c>
      <c r="Q70" s="1">
        <f>(Table1[[#This Row],[Linear Features (km)]]*0.4)*100</f>
        <v>2612.9100000000003</v>
      </c>
      <c r="R70" s="1">
        <v>5.01</v>
      </c>
      <c r="S70" s="3">
        <f>Table1[[#This Row],[ATG (ha)]]/Table1[[#This Row],[Linear Area (ha)]]</f>
        <v>1.9174024363640535E-3</v>
      </c>
      <c r="T70" s="2" t="s">
        <v>22</v>
      </c>
      <c r="U70" s="2" t="s">
        <v>22</v>
      </c>
      <c r="V70" s="1" t="s">
        <v>22</v>
      </c>
      <c r="W70" s="1" t="s">
        <v>22</v>
      </c>
      <c r="X70" s="10">
        <v>363.91070000000002</v>
      </c>
      <c r="Y70" s="10">
        <f>Table1[[#This Row],[Raw Terrestrial Score]]/Table1[[#This Row],[Summed Raw Scores]]</f>
        <v>0.20514600875906552</v>
      </c>
      <c r="Z70" s="10">
        <v>1410</v>
      </c>
      <c r="AA70" s="10">
        <f>Table1[[#This Row],[Raw Freshwater Score]]/Table1[[#This Row],[Summed Raw Scores]]</f>
        <v>0.79485399124093459</v>
      </c>
      <c r="AB70" s="10">
        <f>Table1[[#This Row],[Raw Terrestrial Score]]+Table1[[#This Row],[Raw Freshwater Score]]</f>
        <v>1773.9106999999999</v>
      </c>
      <c r="AC70" s="11">
        <f>Table1[[#This Row],[Terrestrial % of Summed Score]]*Table1[[#This Row],[Scaled Summed Score]]</f>
        <v>4.4715626072854724E-2</v>
      </c>
      <c r="AD70" s="11">
        <f>Table1[[#This Row],[Freshwater % of Summed Score]]*Table1[[#This Row],[Scaled Summed Score]]</f>
        <v>0.17325413284832009</v>
      </c>
      <c r="AE70" s="11">
        <f>Table1[[#This Row],[Summed Raw Scores]]/MAX(Table1[Summed Raw Scores])</f>
        <v>0.21796975892117479</v>
      </c>
      <c r="AF70" s="1"/>
    </row>
    <row r="71" spans="1:32" x14ac:dyDescent="0.3">
      <c r="A71" s="8" t="s">
        <v>52</v>
      </c>
      <c r="B71" s="8" t="s">
        <v>50</v>
      </c>
      <c r="C71" s="8" t="s">
        <v>53</v>
      </c>
      <c r="D71" s="8" t="s">
        <v>182</v>
      </c>
      <c r="E71" s="12">
        <v>51.656905572900001</v>
      </c>
      <c r="F71" s="12">
        <v>-118.616383477</v>
      </c>
      <c r="G71" s="9">
        <v>49.27</v>
      </c>
      <c r="H71" s="9" t="s">
        <v>22</v>
      </c>
      <c r="I71" s="9">
        <v>7</v>
      </c>
      <c r="J71" s="9">
        <v>151</v>
      </c>
      <c r="K71" s="9">
        <v>84.37</v>
      </c>
      <c r="L71" s="9" t="s">
        <v>22</v>
      </c>
      <c r="M71" s="12">
        <v>0.14142135620100002</v>
      </c>
      <c r="N71" s="1">
        <v>4.7698486328124998</v>
      </c>
      <c r="O71" s="1">
        <f>Table1[[#This Row],[R1 Length (km)]]+Table1[[#This Row],[T1 Length (km)]]</f>
        <v>4.9112699890134994</v>
      </c>
      <c r="P71" s="2">
        <v>69</v>
      </c>
      <c r="Q71" s="1">
        <f>(Table1[[#This Row],[Linear Features (km)]]*0.4)*100</f>
        <v>196.45079956053999</v>
      </c>
      <c r="R71" s="1">
        <v>5.75</v>
      </c>
      <c r="S71" s="3">
        <f>Table1[[#This Row],[ATG (ha)]]/Table1[[#This Row],[Linear Area (ha)]]</f>
        <v>2.926941510476281E-2</v>
      </c>
      <c r="T71" s="2" t="s">
        <v>22</v>
      </c>
      <c r="U71" s="2" t="s">
        <v>22</v>
      </c>
      <c r="V71" s="1" t="s">
        <v>22</v>
      </c>
      <c r="W71" s="1" t="s">
        <v>22</v>
      </c>
      <c r="X71" s="10">
        <v>41.267020000000002</v>
      </c>
      <c r="Y71" s="10">
        <f>Table1[[#This Row],[Raw Terrestrial Score]]/Table1[[#This Row],[Summed Raw Scores]]</f>
        <v>0.41280279225687289</v>
      </c>
      <c r="Z71" s="10">
        <v>58.700859999999999</v>
      </c>
      <c r="AA71" s="10">
        <f>Table1[[#This Row],[Raw Freshwater Score]]/Table1[[#This Row],[Summed Raw Scores]]</f>
        <v>0.587197207743127</v>
      </c>
      <c r="AB71" s="10">
        <f>Table1[[#This Row],[Raw Terrestrial Score]]+Table1[[#This Row],[Raw Freshwater Score]]</f>
        <v>99.967880000000008</v>
      </c>
      <c r="AC71" s="11">
        <f>Table1[[#This Row],[Terrestrial % of Summed Score]]*Table1[[#This Row],[Scaled Summed Score]]</f>
        <v>5.070696287471122E-3</v>
      </c>
      <c r="AD71" s="11">
        <f>Table1[[#This Row],[Freshwater % of Summed Score]]*Table1[[#This Row],[Scaled Summed Score]]</f>
        <v>7.2128841111706648E-3</v>
      </c>
      <c r="AE71" s="11">
        <f>Table1[[#This Row],[Summed Raw Scores]]/MAX(Table1[Summed Raw Scores])</f>
        <v>1.2283580398641789E-2</v>
      </c>
      <c r="AF71" s="1"/>
    </row>
    <row r="72" spans="1:32" x14ac:dyDescent="0.3">
      <c r="A72" s="8" t="s">
        <v>125</v>
      </c>
      <c r="B72" s="8" t="s">
        <v>80</v>
      </c>
      <c r="C72" s="8" t="s">
        <v>25</v>
      </c>
      <c r="D72" s="8" t="s">
        <v>182</v>
      </c>
      <c r="E72" s="9">
        <v>51.005977790000003</v>
      </c>
      <c r="F72" s="9">
        <v>-120.4973311</v>
      </c>
      <c r="G72" s="9">
        <v>171</v>
      </c>
      <c r="H72" s="8" t="s">
        <v>22</v>
      </c>
      <c r="I72" s="9">
        <v>58.8</v>
      </c>
      <c r="J72" s="9">
        <v>613.38396</v>
      </c>
      <c r="K72" s="9">
        <v>86.696270973203369</v>
      </c>
      <c r="L72" s="9" t="s">
        <v>22</v>
      </c>
      <c r="M72" s="9">
        <v>0.3</v>
      </c>
      <c r="N72" s="9">
        <v>43.9</v>
      </c>
      <c r="O72" s="9">
        <f>Table1[[#This Row],[R1 Length (km)]]+Table1[[#This Row],[T1 Length (km)]]</f>
        <v>44.199999999999996</v>
      </c>
      <c r="P72" s="8">
        <v>230</v>
      </c>
      <c r="Q72" s="9">
        <f>(Table1[[#This Row],[Linear Features (km)]]*0.4)*100</f>
        <v>1768</v>
      </c>
      <c r="R72" s="1">
        <f>((PI()*(45^2))*Table1[[#This Row],[Number of Turbines - WIND]])/10000</f>
        <v>31.17245310524472</v>
      </c>
      <c r="S72" s="3">
        <f>Table1[[#This Row],[ATG (ha)]]/Table1[[#This Row],[Linear Area (ha)]]</f>
        <v>1.7631478000704026E-2</v>
      </c>
      <c r="T72" s="8" t="s">
        <v>81</v>
      </c>
      <c r="U72" s="8">
        <v>49</v>
      </c>
      <c r="V72" s="1" t="s">
        <v>22</v>
      </c>
      <c r="W72" s="1" t="s">
        <v>22</v>
      </c>
      <c r="X72" s="10">
        <f>657.6574+60.78119</f>
        <v>718.43859000000009</v>
      </c>
      <c r="Y72" s="10">
        <f>Table1[[#This Row],[Raw Terrestrial Score]]/Table1[[#This Row],[Summed Raw Scores]]</f>
        <v>0.32442735066656825</v>
      </c>
      <c r="Z72" s="10">
        <f>1083.331+412.7126</f>
        <v>1496.0436</v>
      </c>
      <c r="AA72" s="10">
        <f>Table1[[#This Row],[Raw Freshwater Score]]/Table1[[#This Row],[Summed Raw Scores]]</f>
        <v>0.67557264933343164</v>
      </c>
      <c r="AB72" s="10">
        <f>Table1[[#This Row],[Raw Terrestrial Score]]+Table1[[#This Row],[Raw Freshwater Score]]</f>
        <v>2214.4821900000002</v>
      </c>
      <c r="AC72" s="11">
        <f>Table1[[#This Row],[Terrestrial % of Summed Score]]*Table1[[#This Row],[Scaled Summed Score]]</f>
        <v>8.8278336819304803E-2</v>
      </c>
      <c r="AD72" s="11">
        <f>Table1[[#This Row],[Freshwater % of Summed Score]]*Table1[[#This Row],[Scaled Summed Score]]</f>
        <v>0.18382676356119079</v>
      </c>
      <c r="AE72" s="11">
        <f>Table1[[#This Row],[Summed Raw Scores]]/MAX(Table1[Summed Raw Scores])</f>
        <v>0.27210510038049562</v>
      </c>
      <c r="AF72" s="1"/>
    </row>
    <row r="73" spans="1:32" x14ac:dyDescent="0.3">
      <c r="A73" s="8" t="s">
        <v>126</v>
      </c>
      <c r="B73" s="8" t="s">
        <v>80</v>
      </c>
      <c r="C73" s="8" t="s">
        <v>25</v>
      </c>
      <c r="D73" s="8" t="s">
        <v>182</v>
      </c>
      <c r="E73" s="9">
        <v>51.02296982</v>
      </c>
      <c r="F73" s="9">
        <v>-121.1465226</v>
      </c>
      <c r="G73" s="9">
        <v>150</v>
      </c>
      <c r="H73" s="8" t="s">
        <v>22</v>
      </c>
      <c r="I73" s="9">
        <v>36.479999999999997</v>
      </c>
      <c r="J73" s="9">
        <v>392.26579199999998</v>
      </c>
      <c r="K73" s="9">
        <v>86.678770695404879</v>
      </c>
      <c r="L73" s="9" t="s">
        <v>22</v>
      </c>
      <c r="M73" s="9">
        <v>0.1</v>
      </c>
      <c r="N73" s="9">
        <v>43</v>
      </c>
      <c r="O73" s="9">
        <f>Table1[[#This Row],[R1 Length (km)]]+Table1[[#This Row],[T1 Length (km)]]</f>
        <v>43.1</v>
      </c>
      <c r="P73" s="8">
        <v>130</v>
      </c>
      <c r="Q73" s="9">
        <f>(Table1[[#This Row],[Linear Features (km)]]*0.4)*100</f>
        <v>1724.0000000000002</v>
      </c>
      <c r="R73" s="1">
        <f>((PI()*(45^2))*Table1[[#This Row],[Number of Turbines - WIND]])/10000</f>
        <v>19.085175370557995</v>
      </c>
      <c r="S73" s="3">
        <f>Table1[[#This Row],[ATG (ha)]]/Table1[[#This Row],[Linear Area (ha)]]</f>
        <v>1.1070287337910668E-2</v>
      </c>
      <c r="T73" s="8" t="s">
        <v>81</v>
      </c>
      <c r="U73" s="8">
        <v>30</v>
      </c>
      <c r="V73" s="1" t="s">
        <v>22</v>
      </c>
      <c r="W73" s="1" t="s">
        <v>22</v>
      </c>
      <c r="X73" s="10">
        <f>602.6853+104.7562</f>
        <v>707.44150000000002</v>
      </c>
      <c r="Y73" s="10">
        <f>Table1[[#This Row],[Raw Terrestrial Score]]/Table1[[#This Row],[Summed Raw Scores]]</f>
        <v>0.44244530188991366</v>
      </c>
      <c r="Z73" s="10">
        <f>718.4603+173.0337</f>
        <v>891.49399999999991</v>
      </c>
      <c r="AA73" s="10">
        <f>Table1[[#This Row],[Raw Freshwater Score]]/Table1[[#This Row],[Summed Raw Scores]]</f>
        <v>0.55755469811008629</v>
      </c>
      <c r="AB73" s="10">
        <f>Table1[[#This Row],[Raw Terrestrial Score]]+Table1[[#This Row],[Raw Freshwater Score]]</f>
        <v>1598.9355</v>
      </c>
      <c r="AC73" s="11">
        <f>Table1[[#This Row],[Terrestrial % of Summed Score]]*Table1[[#This Row],[Scaled Summed Score]]</f>
        <v>8.6927066399585001E-2</v>
      </c>
      <c r="AD73" s="11">
        <f>Table1[[#This Row],[Freshwater % of Summed Score]]*Table1[[#This Row],[Scaled Summed Score]]</f>
        <v>0.10954256731168813</v>
      </c>
      <c r="AE73" s="11">
        <f>Table1[[#This Row],[Summed Raw Scores]]/MAX(Table1[Summed Raw Scores])</f>
        <v>0.19646963371127313</v>
      </c>
      <c r="AF73" s="1"/>
    </row>
    <row r="74" spans="1:32" x14ac:dyDescent="0.3">
      <c r="A74" s="8" t="s">
        <v>127</v>
      </c>
      <c r="B74" s="8" t="s">
        <v>80</v>
      </c>
      <c r="C74" s="8" t="s">
        <v>25</v>
      </c>
      <c r="D74" s="8" t="s">
        <v>182</v>
      </c>
      <c r="E74" s="9">
        <v>50.631984799999998</v>
      </c>
      <c r="F74" s="9">
        <v>-121.1327119</v>
      </c>
      <c r="G74" s="9">
        <v>96</v>
      </c>
      <c r="H74" s="8" t="s">
        <v>22</v>
      </c>
      <c r="I74" s="9">
        <v>24</v>
      </c>
      <c r="J74" s="9">
        <v>279.7944</v>
      </c>
      <c r="K74" s="9">
        <v>84.949897322398115</v>
      </c>
      <c r="L74" s="9" t="s">
        <v>22</v>
      </c>
      <c r="M74" s="9">
        <v>2.2000000000000002</v>
      </c>
      <c r="N74" s="9">
        <v>28.8</v>
      </c>
      <c r="O74" s="9">
        <f>Table1[[#This Row],[R1 Length (km)]]+Table1[[#This Row],[T1 Length (km)]]</f>
        <v>31</v>
      </c>
      <c r="P74" s="8">
        <v>130</v>
      </c>
      <c r="Q74" s="9">
        <f>(Table1[[#This Row],[Linear Features (km)]]*0.4)*100</f>
        <v>1240</v>
      </c>
      <c r="R74" s="1">
        <f>((PI()*(45^2))*Table1[[#This Row],[Number of Turbines - WIND]])/10000</f>
        <v>12.723450247038663</v>
      </c>
      <c r="S74" s="3">
        <f>Table1[[#This Row],[ATG (ha)]]/Table1[[#This Row],[Linear Area (ha)]]</f>
        <v>1.0260846973418277E-2</v>
      </c>
      <c r="T74" s="8" t="s">
        <v>128</v>
      </c>
      <c r="U74" s="8">
        <v>20</v>
      </c>
      <c r="V74" s="1" t="s">
        <v>22</v>
      </c>
      <c r="W74" s="1" t="s">
        <v>22</v>
      </c>
      <c r="X74" s="10">
        <v>343.9588</v>
      </c>
      <c r="Y74" s="10">
        <f>Table1[[#This Row],[Raw Terrestrial Score]]/Table1[[#This Row],[Summed Raw Scores]]</f>
        <v>0.44076662084622203</v>
      </c>
      <c r="Z74" s="10">
        <v>436.40609999999998</v>
      </c>
      <c r="AA74" s="10">
        <f>Table1[[#This Row],[Raw Freshwater Score]]/Table1[[#This Row],[Summed Raw Scores]]</f>
        <v>0.55923337915377791</v>
      </c>
      <c r="AB74" s="10">
        <f>Table1[[#This Row],[Raw Terrestrial Score]]+Table1[[#This Row],[Raw Freshwater Score]]</f>
        <v>780.36490000000003</v>
      </c>
      <c r="AC74" s="11">
        <f>Table1[[#This Row],[Terrestrial % of Summed Score]]*Table1[[#This Row],[Scaled Summed Score]]</f>
        <v>4.2264030942942378E-2</v>
      </c>
      <c r="AD74" s="11">
        <f>Table1[[#This Row],[Freshwater % of Summed Score]]*Table1[[#This Row],[Scaled Summed Score]]</f>
        <v>5.3623518032068981E-2</v>
      </c>
      <c r="AE74" s="11">
        <f>Table1[[#This Row],[Summed Raw Scores]]/MAX(Table1[Summed Raw Scores])</f>
        <v>9.5887548975011366E-2</v>
      </c>
      <c r="AF74" s="1"/>
    </row>
    <row r="75" spans="1:32" x14ac:dyDescent="0.3">
      <c r="A75" s="8" t="s">
        <v>129</v>
      </c>
      <c r="B75" s="8" t="s">
        <v>80</v>
      </c>
      <c r="C75" s="8" t="s">
        <v>25</v>
      </c>
      <c r="D75" s="8" t="s">
        <v>182</v>
      </c>
      <c r="E75" s="9">
        <v>50.597885300000002</v>
      </c>
      <c r="F75" s="9">
        <v>-120.67581060000001</v>
      </c>
      <c r="G75" s="9">
        <v>144</v>
      </c>
      <c r="H75" s="8" t="s">
        <v>22</v>
      </c>
      <c r="I75" s="9">
        <v>34.799999999999997</v>
      </c>
      <c r="J75" s="9">
        <v>388.55417999999997</v>
      </c>
      <c r="K75" s="9">
        <v>81.42411060961723</v>
      </c>
      <c r="L75" s="9" t="s">
        <v>22</v>
      </c>
      <c r="M75" s="9">
        <v>0.3</v>
      </c>
      <c r="N75" s="9">
        <v>21</v>
      </c>
      <c r="O75" s="9">
        <f>Table1[[#This Row],[R1 Length (km)]]+Table1[[#This Row],[T1 Length (km)]]</f>
        <v>21.3</v>
      </c>
      <c r="P75" s="8">
        <v>130</v>
      </c>
      <c r="Q75" s="9">
        <f>(Table1[[#This Row],[Linear Features (km)]]*0.4)*100</f>
        <v>852.00000000000011</v>
      </c>
      <c r="R75" s="1">
        <f>((PI()*(45^2))*Table1[[#This Row],[Number of Turbines - WIND]])/10000</f>
        <v>18.449002858206061</v>
      </c>
      <c r="S75" s="3">
        <f>Table1[[#This Row],[ATG (ha)]]/Table1[[#This Row],[Linear Area (ha)]]</f>
        <v>2.1653759223246548E-2</v>
      </c>
      <c r="T75" s="8" t="s">
        <v>128</v>
      </c>
      <c r="U75" s="8">
        <v>29</v>
      </c>
      <c r="V75" s="1" t="s">
        <v>22</v>
      </c>
      <c r="W75" s="1" t="s">
        <v>22</v>
      </c>
      <c r="X75" s="10">
        <v>142.30770000000001</v>
      </c>
      <c r="Y75" s="10">
        <f>Table1[[#This Row],[Raw Terrestrial Score]]/Table1[[#This Row],[Summed Raw Scores]]</f>
        <v>0.40526912486255628</v>
      </c>
      <c r="Z75" s="10">
        <v>208.83600000000001</v>
      </c>
      <c r="AA75" s="10">
        <f>Table1[[#This Row],[Raw Freshwater Score]]/Table1[[#This Row],[Summed Raw Scores]]</f>
        <v>0.59473087513744372</v>
      </c>
      <c r="AB75" s="10">
        <f>Table1[[#This Row],[Raw Terrestrial Score]]+Table1[[#This Row],[Raw Freshwater Score]]</f>
        <v>351.14370000000002</v>
      </c>
      <c r="AC75" s="11">
        <f>Table1[[#This Row],[Terrestrial % of Summed Score]]*Table1[[#This Row],[Scaled Summed Score]]</f>
        <v>1.7486097277403464E-2</v>
      </c>
      <c r="AD75" s="11">
        <f>Table1[[#This Row],[Freshwater % of Summed Score]]*Table1[[#This Row],[Scaled Summed Score]]</f>
        <v>2.5660780203909061E-2</v>
      </c>
      <c r="AE75" s="11">
        <f>Table1[[#This Row],[Summed Raw Scores]]/MAX(Table1[Summed Raw Scores])</f>
        <v>4.3146877481312525E-2</v>
      </c>
      <c r="AF75" s="1"/>
    </row>
    <row r="76" spans="1:32" x14ac:dyDescent="0.3">
      <c r="A76" s="8" t="s">
        <v>130</v>
      </c>
      <c r="B76" s="8" t="s">
        <v>80</v>
      </c>
      <c r="C76" s="8" t="s">
        <v>25</v>
      </c>
      <c r="D76" s="8" t="s">
        <v>182</v>
      </c>
      <c r="E76" s="9">
        <v>50.438525319999997</v>
      </c>
      <c r="F76" s="9">
        <v>-121.0431569</v>
      </c>
      <c r="G76" s="9">
        <v>129</v>
      </c>
      <c r="H76" s="8" t="s">
        <v>22</v>
      </c>
      <c r="I76" s="9">
        <v>31.2</v>
      </c>
      <c r="J76" s="9">
        <v>320.00280000000004</v>
      </c>
      <c r="K76" s="9">
        <v>89.222821877244428</v>
      </c>
      <c r="L76" s="9" t="s">
        <v>22</v>
      </c>
      <c r="M76" s="9">
        <v>1.6899497070299998</v>
      </c>
      <c r="N76" s="9">
        <v>17.96984765625</v>
      </c>
      <c r="O76" s="9">
        <f>Table1[[#This Row],[R1 Length (km)]]+Table1[[#This Row],[T1 Length (km)]]</f>
        <v>19.659797363279999</v>
      </c>
      <c r="P76" s="8">
        <v>130</v>
      </c>
      <c r="Q76" s="9">
        <f>(Table1[[#This Row],[Linear Features (km)]]*0.4)*100</f>
        <v>786.39189453120002</v>
      </c>
      <c r="R76" s="1">
        <f>((PI()*(45^2))*Table1[[#This Row],[Number of Turbines - WIND]])/10000</f>
        <v>16.54048532115026</v>
      </c>
      <c r="S76" s="3">
        <f>Table1[[#This Row],[ATG (ha)]]/Table1[[#This Row],[Linear Area (ha)]]</f>
        <v>2.1033387343101638E-2</v>
      </c>
      <c r="T76" s="8" t="s">
        <v>81</v>
      </c>
      <c r="U76" s="8">
        <v>26</v>
      </c>
      <c r="V76" s="1" t="s">
        <v>22</v>
      </c>
      <c r="W76" s="1" t="s">
        <v>22</v>
      </c>
      <c r="X76" s="10">
        <f>203.79+62.93112</f>
        <v>266.72111999999998</v>
      </c>
      <c r="Y76" s="10">
        <f>Table1[[#This Row],[Raw Terrestrial Score]]/Table1[[#This Row],[Summed Raw Scores]]</f>
        <v>0.34251300810709168</v>
      </c>
      <c r="Z76" s="10">
        <f>381.6374+130.3597</f>
        <v>511.99710000000005</v>
      </c>
      <c r="AA76" s="10">
        <f>Table1[[#This Row],[Raw Freshwater Score]]/Table1[[#This Row],[Summed Raw Scores]]</f>
        <v>0.65748699189290838</v>
      </c>
      <c r="AB76" s="10">
        <f>Table1[[#This Row],[Raw Terrestrial Score]]+Table1[[#This Row],[Raw Freshwater Score]]</f>
        <v>778.71821999999997</v>
      </c>
      <c r="AC76" s="11">
        <f>Table1[[#This Row],[Terrestrial % of Summed Score]]*Table1[[#This Row],[Scaled Summed Score]]</f>
        <v>3.2773430041087036E-2</v>
      </c>
      <c r="AD76" s="11">
        <f>Table1[[#This Row],[Freshwater % of Summed Score]]*Table1[[#This Row],[Scaled Summed Score]]</f>
        <v>6.2911782681811801E-2</v>
      </c>
      <c r="AE76" s="11">
        <f>Table1[[#This Row],[Summed Raw Scores]]/MAX(Table1[Summed Raw Scores])</f>
        <v>9.568521272289883E-2</v>
      </c>
      <c r="AF76" s="1"/>
    </row>
    <row r="77" spans="1:32" x14ac:dyDescent="0.3">
      <c r="A77" s="8" t="s">
        <v>131</v>
      </c>
      <c r="B77" s="8" t="s">
        <v>80</v>
      </c>
      <c r="C77" s="8" t="s">
        <v>25</v>
      </c>
      <c r="D77" s="8" t="s">
        <v>182</v>
      </c>
      <c r="E77" s="9">
        <v>50.469392810000002</v>
      </c>
      <c r="F77" s="9">
        <v>-119.96195470000001</v>
      </c>
      <c r="G77" s="9">
        <v>117</v>
      </c>
      <c r="H77" s="8" t="s">
        <v>22</v>
      </c>
      <c r="I77" s="9">
        <v>27.599999999999998</v>
      </c>
      <c r="J77" s="9">
        <v>332.44200000000001</v>
      </c>
      <c r="K77" s="9">
        <v>80.465695323400553</v>
      </c>
      <c r="L77" s="9" t="s">
        <v>22</v>
      </c>
      <c r="M77" s="9">
        <v>0.3</v>
      </c>
      <c r="N77" s="9">
        <v>35</v>
      </c>
      <c r="O77" s="9">
        <f>Table1[[#This Row],[R1 Length (km)]]+Table1[[#This Row],[T1 Length (km)]]</f>
        <v>35.299999999999997</v>
      </c>
      <c r="P77" s="8">
        <v>130</v>
      </c>
      <c r="Q77" s="9">
        <f>(Table1[[#This Row],[Linear Features (km)]]*0.4)*100</f>
        <v>1412</v>
      </c>
      <c r="R77" s="1">
        <f>((PI()*(45^2))*Table1[[#This Row],[Number of Turbines - WIND]])/10000</f>
        <v>14.631967784094462</v>
      </c>
      <c r="S77" s="3">
        <f>Table1[[#This Row],[ATG (ha)]]/Table1[[#This Row],[Linear Area (ha)]]</f>
        <v>1.0362583416497494E-2</v>
      </c>
      <c r="T77" s="8" t="s">
        <v>81</v>
      </c>
      <c r="U77" s="8">
        <v>23</v>
      </c>
      <c r="V77" s="1" t="s">
        <v>22</v>
      </c>
      <c r="W77" s="1" t="s">
        <v>22</v>
      </c>
      <c r="X77" s="10">
        <f>508.8613+12.9929</f>
        <v>521.85419999999999</v>
      </c>
      <c r="Y77" s="10">
        <f>Table1[[#This Row],[Raw Terrestrial Score]]/Table1[[#This Row],[Summed Raw Scores]]</f>
        <v>0.43756181134458644</v>
      </c>
      <c r="Z77" s="10">
        <f>540.7121+130.0748</f>
        <v>670.78689999999995</v>
      </c>
      <c r="AA77" s="10">
        <f>Table1[[#This Row],[Raw Freshwater Score]]/Table1[[#This Row],[Summed Raw Scores]]</f>
        <v>0.56243818865541362</v>
      </c>
      <c r="AB77" s="10">
        <f>Table1[[#This Row],[Raw Terrestrial Score]]+Table1[[#This Row],[Raw Freshwater Score]]</f>
        <v>1192.6410999999998</v>
      </c>
      <c r="AC77" s="11">
        <f>Table1[[#This Row],[Terrestrial % of Summed Score]]*Table1[[#This Row],[Scaled Summed Score]]</f>
        <v>6.412297652074736E-2</v>
      </c>
      <c r="AD77" s="11">
        <f>Table1[[#This Row],[Freshwater % of Summed Score]]*Table1[[#This Row],[Scaled Summed Score]]</f>
        <v>8.2423122471994875E-2</v>
      </c>
      <c r="AE77" s="11">
        <f>Table1[[#This Row],[Summed Raw Scores]]/MAX(Table1[Summed Raw Scores])</f>
        <v>0.14654609899274224</v>
      </c>
      <c r="AF77" s="1"/>
    </row>
    <row r="78" spans="1:32" x14ac:dyDescent="0.3">
      <c r="A78" s="8" t="s">
        <v>132</v>
      </c>
      <c r="B78" s="8" t="s">
        <v>80</v>
      </c>
      <c r="C78" s="8" t="s">
        <v>60</v>
      </c>
      <c r="D78" s="8" t="s">
        <v>182</v>
      </c>
      <c r="E78" s="9">
        <v>50.614013720000003</v>
      </c>
      <c r="F78" s="9">
        <v>-119.4703877</v>
      </c>
      <c r="G78" s="9">
        <v>138</v>
      </c>
      <c r="H78" s="8" t="s">
        <v>22</v>
      </c>
      <c r="I78" s="9">
        <v>33.6</v>
      </c>
      <c r="J78" s="9">
        <v>366.44832000000002</v>
      </c>
      <c r="K78" s="9">
        <v>83.191183022405298</v>
      </c>
      <c r="L78" s="9" t="s">
        <v>22</v>
      </c>
      <c r="M78" s="9">
        <v>0.2</v>
      </c>
      <c r="N78" s="9">
        <v>18.899999999999999</v>
      </c>
      <c r="O78" s="9">
        <f>Table1[[#This Row],[R1 Length (km)]]+Table1[[#This Row],[T1 Length (km)]]</f>
        <v>19.099999999999998</v>
      </c>
      <c r="P78" s="8">
        <v>130</v>
      </c>
      <c r="Q78" s="9">
        <f>(Table1[[#This Row],[Linear Features (km)]]*0.4)*100</f>
        <v>764</v>
      </c>
      <c r="R78" s="1">
        <f>((PI()*(45^2))*Table1[[#This Row],[Number of Turbines - WIND]])/10000</f>
        <v>17.812830345854124</v>
      </c>
      <c r="S78" s="3">
        <f>Table1[[#This Row],[ATG (ha)]]/Table1[[#This Row],[Linear Area (ha)]]</f>
        <v>2.3315222965777649E-2</v>
      </c>
      <c r="T78" s="8" t="s">
        <v>81</v>
      </c>
      <c r="U78" s="8">
        <v>28</v>
      </c>
      <c r="V78" s="1" t="s">
        <v>22</v>
      </c>
      <c r="W78" s="1" t="s">
        <v>22</v>
      </c>
      <c r="X78" s="10">
        <f>80.27171+10.7826</f>
        <v>91.054310000000001</v>
      </c>
      <c r="Y78" s="10">
        <f>Table1[[#This Row],[Raw Terrestrial Score]]/Table1[[#This Row],[Summed Raw Scores]]</f>
        <v>0.13925594292296792</v>
      </c>
      <c r="Z78" s="10">
        <f>391+171.8087</f>
        <v>562.80870000000004</v>
      </c>
      <c r="AA78" s="10">
        <f>Table1[[#This Row],[Raw Freshwater Score]]/Table1[[#This Row],[Summed Raw Scores]]</f>
        <v>0.86074405707703217</v>
      </c>
      <c r="AB78" s="10">
        <f>Table1[[#This Row],[Raw Terrestrial Score]]+Table1[[#This Row],[Raw Freshwater Score]]</f>
        <v>653.86301000000003</v>
      </c>
      <c r="AC78" s="11">
        <f>Table1[[#This Row],[Terrestrial % of Summed Score]]*Table1[[#This Row],[Scaled Summed Score]]</f>
        <v>1.1188323064646894E-2</v>
      </c>
      <c r="AD78" s="11">
        <f>Table1[[#This Row],[Freshwater % of Summed Score]]*Table1[[#This Row],[Scaled Summed Score]]</f>
        <v>6.9155271828361939E-2</v>
      </c>
      <c r="AE78" s="11">
        <f>Table1[[#This Row],[Summed Raw Scores]]/MAX(Table1[Summed Raw Scores])</f>
        <v>8.0343594893008824E-2</v>
      </c>
      <c r="AF78" s="1"/>
    </row>
    <row r="79" spans="1:32" x14ac:dyDescent="0.3">
      <c r="A79" s="8" t="s">
        <v>133</v>
      </c>
      <c r="B79" s="8" t="s">
        <v>80</v>
      </c>
      <c r="C79" s="8" t="s">
        <v>60</v>
      </c>
      <c r="D79" s="8" t="s">
        <v>182</v>
      </c>
      <c r="E79" s="9">
        <v>50.342679080000003</v>
      </c>
      <c r="F79" s="9">
        <v>-119.65686049999999</v>
      </c>
      <c r="G79" s="9">
        <v>186</v>
      </c>
      <c r="H79" s="8" t="s">
        <v>22</v>
      </c>
      <c r="I79" s="9">
        <v>44.4</v>
      </c>
      <c r="J79" s="9">
        <v>583.90218000000004</v>
      </c>
      <c r="K79" s="9">
        <v>73.214955174331507</v>
      </c>
      <c r="L79" s="9" t="s">
        <v>22</v>
      </c>
      <c r="M79" s="9">
        <v>0.1</v>
      </c>
      <c r="N79" s="9">
        <v>51.7</v>
      </c>
      <c r="O79" s="9">
        <f>Table1[[#This Row],[R1 Length (km)]]+Table1[[#This Row],[T1 Length (km)]]</f>
        <v>51.800000000000004</v>
      </c>
      <c r="P79" s="8">
        <v>230</v>
      </c>
      <c r="Q79" s="9">
        <f>(Table1[[#This Row],[Linear Features (km)]]*0.4)*100</f>
        <v>2072.0000000000005</v>
      </c>
      <c r="R79" s="1">
        <f>((PI()*(45^2))*Table1[[#This Row],[Number of Turbines - WIND]])/10000</f>
        <v>23.538382957021522</v>
      </c>
      <c r="S79" s="3">
        <f>Table1[[#This Row],[ATG (ha)]]/Table1[[#This Row],[Linear Area (ha)]]</f>
        <v>1.1360223434855944E-2</v>
      </c>
      <c r="T79" s="8" t="s">
        <v>81</v>
      </c>
      <c r="U79" s="8">
        <v>37</v>
      </c>
      <c r="V79" s="1" t="s">
        <v>22</v>
      </c>
      <c r="W79" s="1" t="s">
        <v>22</v>
      </c>
      <c r="X79" s="10">
        <f>435.9838+13.60593</f>
        <v>449.58972999999997</v>
      </c>
      <c r="Y79" s="10">
        <f>Table1[[#This Row],[Raw Terrestrial Score]]/Table1[[#This Row],[Summed Raw Scores]]</f>
        <v>0.57963514718111864</v>
      </c>
      <c r="Z79" s="10">
        <f>219.5467+106.5062</f>
        <v>326.05290000000002</v>
      </c>
      <c r="AA79" s="10">
        <f>Table1[[#This Row],[Raw Freshwater Score]]/Table1[[#This Row],[Summed Raw Scores]]</f>
        <v>0.42036485281888131</v>
      </c>
      <c r="AB79" s="10">
        <f>Table1[[#This Row],[Raw Terrestrial Score]]+Table1[[#This Row],[Raw Freshwater Score]]</f>
        <v>775.64263000000005</v>
      </c>
      <c r="AC79" s="11">
        <f>Table1[[#This Row],[Terrestrial % of Summed Score]]*Table1[[#This Row],[Scaled Summed Score]]</f>
        <v>5.5243460147986069E-2</v>
      </c>
      <c r="AD79" s="11">
        <f>Table1[[#This Row],[Freshwater % of Summed Score]]*Table1[[#This Row],[Scaled Summed Score]]</f>
        <v>4.0063838618567396E-2</v>
      </c>
      <c r="AE79" s="11">
        <f>Table1[[#This Row],[Summed Raw Scores]]/MAX(Table1[Summed Raw Scores])</f>
        <v>9.5307298766553472E-2</v>
      </c>
      <c r="AF79" s="1"/>
    </row>
    <row r="80" spans="1:32" x14ac:dyDescent="0.3">
      <c r="A80" s="8" t="s">
        <v>134</v>
      </c>
      <c r="B80" s="8" t="s">
        <v>80</v>
      </c>
      <c r="C80" s="8" t="s">
        <v>60</v>
      </c>
      <c r="D80" s="8" t="s">
        <v>182</v>
      </c>
      <c r="E80" s="9">
        <v>50.018305660000003</v>
      </c>
      <c r="F80" s="9">
        <v>-118.79677030000001</v>
      </c>
      <c r="G80" s="9">
        <v>162</v>
      </c>
      <c r="H80" s="8" t="s">
        <v>22</v>
      </c>
      <c r="I80" s="9">
        <v>56.4</v>
      </c>
      <c r="J80" s="9">
        <v>618.81515999999988</v>
      </c>
      <c r="K80" s="9">
        <v>85.512634441569176</v>
      </c>
      <c r="L80" s="9" t="s">
        <v>22</v>
      </c>
      <c r="M80" s="9">
        <v>1</v>
      </c>
      <c r="N80" s="9">
        <v>66.8</v>
      </c>
      <c r="O80" s="9">
        <f>Table1[[#This Row],[R1 Length (km)]]+Table1[[#This Row],[T1 Length (km)]]</f>
        <v>67.8</v>
      </c>
      <c r="P80" s="8">
        <v>230</v>
      </c>
      <c r="Q80" s="9">
        <f>(Table1[[#This Row],[Linear Features (km)]]*0.4)*100</f>
        <v>2712</v>
      </c>
      <c r="R80" s="1">
        <f>((PI()*(45^2))*Table1[[#This Row],[Number of Turbines - WIND]])/10000</f>
        <v>29.900108080540853</v>
      </c>
      <c r="S80" s="3">
        <f>Table1[[#This Row],[ATG (ha)]]/Table1[[#This Row],[Linear Area (ha)]]</f>
        <v>1.1025113599019488E-2</v>
      </c>
      <c r="T80" s="8" t="s">
        <v>81</v>
      </c>
      <c r="U80" s="8">
        <v>47</v>
      </c>
      <c r="V80" s="1" t="s">
        <v>22</v>
      </c>
      <c r="W80" s="1" t="s">
        <v>22</v>
      </c>
      <c r="X80" s="10">
        <f>998.4667+349.1881</f>
        <v>1347.6548</v>
      </c>
      <c r="Y80" s="10">
        <f>Table1[[#This Row],[Raw Terrestrial Score]]/Table1[[#This Row],[Summed Raw Scores]]</f>
        <v>0.47383149084158166</v>
      </c>
      <c r="Z80" s="10">
        <f>1136.219+360.2909</f>
        <v>1496.5099</v>
      </c>
      <c r="AA80" s="10">
        <f>Table1[[#This Row],[Raw Freshwater Score]]/Table1[[#This Row],[Summed Raw Scores]]</f>
        <v>0.52616850915841828</v>
      </c>
      <c r="AB80" s="10">
        <f>Table1[[#This Row],[Raw Terrestrial Score]]+Table1[[#This Row],[Raw Freshwater Score]]</f>
        <v>2844.1647000000003</v>
      </c>
      <c r="AC80" s="11">
        <f>Table1[[#This Row],[Terrestrial % of Summed Score]]*Table1[[#This Row],[Scaled Summed Score]]</f>
        <v>0.165593449470125</v>
      </c>
      <c r="AD80" s="11">
        <f>Table1[[#This Row],[Freshwater % of Summed Score]]*Table1[[#This Row],[Scaled Summed Score]]</f>
        <v>0.1838840603003023</v>
      </c>
      <c r="AE80" s="11">
        <f>Table1[[#This Row],[Summed Raw Scores]]/MAX(Table1[Summed Raw Scores])</f>
        <v>0.3494775097704273</v>
      </c>
      <c r="AF80" s="1"/>
    </row>
    <row r="81" spans="1:32" x14ac:dyDescent="0.3">
      <c r="A81" s="8" t="s">
        <v>135</v>
      </c>
      <c r="B81" s="8" t="s">
        <v>80</v>
      </c>
      <c r="C81" s="8" t="s">
        <v>60</v>
      </c>
      <c r="D81" s="8" t="s">
        <v>182</v>
      </c>
      <c r="E81" s="9">
        <v>50.190878660000003</v>
      </c>
      <c r="F81" s="9">
        <v>-119.67523540000001</v>
      </c>
      <c r="G81" s="9">
        <v>81</v>
      </c>
      <c r="H81" s="8" t="s">
        <v>22</v>
      </c>
      <c r="I81" s="9">
        <v>20.399999999999999</v>
      </c>
      <c r="J81" s="9">
        <v>258.37619999999998</v>
      </c>
      <c r="K81" s="9">
        <v>85.143636170844871</v>
      </c>
      <c r="L81" s="9" t="s">
        <v>22</v>
      </c>
      <c r="M81" s="9">
        <v>0.1</v>
      </c>
      <c r="N81" s="9">
        <v>36.799999999999997</v>
      </c>
      <c r="O81" s="9">
        <f>Table1[[#This Row],[R1 Length (km)]]+Table1[[#This Row],[T1 Length (km)]]</f>
        <v>36.9</v>
      </c>
      <c r="P81" s="8">
        <v>130</v>
      </c>
      <c r="Q81" s="9">
        <f>(Table1[[#This Row],[Linear Features (km)]]*0.4)*100</f>
        <v>1476</v>
      </c>
      <c r="R81" s="1">
        <f>((PI()*(45^2))*Table1[[#This Row],[Number of Turbines - WIND]])/10000</f>
        <v>10.814932709982862</v>
      </c>
      <c r="S81" s="3">
        <f>Table1[[#This Row],[ATG (ha)]]/Table1[[#This Row],[Linear Area (ha)]]</f>
        <v>7.3271901829152185E-3</v>
      </c>
      <c r="T81" s="8" t="s">
        <v>81</v>
      </c>
      <c r="U81" s="8">
        <v>17</v>
      </c>
      <c r="V81" s="1" t="s">
        <v>22</v>
      </c>
      <c r="W81" s="1" t="s">
        <v>22</v>
      </c>
      <c r="X81" s="10">
        <f>543.637+11.25231</f>
        <v>554.88930999999991</v>
      </c>
      <c r="Y81" s="10">
        <f>Table1[[#This Row],[Raw Terrestrial Score]]/Table1[[#This Row],[Summed Raw Scores]]</f>
        <v>0.61144934678177554</v>
      </c>
      <c r="Z81" s="10">
        <f>245.0174+107.5917</f>
        <v>352.60910000000001</v>
      </c>
      <c r="AA81" s="10">
        <f>Table1[[#This Row],[Raw Freshwater Score]]/Table1[[#This Row],[Summed Raw Scores]]</f>
        <v>0.38855065321822441</v>
      </c>
      <c r="AB81" s="10">
        <f>Table1[[#This Row],[Raw Terrestrial Score]]+Table1[[#This Row],[Raw Freshwater Score]]</f>
        <v>907.49840999999992</v>
      </c>
      <c r="AC81" s="11">
        <f>Table1[[#This Row],[Terrestrial % of Summed Score]]*Table1[[#This Row],[Scaled Summed Score]]</f>
        <v>6.818217463181038E-2</v>
      </c>
      <c r="AD81" s="11">
        <f>Table1[[#This Row],[Freshwater % of Summed Score]]*Table1[[#This Row],[Scaled Summed Score]]</f>
        <v>4.3326938904203249E-2</v>
      </c>
      <c r="AE81" s="11">
        <f>Table1[[#This Row],[Summed Raw Scores]]/MAX(Table1[Summed Raw Scores])</f>
        <v>0.11150911353601364</v>
      </c>
      <c r="AF81" s="1"/>
    </row>
    <row r="82" spans="1:32" x14ac:dyDescent="0.3">
      <c r="A82" s="8" t="s">
        <v>136</v>
      </c>
      <c r="B82" s="8" t="s">
        <v>80</v>
      </c>
      <c r="C82" s="8" t="s">
        <v>25</v>
      </c>
      <c r="D82" s="8" t="s">
        <v>182</v>
      </c>
      <c r="E82" s="9">
        <v>50.09076254</v>
      </c>
      <c r="F82" s="9">
        <v>-119.7530118</v>
      </c>
      <c r="G82" s="9">
        <v>303</v>
      </c>
      <c r="H82" s="8" t="s">
        <v>22</v>
      </c>
      <c r="I82" s="9">
        <v>73.2</v>
      </c>
      <c r="J82" s="9">
        <v>902.53403999999989</v>
      </c>
      <c r="K82" s="9">
        <v>75.242059453167954</v>
      </c>
      <c r="L82" s="9" t="s">
        <v>22</v>
      </c>
      <c r="M82" s="9">
        <v>0</v>
      </c>
      <c r="N82" s="9">
        <v>79.900000000000006</v>
      </c>
      <c r="O82" s="9">
        <f>Table1[[#This Row],[R1 Length (km)]]+Table1[[#This Row],[T1 Length (km)]]</f>
        <v>79.900000000000006</v>
      </c>
      <c r="P82" s="8">
        <v>230</v>
      </c>
      <c r="Q82" s="9">
        <f>(Table1[[#This Row],[Linear Features (km)]]*0.4)*100</f>
        <v>3196.0000000000005</v>
      </c>
      <c r="R82" s="1">
        <f>((PI()*(45^2))*Table1[[#This Row],[Number of Turbines - WIND]])/10000</f>
        <v>38.806523253467915</v>
      </c>
      <c r="S82" s="3">
        <f>Table1[[#This Row],[ATG (ha)]]/Table1[[#This Row],[Linear Area (ha)]]</f>
        <v>1.2142216287067556E-2</v>
      </c>
      <c r="T82" s="8" t="s">
        <v>81</v>
      </c>
      <c r="U82" s="8">
        <v>61</v>
      </c>
      <c r="V82" s="1" t="s">
        <v>22</v>
      </c>
      <c r="W82" s="1" t="s">
        <v>22</v>
      </c>
      <c r="X82" s="10">
        <f>824.1015+92.51847</f>
        <v>916.61996999999997</v>
      </c>
      <c r="Y82" s="10">
        <f>Table1[[#This Row],[Raw Terrestrial Score]]/Table1[[#This Row],[Summed Raw Scores]]</f>
        <v>0.42801668268643511</v>
      </c>
      <c r="Z82" s="10">
        <f>957.0462+267.8858</f>
        <v>1224.932</v>
      </c>
      <c r="AA82" s="10">
        <f>Table1[[#This Row],[Raw Freshwater Score]]/Table1[[#This Row],[Summed Raw Scores]]</f>
        <v>0.57198331731356489</v>
      </c>
      <c r="AB82" s="10">
        <f>Table1[[#This Row],[Raw Terrestrial Score]]+Table1[[#This Row],[Raw Freshwater Score]]</f>
        <v>2141.55197</v>
      </c>
      <c r="AC82" s="11">
        <f>Table1[[#This Row],[Terrestrial % of Summed Score]]*Table1[[#This Row],[Scaled Summed Score]]</f>
        <v>0.11262992769773275</v>
      </c>
      <c r="AD82" s="11">
        <f>Table1[[#This Row],[Freshwater % of Summed Score]]*Table1[[#This Row],[Scaled Summed Score]]</f>
        <v>0.15051385209798471</v>
      </c>
      <c r="AE82" s="11">
        <f>Table1[[#This Row],[Summed Raw Scores]]/MAX(Table1[Summed Raw Scores])</f>
        <v>0.26314377979571746</v>
      </c>
      <c r="AF82" s="1"/>
    </row>
    <row r="83" spans="1:32" x14ac:dyDescent="0.3">
      <c r="A83" s="8" t="s">
        <v>137</v>
      </c>
      <c r="B83" s="8" t="s">
        <v>80</v>
      </c>
      <c r="C83" s="8" t="s">
        <v>25</v>
      </c>
      <c r="D83" s="8" t="s">
        <v>182</v>
      </c>
      <c r="E83" s="9">
        <v>51.20302839</v>
      </c>
      <c r="F83" s="9">
        <v>-122.80802730000001</v>
      </c>
      <c r="G83" s="9">
        <v>117</v>
      </c>
      <c r="H83" s="8" t="s">
        <v>22</v>
      </c>
      <c r="I83" s="9">
        <v>27.599999999999998</v>
      </c>
      <c r="J83" s="9">
        <v>349.46706</v>
      </c>
      <c r="K83" s="9">
        <v>91.343677990623945</v>
      </c>
      <c r="L83" s="9" t="s">
        <v>22</v>
      </c>
      <c r="M83" s="9">
        <v>2.7</v>
      </c>
      <c r="N83" s="9">
        <v>69.8</v>
      </c>
      <c r="O83" s="9">
        <f>Table1[[#This Row],[R1 Length (km)]]+Table1[[#This Row],[T1 Length (km)]]</f>
        <v>72.5</v>
      </c>
      <c r="P83" s="8">
        <v>230</v>
      </c>
      <c r="Q83" s="9">
        <f>(Table1[[#This Row],[Linear Features (km)]]*0.4)*100</f>
        <v>2900</v>
      </c>
      <c r="R83" s="1">
        <v>14.63</v>
      </c>
      <c r="S83" s="3">
        <f>Table1[[#This Row],[ATG (ha)]]/Table1[[#This Row],[Linear Area (ha)]]</f>
        <v>5.0448275862068973E-3</v>
      </c>
      <c r="T83" s="8" t="s">
        <v>91</v>
      </c>
      <c r="U83" s="2" t="s">
        <v>22</v>
      </c>
      <c r="V83" s="1" t="s">
        <v>22</v>
      </c>
      <c r="W83" s="1" t="s">
        <v>22</v>
      </c>
      <c r="X83" s="10">
        <v>784.87789999999995</v>
      </c>
      <c r="Y83" s="10">
        <f>Table1[[#This Row],[Raw Terrestrial Score]]/Table1[[#This Row],[Summed Raw Scores]]</f>
        <v>0.3754157419519748</v>
      </c>
      <c r="Z83" s="10">
        <v>1305.8119999999999</v>
      </c>
      <c r="AA83" s="10">
        <f>Table1[[#This Row],[Raw Freshwater Score]]/Table1[[#This Row],[Summed Raw Scores]]</f>
        <v>0.6245842580480252</v>
      </c>
      <c r="AB83" s="10">
        <f>Table1[[#This Row],[Raw Terrestrial Score]]+Table1[[#This Row],[Raw Freshwater Score]]</f>
        <v>2090.6898999999999</v>
      </c>
      <c r="AC83" s="11">
        <f>Table1[[#This Row],[Terrestrial % of Summed Score]]*Table1[[#This Row],[Scaled Summed Score]]</f>
        <v>9.6442085075397491E-2</v>
      </c>
      <c r="AD83" s="11">
        <f>Table1[[#This Row],[Freshwater % of Summed Score]]*Table1[[#This Row],[Scaled Summed Score]]</f>
        <v>0.16045200405881596</v>
      </c>
      <c r="AE83" s="11">
        <f>Table1[[#This Row],[Summed Raw Scores]]/MAX(Table1[Summed Raw Scores])</f>
        <v>0.25689408913421347</v>
      </c>
      <c r="AF83" s="1"/>
    </row>
    <row r="84" spans="1:32" x14ac:dyDescent="0.3">
      <c r="A84" s="8" t="s">
        <v>138</v>
      </c>
      <c r="B84" s="8" t="s">
        <v>80</v>
      </c>
      <c r="C84" s="8" t="s">
        <v>25</v>
      </c>
      <c r="D84" s="8" t="s">
        <v>182</v>
      </c>
      <c r="E84" s="9">
        <v>51.175719659999999</v>
      </c>
      <c r="F84" s="9">
        <v>-122.474124</v>
      </c>
      <c r="G84" s="9">
        <v>54</v>
      </c>
      <c r="H84" s="8" t="s">
        <v>22</v>
      </c>
      <c r="I84" s="9">
        <v>13.2</v>
      </c>
      <c r="J84" s="9">
        <v>160.05395999999999</v>
      </c>
      <c r="K84" s="9">
        <v>89.798275246286522</v>
      </c>
      <c r="L84" s="9" t="s">
        <v>22</v>
      </c>
      <c r="M84" s="9">
        <v>2.6</v>
      </c>
      <c r="N84" s="9">
        <v>38.5</v>
      </c>
      <c r="O84" s="9">
        <f>Table1[[#This Row],[R1 Length (km)]]+Table1[[#This Row],[T1 Length (km)]]</f>
        <v>41.1</v>
      </c>
      <c r="P84" s="8">
        <v>69</v>
      </c>
      <c r="Q84" s="9">
        <f>(Table1[[#This Row],[Linear Features (km)]]*0.4)*100</f>
        <v>1644.0000000000002</v>
      </c>
      <c r="R84" s="1">
        <v>7</v>
      </c>
      <c r="S84" s="3">
        <f>Table1[[#This Row],[ATG (ha)]]/Table1[[#This Row],[Linear Area (ha)]]</f>
        <v>4.2579075425790746E-3</v>
      </c>
      <c r="T84" s="8" t="s">
        <v>91</v>
      </c>
      <c r="U84" s="2" t="s">
        <v>22</v>
      </c>
      <c r="V84" s="1" t="s">
        <v>22</v>
      </c>
      <c r="W84" s="1" t="s">
        <v>22</v>
      </c>
      <c r="X84" s="10">
        <v>240.34549999999999</v>
      </c>
      <c r="Y84" s="10">
        <f>Table1[[#This Row],[Raw Terrestrial Score]]/Table1[[#This Row],[Summed Raw Scores]]</f>
        <v>0.31692584482065433</v>
      </c>
      <c r="Z84" s="10">
        <v>518.01959999999997</v>
      </c>
      <c r="AA84" s="10">
        <f>Table1[[#This Row],[Raw Freshwater Score]]/Table1[[#This Row],[Summed Raw Scores]]</f>
        <v>0.68307415517934567</v>
      </c>
      <c r="AB84" s="10">
        <f>Table1[[#This Row],[Raw Terrestrial Score]]+Table1[[#This Row],[Raw Freshwater Score]]</f>
        <v>758.36509999999998</v>
      </c>
      <c r="AC84" s="11">
        <f>Table1[[#This Row],[Terrestrial % of Summed Score]]*Table1[[#This Row],[Scaled Summed Score]]</f>
        <v>2.9532518571982917E-2</v>
      </c>
      <c r="AD84" s="11">
        <f>Table1[[#This Row],[Freshwater % of Summed Score]]*Table1[[#This Row],[Scaled Summed Score]]</f>
        <v>6.3651799004562859E-2</v>
      </c>
      <c r="AE84" s="11">
        <f>Table1[[#This Row],[Summed Raw Scores]]/MAX(Table1[Summed Raw Scores])</f>
        <v>9.3184317576545772E-2</v>
      </c>
      <c r="AF84" s="1"/>
    </row>
    <row r="85" spans="1:32" x14ac:dyDescent="0.3">
      <c r="A85" s="8" t="s">
        <v>139</v>
      </c>
      <c r="B85" s="8" t="s">
        <v>80</v>
      </c>
      <c r="C85" s="8" t="s">
        <v>25</v>
      </c>
      <c r="D85" s="8" t="s">
        <v>182</v>
      </c>
      <c r="E85" s="9">
        <v>51.025660500000001</v>
      </c>
      <c r="F85" s="9">
        <v>-122.15500520000001</v>
      </c>
      <c r="G85" s="9">
        <v>39</v>
      </c>
      <c r="H85" s="8" t="s">
        <v>22</v>
      </c>
      <c r="I85" s="9">
        <v>9.6</v>
      </c>
      <c r="J85" s="9">
        <v>124.21679999999999</v>
      </c>
      <c r="K85" s="9">
        <v>88.564118456528348</v>
      </c>
      <c r="L85" s="9" t="s">
        <v>22</v>
      </c>
      <c r="M85" s="9">
        <v>1.1000000000000001</v>
      </c>
      <c r="N85" s="9">
        <v>30</v>
      </c>
      <c r="O85" s="9">
        <f>Table1[[#This Row],[R1 Length (km)]]+Table1[[#This Row],[T1 Length (km)]]</f>
        <v>31.1</v>
      </c>
      <c r="P85" s="8">
        <v>69</v>
      </c>
      <c r="Q85" s="9">
        <f>(Table1[[#This Row],[Linear Features (km)]]*0.4)*100</f>
        <v>1244.0000000000002</v>
      </c>
      <c r="R85" s="1">
        <v>5.09</v>
      </c>
      <c r="S85" s="3">
        <f>Table1[[#This Row],[ATG (ha)]]/Table1[[#This Row],[Linear Area (ha)]]</f>
        <v>4.0916398713826355E-3</v>
      </c>
      <c r="T85" s="8" t="s">
        <v>91</v>
      </c>
      <c r="U85" s="2" t="s">
        <v>22</v>
      </c>
      <c r="V85" s="1" t="s">
        <v>22</v>
      </c>
      <c r="W85" s="1" t="s">
        <v>22</v>
      </c>
      <c r="X85" s="10">
        <v>334.53489999999999</v>
      </c>
      <c r="Y85" s="10">
        <f>Table1[[#This Row],[Raw Terrestrial Score]]/Table1[[#This Row],[Summed Raw Scores]]</f>
        <v>0.44331670726776701</v>
      </c>
      <c r="Z85" s="10">
        <v>420.08339999999998</v>
      </c>
      <c r="AA85" s="10">
        <f>Table1[[#This Row],[Raw Freshwater Score]]/Table1[[#This Row],[Summed Raw Scores]]</f>
        <v>0.55668329273223294</v>
      </c>
      <c r="AB85" s="10">
        <f>Table1[[#This Row],[Raw Terrestrial Score]]+Table1[[#This Row],[Raw Freshwater Score]]</f>
        <v>754.61829999999998</v>
      </c>
      <c r="AC85" s="11">
        <f>Table1[[#This Row],[Terrestrial % of Summed Score]]*Table1[[#This Row],[Scaled Summed Score]]</f>
        <v>4.1106066671630824E-2</v>
      </c>
      <c r="AD85" s="11">
        <f>Table1[[#This Row],[Freshwater % of Summed Score]]*Table1[[#This Row],[Scaled Summed Score]]</f>
        <v>5.1617861837570195E-2</v>
      </c>
      <c r="AE85" s="11">
        <f>Table1[[#This Row],[Summed Raw Scores]]/MAX(Table1[Summed Raw Scores])</f>
        <v>9.2723928509201026E-2</v>
      </c>
      <c r="AF85" s="1"/>
    </row>
    <row r="86" spans="1:32" x14ac:dyDescent="0.3">
      <c r="A86" s="8" t="s">
        <v>140</v>
      </c>
      <c r="B86" s="8" t="s">
        <v>80</v>
      </c>
      <c r="C86" s="8" t="s">
        <v>25</v>
      </c>
      <c r="D86" s="8" t="s">
        <v>182</v>
      </c>
      <c r="E86" s="9">
        <v>50.762156240000003</v>
      </c>
      <c r="F86" s="9">
        <v>-121.717804</v>
      </c>
      <c r="G86" s="9">
        <v>48</v>
      </c>
      <c r="H86" s="8" t="s">
        <v>22</v>
      </c>
      <c r="I86" s="9">
        <v>12</v>
      </c>
      <c r="J86" s="9">
        <v>141.036</v>
      </c>
      <c r="K86" s="9">
        <v>88.914457851157948</v>
      </c>
      <c r="L86" s="9" t="s">
        <v>22</v>
      </c>
      <c r="M86" s="9">
        <v>0.74142138671900004</v>
      </c>
      <c r="N86" s="9">
        <v>15.603658203125001</v>
      </c>
      <c r="O86" s="9">
        <f>Table1[[#This Row],[R1 Length (km)]]+Table1[[#This Row],[T1 Length (km)]]</f>
        <v>16.345079589844001</v>
      </c>
      <c r="P86" s="8">
        <v>69</v>
      </c>
      <c r="Q86" s="9">
        <f>(Table1[[#This Row],[Linear Features (km)]]*0.4)*100</f>
        <v>653.80318359376008</v>
      </c>
      <c r="R86" s="1">
        <f>((PI()*(45^2))*Table1[[#This Row],[Number of Turbines - WIND]])/10000</f>
        <v>6.3617251235193315</v>
      </c>
      <c r="S86" s="3">
        <f>Table1[[#This Row],[ATG (ha)]]/Table1[[#This Row],[Linear Area (ha)]]</f>
        <v>9.7303367177731317E-3</v>
      </c>
      <c r="T86" s="8" t="s">
        <v>81</v>
      </c>
      <c r="U86" s="8">
        <v>10</v>
      </c>
      <c r="V86" s="1" t="s">
        <v>22</v>
      </c>
      <c r="W86" s="1" t="s">
        <v>22</v>
      </c>
      <c r="X86" s="10">
        <f>50.27534+4.198735</f>
        <v>54.474074999999999</v>
      </c>
      <c r="Y86" s="10">
        <f>Table1[[#This Row],[Raw Terrestrial Score]]/Table1[[#This Row],[Summed Raw Scores]]</f>
        <v>0.23680807206895149</v>
      </c>
      <c r="Z86" s="10">
        <f>127.5127+48.04793</f>
        <v>175.56063</v>
      </c>
      <c r="AA86" s="10">
        <f>Table1[[#This Row],[Raw Freshwater Score]]/Table1[[#This Row],[Summed Raw Scores]]</f>
        <v>0.76319192793104851</v>
      </c>
      <c r="AB86" s="10">
        <f>Table1[[#This Row],[Raw Terrestrial Score]]+Table1[[#This Row],[Raw Freshwater Score]]</f>
        <v>230.034705</v>
      </c>
      <c r="AC86" s="11">
        <f>Table1[[#This Row],[Terrestrial % of Summed Score]]*Table1[[#This Row],[Scaled Summed Score]]</f>
        <v>6.6935167566236535E-3</v>
      </c>
      <c r="AD86" s="11">
        <f>Table1[[#This Row],[Freshwater % of Summed Score]]*Table1[[#This Row],[Scaled Summed Score]]</f>
        <v>2.1572060080109767E-2</v>
      </c>
      <c r="AE86" s="11">
        <f>Table1[[#This Row],[Summed Raw Scores]]/MAX(Table1[Summed Raw Scores])</f>
        <v>2.8265576836733419E-2</v>
      </c>
      <c r="AF86" s="1"/>
    </row>
    <row r="87" spans="1:32" x14ac:dyDescent="0.3">
      <c r="A87" s="8" t="s">
        <v>141</v>
      </c>
      <c r="B87" s="8" t="s">
        <v>80</v>
      </c>
      <c r="C87" s="8" t="s">
        <v>25</v>
      </c>
      <c r="D87" s="8" t="s">
        <v>182</v>
      </c>
      <c r="E87" s="9">
        <v>50.152938370000001</v>
      </c>
      <c r="F87" s="9">
        <v>-121.27388120000001</v>
      </c>
      <c r="G87" s="9">
        <v>192</v>
      </c>
      <c r="H87" s="8" t="s">
        <v>22</v>
      </c>
      <c r="I87" s="9">
        <v>46.8</v>
      </c>
      <c r="J87" s="9">
        <v>671.15178000000003</v>
      </c>
      <c r="K87" s="9">
        <v>77.926025114283874</v>
      </c>
      <c r="L87" s="9" t="s">
        <v>22</v>
      </c>
      <c r="M87" s="9">
        <v>2.7</v>
      </c>
      <c r="N87" s="9">
        <v>80.900000000000006</v>
      </c>
      <c r="O87" s="9">
        <f>Table1[[#This Row],[R1 Length (km)]]+Table1[[#This Row],[T1 Length (km)]]</f>
        <v>83.600000000000009</v>
      </c>
      <c r="P87" s="8">
        <v>230</v>
      </c>
      <c r="Q87" s="9">
        <f>(Table1[[#This Row],[Linear Features (km)]]*0.4)*100</f>
        <v>3344.0000000000005</v>
      </c>
      <c r="R87" s="1">
        <v>24.81</v>
      </c>
      <c r="S87" s="3">
        <f>Table1[[#This Row],[ATG (ha)]]/Table1[[#This Row],[Linear Area (ha)]]</f>
        <v>7.4192583732057404E-3</v>
      </c>
      <c r="T87" s="8" t="s">
        <v>91</v>
      </c>
      <c r="U87" s="2" t="s">
        <v>22</v>
      </c>
      <c r="V87" s="1" t="s">
        <v>22</v>
      </c>
      <c r="W87" s="1" t="s">
        <v>22</v>
      </c>
      <c r="X87" s="10">
        <v>297.60599999999999</v>
      </c>
      <c r="Y87" s="10">
        <f>Table1[[#This Row],[Raw Terrestrial Score]]/Table1[[#This Row],[Summed Raw Scores]]</f>
        <v>0.23905294530424656</v>
      </c>
      <c r="Z87" s="10">
        <v>947.33159999999998</v>
      </c>
      <c r="AA87" s="10">
        <f>Table1[[#This Row],[Raw Freshwater Score]]/Table1[[#This Row],[Summed Raw Scores]]</f>
        <v>0.76094705469575341</v>
      </c>
      <c r="AB87" s="10">
        <f>Table1[[#This Row],[Raw Terrestrial Score]]+Table1[[#This Row],[Raw Freshwater Score]]</f>
        <v>1244.9376</v>
      </c>
      <c r="AC87" s="11">
        <f>Table1[[#This Row],[Terrestrial % of Summed Score]]*Table1[[#This Row],[Scaled Summed Score]]</f>
        <v>3.6568418057061805E-2</v>
      </c>
      <c r="AD87" s="11">
        <f>Table1[[#This Row],[Freshwater % of Summed Score]]*Table1[[#This Row],[Scaled Summed Score]]</f>
        <v>0.11640362757291604</v>
      </c>
      <c r="AE87" s="11">
        <f>Table1[[#This Row],[Summed Raw Scores]]/MAX(Table1[Summed Raw Scores])</f>
        <v>0.15297204562997785</v>
      </c>
      <c r="AF87" s="1"/>
    </row>
    <row r="88" spans="1:32" x14ac:dyDescent="0.3">
      <c r="A88" s="8" t="s">
        <v>142</v>
      </c>
      <c r="B88" s="8" t="s">
        <v>80</v>
      </c>
      <c r="C88" s="8" t="s">
        <v>25</v>
      </c>
      <c r="D88" s="8" t="s">
        <v>182</v>
      </c>
      <c r="E88" s="9">
        <v>49.717218209999999</v>
      </c>
      <c r="F88" s="9">
        <v>-120.94528649999999</v>
      </c>
      <c r="G88" s="9">
        <v>87</v>
      </c>
      <c r="H88" s="8" t="s">
        <v>22</v>
      </c>
      <c r="I88" s="9">
        <v>21.599999999999998</v>
      </c>
      <c r="J88" s="9">
        <v>282.40487999999999</v>
      </c>
      <c r="K88" s="9">
        <v>95.046143232935094</v>
      </c>
      <c r="L88" s="9" t="s">
        <v>22</v>
      </c>
      <c r="M88" s="9">
        <v>0.88284277343799999</v>
      </c>
      <c r="N88" s="9">
        <v>69.087421875000004</v>
      </c>
      <c r="O88" s="9">
        <f>Table1[[#This Row],[R1 Length (km)]]+Table1[[#This Row],[T1 Length (km)]]</f>
        <v>69.970264648438004</v>
      </c>
      <c r="P88" s="8">
        <v>130</v>
      </c>
      <c r="Q88" s="9">
        <f>(Table1[[#This Row],[Linear Features (km)]]*0.4)*100</f>
        <v>2798.8105859375205</v>
      </c>
      <c r="R88" s="1">
        <v>11.45</v>
      </c>
      <c r="S88" s="3">
        <f>Table1[[#This Row],[ATG (ha)]]/Table1[[#This Row],[Linear Area (ha)]]</f>
        <v>4.0910235431900728E-3</v>
      </c>
      <c r="T88" s="8" t="s">
        <v>91</v>
      </c>
      <c r="U88" s="2" t="s">
        <v>22</v>
      </c>
      <c r="V88" s="1" t="s">
        <v>22</v>
      </c>
      <c r="W88" s="1" t="s">
        <v>22</v>
      </c>
      <c r="X88" s="10">
        <v>392.5967</v>
      </c>
      <c r="Y88" s="10">
        <f>Table1[[#This Row],[Raw Terrestrial Score]]/Table1[[#This Row],[Summed Raw Scores]]</f>
        <v>0.30827152212267223</v>
      </c>
      <c r="Z88" s="10">
        <v>880.9452</v>
      </c>
      <c r="AA88" s="10">
        <f>Table1[[#This Row],[Raw Freshwater Score]]/Table1[[#This Row],[Summed Raw Scores]]</f>
        <v>0.69172847787732783</v>
      </c>
      <c r="AB88" s="10">
        <f>Table1[[#This Row],[Raw Terrestrial Score]]+Table1[[#This Row],[Raw Freshwater Score]]</f>
        <v>1273.5418999999999</v>
      </c>
      <c r="AC88" s="11">
        <f>Table1[[#This Row],[Terrestrial % of Summed Score]]*Table1[[#This Row],[Scaled Summed Score]]</f>
        <v>4.8240426111781608E-2</v>
      </c>
      <c r="AD88" s="11">
        <f>Table1[[#This Row],[Freshwater % of Summed Score]]*Table1[[#This Row],[Scaled Summed Score]]</f>
        <v>0.10824638064743965</v>
      </c>
      <c r="AE88" s="11">
        <f>Table1[[#This Row],[Summed Raw Scores]]/MAX(Table1[Summed Raw Scores])</f>
        <v>0.15648680675922125</v>
      </c>
      <c r="AF88" s="1"/>
    </row>
    <row r="89" spans="1:32" x14ac:dyDescent="0.3">
      <c r="A89" s="8" t="s">
        <v>143</v>
      </c>
      <c r="B89" s="8" t="s">
        <v>80</v>
      </c>
      <c r="C89" s="8" t="s">
        <v>25</v>
      </c>
      <c r="D89" s="8" t="s">
        <v>182</v>
      </c>
      <c r="E89" s="9">
        <v>49.421347300000001</v>
      </c>
      <c r="F89" s="9">
        <v>-120.8643541</v>
      </c>
      <c r="G89" s="9">
        <v>117</v>
      </c>
      <c r="H89" s="8" t="s">
        <v>22</v>
      </c>
      <c r="I89" s="9">
        <v>27.599999999999998</v>
      </c>
      <c r="J89" s="9">
        <v>333.34866000000005</v>
      </c>
      <c r="K89" s="9">
        <v>90.442200022550978</v>
      </c>
      <c r="L89" s="9" t="s">
        <v>22</v>
      </c>
      <c r="M89" s="9">
        <v>1.3899495849600001</v>
      </c>
      <c r="N89" s="9">
        <v>98.132296874999994</v>
      </c>
      <c r="O89" s="9">
        <f>Table1[[#This Row],[R1 Length (km)]]+Table1[[#This Row],[T1 Length (km)]]</f>
        <v>99.522246459960002</v>
      </c>
      <c r="P89" s="8">
        <v>130</v>
      </c>
      <c r="Q89" s="9">
        <f>(Table1[[#This Row],[Linear Features (km)]]*0.4)*100</f>
        <v>3980.8898583984005</v>
      </c>
      <c r="R89" s="1">
        <v>14.63</v>
      </c>
      <c r="S89" s="3">
        <f>Table1[[#This Row],[ATG (ha)]]/Table1[[#This Row],[Linear Area (ha)]]</f>
        <v>3.67505771834792E-3</v>
      </c>
      <c r="T89" s="8" t="s">
        <v>91</v>
      </c>
      <c r="U89" s="2" t="s">
        <v>22</v>
      </c>
      <c r="V89" s="1" t="s">
        <v>22</v>
      </c>
      <c r="W89" s="1" t="s">
        <v>22</v>
      </c>
      <c r="X89" s="10">
        <v>426.97199999999998</v>
      </c>
      <c r="Y89" s="10">
        <f>Table1[[#This Row],[Raw Terrestrial Score]]/Table1[[#This Row],[Summed Raw Scores]]</f>
        <v>0.35685272365853021</v>
      </c>
      <c r="Z89" s="10">
        <v>769.52160000000003</v>
      </c>
      <c r="AA89" s="10">
        <f>Table1[[#This Row],[Raw Freshwater Score]]/Table1[[#This Row],[Summed Raw Scores]]</f>
        <v>0.64314727634146984</v>
      </c>
      <c r="AB89" s="10">
        <f>Table1[[#This Row],[Raw Terrestrial Score]]+Table1[[#This Row],[Raw Freshwater Score]]</f>
        <v>1196.4936</v>
      </c>
      <c r="AC89" s="11">
        <f>Table1[[#This Row],[Terrestrial % of Summed Score]]*Table1[[#This Row],[Scaled Summed Score]]</f>
        <v>5.2464300432987887E-2</v>
      </c>
      <c r="AD89" s="11">
        <f>Table1[[#This Row],[Freshwater % of Summed Score]]*Table1[[#This Row],[Scaled Summed Score]]</f>
        <v>9.4555175543299175E-2</v>
      </c>
      <c r="AE89" s="11">
        <f>Table1[[#This Row],[Summed Raw Scores]]/MAX(Table1[Summed Raw Scores])</f>
        <v>0.14701947597628706</v>
      </c>
      <c r="AF89" s="1"/>
    </row>
    <row r="90" spans="1:32" x14ac:dyDescent="0.3">
      <c r="A90" s="8" t="s">
        <v>144</v>
      </c>
      <c r="B90" s="8" t="s">
        <v>80</v>
      </c>
      <c r="C90" s="8" t="s">
        <v>25</v>
      </c>
      <c r="D90" s="8" t="s">
        <v>182</v>
      </c>
      <c r="E90" s="9">
        <v>49.315802069999997</v>
      </c>
      <c r="F90" s="9">
        <v>-120.7780903</v>
      </c>
      <c r="G90" s="9">
        <v>150</v>
      </c>
      <c r="H90" s="8" t="s">
        <v>22</v>
      </c>
      <c r="I90" s="9">
        <v>36</v>
      </c>
      <c r="J90" s="9">
        <v>428.36399999999998</v>
      </c>
      <c r="K90" s="9">
        <v>86.437385455994203</v>
      </c>
      <c r="L90" s="9" t="s">
        <v>22</v>
      </c>
      <c r="M90" s="9">
        <v>0.9</v>
      </c>
      <c r="N90" s="9">
        <v>106.2</v>
      </c>
      <c r="O90" s="9">
        <f>Table1[[#This Row],[R1 Length (km)]]+Table1[[#This Row],[T1 Length (km)]]</f>
        <v>107.10000000000001</v>
      </c>
      <c r="P90" s="8">
        <v>130</v>
      </c>
      <c r="Q90" s="9">
        <f>(Table1[[#This Row],[Linear Features (km)]]*0.4)*100</f>
        <v>4284</v>
      </c>
      <c r="R90" s="1">
        <f>((PI()*(45^2))*Table1[[#This Row],[Number of Turbines - WIND]])/10000</f>
        <v>19.085175370557995</v>
      </c>
      <c r="S90" s="3">
        <f>Table1[[#This Row],[ATG (ha)]]/Table1[[#This Row],[Linear Area (ha)]]</f>
        <v>4.454989582296451E-3</v>
      </c>
      <c r="T90" s="8" t="s">
        <v>81</v>
      </c>
      <c r="U90" s="8">
        <v>30</v>
      </c>
      <c r="V90" s="1" t="s">
        <v>22</v>
      </c>
      <c r="W90" s="1" t="s">
        <v>22</v>
      </c>
      <c r="X90" s="10">
        <f>428.5363+10.76955</f>
        <v>439.30584999999996</v>
      </c>
      <c r="Y90" s="10">
        <f>Table1[[#This Row],[Raw Terrestrial Score]]/Table1[[#This Row],[Summed Raw Scores]]</f>
        <v>0.36150207848995164</v>
      </c>
      <c r="Z90" s="10">
        <f>737.0245+38.89323</f>
        <v>775.91773000000001</v>
      </c>
      <c r="AA90" s="10">
        <f>Table1[[#This Row],[Raw Freshwater Score]]/Table1[[#This Row],[Summed Raw Scores]]</f>
        <v>0.63849792151004847</v>
      </c>
      <c r="AB90" s="10">
        <f>Table1[[#This Row],[Raw Terrestrial Score]]+Table1[[#This Row],[Raw Freshwater Score]]</f>
        <v>1215.2235799999999</v>
      </c>
      <c r="AC90" s="11">
        <f>Table1[[#This Row],[Terrestrial % of Summed Score]]*Table1[[#This Row],[Scaled Summed Score]]</f>
        <v>5.3979825600669627E-2</v>
      </c>
      <c r="AD90" s="11">
        <f>Table1[[#This Row],[Freshwater % of Summed Score]]*Table1[[#This Row],[Scaled Summed Score]]</f>
        <v>9.534110175374963E-2</v>
      </c>
      <c r="AE90" s="11">
        <f>Table1[[#This Row],[Summed Raw Scores]]/MAX(Table1[Summed Raw Scores])</f>
        <v>0.14932092735441924</v>
      </c>
      <c r="AF90" s="1"/>
    </row>
    <row r="91" spans="1:32" x14ac:dyDescent="0.3">
      <c r="A91" s="8" t="s">
        <v>145</v>
      </c>
      <c r="B91" s="8" t="s">
        <v>80</v>
      </c>
      <c r="C91" s="8" t="s">
        <v>62</v>
      </c>
      <c r="D91" s="8" t="s">
        <v>182</v>
      </c>
      <c r="E91" s="9">
        <v>49.338748189999997</v>
      </c>
      <c r="F91" s="9">
        <v>-115.9994731</v>
      </c>
      <c r="G91" s="9">
        <v>33</v>
      </c>
      <c r="H91" s="8" t="s">
        <v>22</v>
      </c>
      <c r="I91" s="9">
        <v>8.4</v>
      </c>
      <c r="J91" s="9">
        <v>97.314840000000018</v>
      </c>
      <c r="K91" s="9">
        <v>97.013018779307032</v>
      </c>
      <c r="L91" s="9" t="s">
        <v>22</v>
      </c>
      <c r="M91" s="9">
        <v>1.2656854248</v>
      </c>
      <c r="N91" s="9">
        <v>15.8698486328125</v>
      </c>
      <c r="O91" s="9">
        <f>Table1[[#This Row],[R1 Length (km)]]+Table1[[#This Row],[T1 Length (km)]]</f>
        <v>17.135534057612499</v>
      </c>
      <c r="P91" s="8">
        <v>69</v>
      </c>
      <c r="Q91" s="9">
        <f>(Table1[[#This Row],[Linear Features (km)]]*0.4)*100</f>
        <v>685.42136230450001</v>
      </c>
      <c r="R91" s="1">
        <v>4.45</v>
      </c>
      <c r="S91" s="3">
        <f>Table1[[#This Row],[ATG (ha)]]/Table1[[#This Row],[Linear Area (ha)]]</f>
        <v>6.4923567381068546E-3</v>
      </c>
      <c r="T91" s="8" t="s">
        <v>91</v>
      </c>
      <c r="U91" s="2" t="s">
        <v>22</v>
      </c>
      <c r="V91" s="1" t="s">
        <v>22</v>
      </c>
      <c r="W91" s="1" t="s">
        <v>22</v>
      </c>
      <c r="X91" s="10">
        <v>155.61680000000001</v>
      </c>
      <c r="Y91" s="10">
        <f>Table1[[#This Row],[Raw Terrestrial Score]]/Table1[[#This Row],[Summed Raw Scores]]</f>
        <v>0.462296593634067</v>
      </c>
      <c r="Z91" s="10">
        <v>181</v>
      </c>
      <c r="AA91" s="10">
        <f>Table1[[#This Row],[Raw Freshwater Score]]/Table1[[#This Row],[Summed Raw Scores]]</f>
        <v>0.53770340636593295</v>
      </c>
      <c r="AB91" s="10">
        <f>Table1[[#This Row],[Raw Terrestrial Score]]+Table1[[#This Row],[Raw Freshwater Score]]</f>
        <v>336.61680000000001</v>
      </c>
      <c r="AC91" s="11">
        <f>Table1[[#This Row],[Terrestrial % of Summed Score]]*Table1[[#This Row],[Scaled Summed Score]]</f>
        <v>1.9121456553638623E-2</v>
      </c>
      <c r="AD91" s="11">
        <f>Table1[[#This Row],[Freshwater % of Summed Score]]*Table1[[#This Row],[Scaled Summed Score]]</f>
        <v>2.2240424145777257E-2</v>
      </c>
      <c r="AE91" s="11">
        <f>Table1[[#This Row],[Summed Raw Scores]]/MAX(Table1[Summed Raw Scores])</f>
        <v>4.1361880699415883E-2</v>
      </c>
      <c r="AF91" s="1"/>
    </row>
    <row r="92" spans="1:32" x14ac:dyDescent="0.3">
      <c r="A92" s="8" t="s">
        <v>74</v>
      </c>
      <c r="B92" s="8" t="s">
        <v>64</v>
      </c>
      <c r="C92" s="8" t="s">
        <v>32</v>
      </c>
      <c r="D92" s="8" t="s">
        <v>182</v>
      </c>
      <c r="E92" s="12">
        <v>49.29</v>
      </c>
      <c r="F92" s="12">
        <v>-121.4</v>
      </c>
      <c r="G92" s="9">
        <v>51.1</v>
      </c>
      <c r="H92" s="9">
        <v>40</v>
      </c>
      <c r="I92" s="9">
        <v>19</v>
      </c>
      <c r="J92" s="13">
        <v>251.3</v>
      </c>
      <c r="K92" s="13">
        <v>80.156438495857245</v>
      </c>
      <c r="L92" s="9" t="s">
        <v>22</v>
      </c>
      <c r="M92" s="12">
        <v>0</v>
      </c>
      <c r="N92" s="1">
        <v>13.058073580375128</v>
      </c>
      <c r="O92" s="1">
        <f>Table1[[#This Row],[R1 Length (km)]]+Table1[[#This Row],[T1 Length (km)]]</f>
        <v>13.058073580375128</v>
      </c>
      <c r="P92" s="2">
        <v>230</v>
      </c>
      <c r="Q92" s="1">
        <f>(Table1[[#This Row],[Linear Features (km)]]*0.4)*100</f>
        <v>522.32294321500513</v>
      </c>
      <c r="R92" s="1">
        <v>13.06</v>
      </c>
      <c r="S92" s="3">
        <f>Table1[[#This Row],[ATG (ha)]]/Table1[[#This Row],[Linear Area (ha)]]</f>
        <v>2.5003688177304667E-2</v>
      </c>
      <c r="T92" s="2" t="s">
        <v>22</v>
      </c>
      <c r="U92" s="2" t="s">
        <v>22</v>
      </c>
      <c r="V92" s="1" t="s">
        <v>22</v>
      </c>
      <c r="W92" s="1" t="s">
        <v>22</v>
      </c>
      <c r="X92" s="10">
        <v>217.7783</v>
      </c>
      <c r="Y92" s="10">
        <f>Table1[[#This Row],[Raw Terrestrial Score]]/Table1[[#This Row],[Summed Raw Scores]]</f>
        <v>0.40723099647087407</v>
      </c>
      <c r="Z92" s="10">
        <v>317</v>
      </c>
      <c r="AA92" s="10">
        <f>Table1[[#This Row],[Raw Freshwater Score]]/Table1[[#This Row],[Summed Raw Scores]]</f>
        <v>0.59276900352912609</v>
      </c>
      <c r="AB92" s="10">
        <f>Table1[[#This Row],[Raw Terrestrial Score]]+Table1[[#This Row],[Raw Freshwater Score]]</f>
        <v>534.77829999999994</v>
      </c>
      <c r="AC92" s="11">
        <f>Table1[[#This Row],[Terrestrial % of Summed Score]]*Table1[[#This Row],[Scaled Summed Score]]</f>
        <v>2.6759567744454829E-2</v>
      </c>
      <c r="AD92" s="11">
        <f>Table1[[#This Row],[Freshwater % of Summed Score]]*Table1[[#This Row],[Scaled Summed Score]]</f>
        <v>3.8951461072991113E-2</v>
      </c>
      <c r="AE92" s="11">
        <f>Table1[[#This Row],[Summed Raw Scores]]/MAX(Table1[Summed Raw Scores])</f>
        <v>6.5711028817445935E-2</v>
      </c>
      <c r="AF92" s="1"/>
    </row>
    <row r="93" spans="1:32" x14ac:dyDescent="0.3">
      <c r="A93" s="8" t="s">
        <v>75</v>
      </c>
      <c r="B93" s="8" t="s">
        <v>64</v>
      </c>
      <c r="C93" s="8" t="s">
        <v>32</v>
      </c>
      <c r="D93" s="8" t="s">
        <v>182</v>
      </c>
      <c r="E93" s="14">
        <v>49.58</v>
      </c>
      <c r="F93" s="14">
        <v>-121.35</v>
      </c>
      <c r="G93" s="9">
        <v>41.5</v>
      </c>
      <c r="H93" s="9">
        <v>40</v>
      </c>
      <c r="I93" s="9">
        <v>4</v>
      </c>
      <c r="J93" s="13">
        <v>61.7</v>
      </c>
      <c r="K93" s="13">
        <v>145.349752283105</v>
      </c>
      <c r="L93" s="9" t="s">
        <v>22</v>
      </c>
      <c r="M93" s="14">
        <v>0.72426406871269999</v>
      </c>
      <c r="N93" s="1">
        <v>14.961017305525326</v>
      </c>
      <c r="O93" s="1">
        <f>Table1[[#This Row],[R1 Length (km)]]+Table1[[#This Row],[T1 Length (km)]]</f>
        <v>15.685281374238025</v>
      </c>
      <c r="P93" s="2">
        <v>69</v>
      </c>
      <c r="Q93" s="1">
        <f>(Table1[[#This Row],[Linear Features (km)]]*0.4)*100</f>
        <v>627.41125496952111</v>
      </c>
      <c r="R93" s="1">
        <v>14.96</v>
      </c>
      <c r="S93" s="3">
        <f>Table1[[#This Row],[ATG (ha)]]/Table1[[#This Row],[Linear Area (ha)]]</f>
        <v>2.3844009621291764E-2</v>
      </c>
      <c r="T93" s="2" t="s">
        <v>22</v>
      </c>
      <c r="U93" s="2" t="s">
        <v>22</v>
      </c>
      <c r="V93" s="1" t="s">
        <v>22</v>
      </c>
      <c r="W93" s="1" t="s">
        <v>22</v>
      </c>
      <c r="X93" s="10">
        <v>264.0471</v>
      </c>
      <c r="Y93" s="10">
        <f>Table1[[#This Row],[Raw Terrestrial Score]]/Table1[[#This Row],[Summed Raw Scores]]</f>
        <v>0.4731627491657962</v>
      </c>
      <c r="Z93" s="10">
        <v>294</v>
      </c>
      <c r="AA93" s="10">
        <f>Table1[[#This Row],[Raw Freshwater Score]]/Table1[[#This Row],[Summed Raw Scores]]</f>
        <v>0.52683725083420374</v>
      </c>
      <c r="AB93" s="10">
        <f>Table1[[#This Row],[Raw Terrestrial Score]]+Table1[[#This Row],[Raw Freshwater Score]]</f>
        <v>558.0471</v>
      </c>
      <c r="AC93" s="11">
        <f>Table1[[#This Row],[Terrestrial % of Summed Score]]*Table1[[#This Row],[Scaled Summed Score]]</f>
        <v>3.2444859107527417E-2</v>
      </c>
      <c r="AD93" s="11">
        <f>Table1[[#This Row],[Freshwater % of Summed Score]]*Table1[[#This Row],[Scaled Summed Score]]</f>
        <v>3.612532982794759E-2</v>
      </c>
      <c r="AE93" s="11">
        <f>Table1[[#This Row],[Summed Raw Scores]]/MAX(Table1[Summed Raw Scores])</f>
        <v>6.8570188935475007E-2</v>
      </c>
      <c r="AF93" s="1"/>
    </row>
    <row r="94" spans="1:32" x14ac:dyDescent="0.3">
      <c r="A94" s="8" t="s">
        <v>35</v>
      </c>
      <c r="B94" s="8" t="s">
        <v>24</v>
      </c>
      <c r="C94" s="8" t="s">
        <v>32</v>
      </c>
      <c r="D94" s="8" t="s">
        <v>182</v>
      </c>
      <c r="E94" s="9">
        <v>49.736758000000002</v>
      </c>
      <c r="F94" s="9">
        <v>-122.303431</v>
      </c>
      <c r="G94" s="9">
        <v>10</v>
      </c>
      <c r="H94" s="9">
        <v>8</v>
      </c>
      <c r="I94" s="9" t="s">
        <v>22</v>
      </c>
      <c r="J94" s="9">
        <v>57</v>
      </c>
      <c r="K94" s="9">
        <v>157.06</v>
      </c>
      <c r="L94" s="9" t="s">
        <v>22</v>
      </c>
      <c r="M94" s="9">
        <f>300.000000003725/1000</f>
        <v>0.30000000000372501</v>
      </c>
      <c r="N94" s="9">
        <v>8.4426400000000008</v>
      </c>
      <c r="O94" s="9">
        <f>Table1[[#This Row],[R1 Length (km)]]+Table1[[#This Row],[T1 Length (km)]]</f>
        <v>8.7426400000037265</v>
      </c>
      <c r="P94" s="8">
        <v>69</v>
      </c>
      <c r="Q94" s="9">
        <f>(Table1[[#This Row],[Linear Features (km)]]*0.4)*100</f>
        <v>349.7056000001491</v>
      </c>
      <c r="R94" s="1">
        <v>2.2999999999999998</v>
      </c>
      <c r="S94" s="3">
        <f>Table1[[#This Row],[ATG (ha)]]/Table1[[#This Row],[Linear Area (ha)]]</f>
        <v>6.5769607349696977E-3</v>
      </c>
      <c r="T94" s="2" t="s">
        <v>22</v>
      </c>
      <c r="U94" s="2" t="s">
        <v>22</v>
      </c>
      <c r="V94" s="1" t="s">
        <v>22</v>
      </c>
      <c r="W94" s="1" t="s">
        <v>22</v>
      </c>
      <c r="X94" s="10">
        <v>75.764949999999999</v>
      </c>
      <c r="Y94" s="10">
        <f>Table1[[#This Row],[Raw Terrestrial Score]]/Table1[[#This Row],[Summed Raw Scores]]</f>
        <v>0.34164528704829145</v>
      </c>
      <c r="Z94" s="10">
        <v>146</v>
      </c>
      <c r="AA94" s="10">
        <f>Table1[[#This Row],[Raw Freshwater Score]]/Table1[[#This Row],[Summed Raw Scores]]</f>
        <v>0.65835471295170855</v>
      </c>
      <c r="AB94" s="10">
        <f>Table1[[#This Row],[Raw Terrestrial Score]]+Table1[[#This Row],[Raw Freshwater Score]]</f>
        <v>221.76495</v>
      </c>
      <c r="AC94" s="11">
        <f>Table1[[#This Row],[Terrestrial % of Summed Score]]*Table1[[#This Row],[Scaled Summed Score]]</f>
        <v>9.3096388032243467E-3</v>
      </c>
      <c r="AD94" s="11">
        <f>Table1[[#This Row],[Freshwater % of Summed Score]]*Table1[[#This Row],[Scaled Summed Score]]</f>
        <v>1.7939789642450164E-2</v>
      </c>
      <c r="AE94" s="11">
        <f>Table1[[#This Row],[Summed Raw Scores]]/MAX(Table1[Summed Raw Scores])</f>
        <v>2.724942844567451E-2</v>
      </c>
      <c r="AF94" s="1"/>
    </row>
    <row r="95" spans="1:32" x14ac:dyDescent="0.3">
      <c r="A95" s="8" t="s">
        <v>56</v>
      </c>
      <c r="B95" s="8" t="s">
        <v>54</v>
      </c>
      <c r="C95" s="8" t="s">
        <v>25</v>
      </c>
      <c r="D95" s="8" t="s">
        <v>182</v>
      </c>
      <c r="E95" s="27">
        <v>50.259122259999998</v>
      </c>
      <c r="F95" s="27">
        <v>-120.4079589</v>
      </c>
      <c r="G95" s="27">
        <v>120.82707692300001</v>
      </c>
      <c r="H95" s="9" t="s">
        <v>22</v>
      </c>
      <c r="I95" s="9" t="s">
        <v>22</v>
      </c>
      <c r="J95" s="27">
        <v>214.05467944246581</v>
      </c>
      <c r="K95" s="27">
        <v>94.085193713019265</v>
      </c>
      <c r="L95" s="9" t="s">
        <v>22</v>
      </c>
      <c r="M95" s="27">
        <v>1.4</v>
      </c>
      <c r="N95" s="27">
        <v>9.4</v>
      </c>
      <c r="O95" s="9">
        <f>Table1[[#This Row],[R1 Length (km)]]+Table1[[#This Row],[T1 Length (km)]]</f>
        <v>10.8</v>
      </c>
      <c r="P95" s="26">
        <v>130</v>
      </c>
      <c r="Q95" s="9">
        <f>(Table1[[#This Row],[Linear Features (km)]]*0.4)*100</f>
        <v>432</v>
      </c>
      <c r="R95" s="27">
        <v>212.22</v>
      </c>
      <c r="S95" s="18">
        <f>Table1[[#This Row],[ATG (ha)]]/Table1[[#This Row],[Linear Area (ha)]]</f>
        <v>0.49125000000000002</v>
      </c>
      <c r="T95" s="2" t="s">
        <v>22</v>
      </c>
      <c r="U95" s="2" t="s">
        <v>22</v>
      </c>
      <c r="V95" s="27">
        <v>212.22</v>
      </c>
      <c r="W95" s="27">
        <v>84.888000000000005</v>
      </c>
      <c r="X95" s="10">
        <v>354.77499999999998</v>
      </c>
      <c r="Y95" s="10">
        <f>Table1[[#This Row],[Raw Terrestrial Score]]/Table1[[#This Row],[Summed Raw Scores]]</f>
        <v>0.64436196223859998</v>
      </c>
      <c r="Z95" s="10">
        <v>195.80840000000001</v>
      </c>
      <c r="AA95" s="10">
        <f>Table1[[#This Row],[Raw Freshwater Score]]/Table1[[#This Row],[Summed Raw Scores]]</f>
        <v>0.35563803776140002</v>
      </c>
      <c r="AB95" s="10">
        <f>Table1[[#This Row],[Raw Terrestrial Score]]+Table1[[#This Row],[Raw Freshwater Score]]</f>
        <v>550.58339999999998</v>
      </c>
      <c r="AC95" s="11">
        <f>Table1[[#This Row],[Terrestrial % of Summed Score]]*Table1[[#This Row],[Scaled Summed Score]]</f>
        <v>4.359307445479628E-2</v>
      </c>
      <c r="AD95" s="11">
        <f>Table1[[#This Row],[Freshwater % of Summed Score]]*Table1[[#This Row],[Scaled Summed Score]]</f>
        <v>2.4060010316607802E-2</v>
      </c>
      <c r="AE95" s="18">
        <f>Table1[[#This Row],[Summed Raw Scores]]/MAX(Table1[Summed Raw Scores])</f>
        <v>6.7653084771404082E-2</v>
      </c>
    </row>
    <row r="96" spans="1:32" x14ac:dyDescent="0.3">
      <c r="A96" s="8" t="s">
        <v>57</v>
      </c>
      <c r="B96" s="8" t="s">
        <v>54</v>
      </c>
      <c r="C96" s="8" t="s">
        <v>25</v>
      </c>
      <c r="D96" s="8" t="s">
        <v>182</v>
      </c>
      <c r="E96" s="27">
        <v>50.271603509999998</v>
      </c>
      <c r="F96" s="27">
        <v>-120.3255542</v>
      </c>
      <c r="G96" s="27">
        <v>109.063384615</v>
      </c>
      <c r="H96" s="9" t="s">
        <v>22</v>
      </c>
      <c r="I96" s="9" t="s">
        <v>22</v>
      </c>
      <c r="J96" s="27">
        <v>193.898406513547</v>
      </c>
      <c r="K96" s="27">
        <v>94.756406942562222</v>
      </c>
      <c r="L96" s="9" t="s">
        <v>22</v>
      </c>
      <c r="M96" s="27">
        <v>0.6</v>
      </c>
      <c r="N96" s="27">
        <v>12.1</v>
      </c>
      <c r="O96" s="9">
        <f>Table1[[#This Row],[R1 Length (km)]]+Table1[[#This Row],[T1 Length (km)]]</f>
        <v>12.7</v>
      </c>
      <c r="P96" s="26">
        <v>130</v>
      </c>
      <c r="Q96" s="9">
        <f>(Table1[[#This Row],[Linear Features (km)]]*0.4)*100</f>
        <v>508</v>
      </c>
      <c r="R96" s="27">
        <v>220.32</v>
      </c>
      <c r="S96" s="18">
        <f>Table1[[#This Row],[ATG (ha)]]/Table1[[#This Row],[Linear Area (ha)]]</f>
        <v>0.43370078740157481</v>
      </c>
      <c r="T96" s="2" t="s">
        <v>22</v>
      </c>
      <c r="U96" s="2" t="s">
        <v>22</v>
      </c>
      <c r="V96" s="27">
        <v>220.32</v>
      </c>
      <c r="W96" s="27">
        <v>88.128</v>
      </c>
      <c r="X96" s="10">
        <v>320.58260000000001</v>
      </c>
      <c r="Y96" s="10">
        <f>Table1[[#This Row],[Raw Terrestrial Score]]/Table1[[#This Row],[Summed Raw Scores]]</f>
        <v>0.6041862238441108</v>
      </c>
      <c r="Z96" s="10">
        <v>210.0197</v>
      </c>
      <c r="AA96" s="10">
        <f>Table1[[#This Row],[Raw Freshwater Score]]/Table1[[#This Row],[Summed Raw Scores]]</f>
        <v>0.39581377615588925</v>
      </c>
      <c r="AB96" s="10">
        <f>Table1[[#This Row],[Raw Terrestrial Score]]+Table1[[#This Row],[Raw Freshwater Score]]</f>
        <v>530.60230000000001</v>
      </c>
      <c r="AC96" s="11">
        <f>Table1[[#This Row],[Terrestrial % of Summed Score]]*Table1[[#This Row],[Scaled Summed Score]]</f>
        <v>3.9391674020751673E-2</v>
      </c>
      <c r="AD96" s="11">
        <f>Table1[[#This Row],[Freshwater % of Summed Score]]*Table1[[#This Row],[Scaled Summed Score]]</f>
        <v>2.5806227662811581E-2</v>
      </c>
      <c r="AE96" s="18">
        <f>Table1[[#This Row],[Summed Raw Scores]]/MAX(Table1[Summed Raw Scores])</f>
        <v>6.519790168356325E-2</v>
      </c>
    </row>
    <row r="97" spans="1:31" x14ac:dyDescent="0.3">
      <c r="A97" s="8" t="s">
        <v>58</v>
      </c>
      <c r="B97" s="8" t="s">
        <v>54</v>
      </c>
      <c r="C97" s="8" t="s">
        <v>25</v>
      </c>
      <c r="D97" s="8" t="s">
        <v>182</v>
      </c>
      <c r="E97" s="27">
        <v>50.19913579</v>
      </c>
      <c r="F97" s="27">
        <v>-120.46858469999999</v>
      </c>
      <c r="G97" s="27">
        <v>94.7076923077</v>
      </c>
      <c r="H97" s="9" t="s">
        <v>22</v>
      </c>
      <c r="I97" s="9" t="s">
        <v>22</v>
      </c>
      <c r="J97" s="27">
        <v>167.4049309600608</v>
      </c>
      <c r="K97" s="27">
        <v>95.403752700978643</v>
      </c>
      <c r="L97" s="9" t="s">
        <v>22</v>
      </c>
      <c r="M97" s="27">
        <v>0.3</v>
      </c>
      <c r="N97" s="27">
        <v>6.4</v>
      </c>
      <c r="O97" s="9">
        <f>Table1[[#This Row],[R1 Length (km)]]+Table1[[#This Row],[T1 Length (km)]]</f>
        <v>6.7</v>
      </c>
      <c r="P97" s="26">
        <v>130</v>
      </c>
      <c r="Q97" s="9">
        <f>(Table1[[#This Row],[Linear Features (km)]]*0.4)*100</f>
        <v>268</v>
      </c>
      <c r="R97" s="27">
        <v>332.1</v>
      </c>
      <c r="S97" s="18">
        <f>Table1[[#This Row],[ATG (ha)]]/Table1[[#This Row],[Linear Area (ha)]]</f>
        <v>1.2391791044776119</v>
      </c>
      <c r="T97" s="2" t="s">
        <v>22</v>
      </c>
      <c r="U97" s="2" t="s">
        <v>22</v>
      </c>
      <c r="V97" s="27">
        <v>332.1</v>
      </c>
      <c r="W97" s="27">
        <v>132.84</v>
      </c>
      <c r="X97" s="10">
        <v>332.33699999999999</v>
      </c>
      <c r="Y97" s="10">
        <f>Table1[[#This Row],[Raw Terrestrial Score]]/Table1[[#This Row],[Summed Raw Scores]]</f>
        <v>0.60223096021314748</v>
      </c>
      <c r="Z97" s="10">
        <v>219.5061</v>
      </c>
      <c r="AA97" s="10">
        <f>Table1[[#This Row],[Raw Freshwater Score]]/Table1[[#This Row],[Summed Raw Scores]]</f>
        <v>0.39776903978685241</v>
      </c>
      <c r="AB97" s="10">
        <f>Table1[[#This Row],[Raw Terrestrial Score]]+Table1[[#This Row],[Raw Freshwater Score]]</f>
        <v>551.84310000000005</v>
      </c>
      <c r="AC97" s="11">
        <f>Table1[[#This Row],[Terrestrial % of Summed Score]]*Table1[[#This Row],[Scaled Summed Score]]</f>
        <v>4.0835999112349045E-2</v>
      </c>
      <c r="AD97" s="11">
        <f>Table1[[#This Row],[Freshwater % of Summed Score]]*Table1[[#This Row],[Scaled Summed Score]]</f>
        <v>2.6971871638593357E-2</v>
      </c>
      <c r="AE97" s="18">
        <f>Table1[[#This Row],[Summed Raw Scores]]/MAX(Table1[Summed Raw Scores])</f>
        <v>6.7807870750942412E-2</v>
      </c>
    </row>
    <row r="98" spans="1:31" x14ac:dyDescent="0.3">
      <c r="A98" s="8" t="s">
        <v>59</v>
      </c>
      <c r="B98" s="8" t="s">
        <v>54</v>
      </c>
      <c r="C98" s="8" t="s">
        <v>25</v>
      </c>
      <c r="D98" s="8" t="s">
        <v>182</v>
      </c>
      <c r="E98" s="27">
        <v>50.069231299999998</v>
      </c>
      <c r="F98" s="27">
        <v>-120.3214856</v>
      </c>
      <c r="G98" s="27">
        <v>177.45230769200001</v>
      </c>
      <c r="H98" s="9" t="s">
        <v>22</v>
      </c>
      <c r="I98" s="9" t="s">
        <v>22</v>
      </c>
      <c r="J98" s="27">
        <v>316.16702664000769</v>
      </c>
      <c r="K98" s="27">
        <v>93.790560276161614</v>
      </c>
      <c r="L98" s="9" t="s">
        <v>22</v>
      </c>
      <c r="M98" s="27">
        <v>1.6</v>
      </c>
      <c r="N98" s="27">
        <v>14.5</v>
      </c>
      <c r="O98" s="9">
        <f>Table1[[#This Row],[R1 Length (km)]]+Table1[[#This Row],[T1 Length (km)]]</f>
        <v>16.100000000000001</v>
      </c>
      <c r="P98" s="26">
        <v>230</v>
      </c>
      <c r="Q98" s="9">
        <f>(Table1[[#This Row],[Linear Features (km)]]*0.4)*100</f>
        <v>644.00000000000011</v>
      </c>
      <c r="R98" s="27">
        <v>2385.4500000000003</v>
      </c>
      <c r="S98" s="18">
        <f>Table1[[#This Row],[ATG (ha)]]/Table1[[#This Row],[Linear Area (ha)]]</f>
        <v>3.7041149068322978</v>
      </c>
      <c r="T98" s="2" t="s">
        <v>22</v>
      </c>
      <c r="U98" s="2" t="s">
        <v>22</v>
      </c>
      <c r="V98" s="27">
        <v>2385.4500000000003</v>
      </c>
      <c r="W98" s="27">
        <v>954.18000000000018</v>
      </c>
      <c r="X98" s="10">
        <v>1347.0409999999999</v>
      </c>
      <c r="Y98" s="10">
        <f>Table1[[#This Row],[Raw Terrestrial Score]]/Table1[[#This Row],[Summed Raw Scores]]</f>
        <v>0.5875365269107965</v>
      </c>
      <c r="Z98" s="10">
        <v>945.65219999999999</v>
      </c>
      <c r="AA98" s="10">
        <f>Table1[[#This Row],[Raw Freshwater Score]]/Table1[[#This Row],[Summed Raw Scores]]</f>
        <v>0.41246347308920361</v>
      </c>
      <c r="AB98" s="10">
        <f>Table1[[#This Row],[Raw Terrestrial Score]]+Table1[[#This Row],[Raw Freshwater Score]]</f>
        <v>2292.6931999999997</v>
      </c>
      <c r="AC98" s="11">
        <f>Table1[[#This Row],[Terrestrial % of Summed Score]]*Table1[[#This Row],[Scaled Summed Score]]</f>
        <v>0.16551802862846376</v>
      </c>
      <c r="AD98" s="11">
        <f>Table1[[#This Row],[Freshwater % of Summed Score]]*Table1[[#This Row],[Scaled Summed Score]]</f>
        <v>0.11619727084191925</v>
      </c>
      <c r="AE98" s="18">
        <f>Table1[[#This Row],[Summed Raw Scores]]/MAX(Table1[Summed Raw Scores])</f>
        <v>0.28171529947038298</v>
      </c>
    </row>
    <row r="99" spans="1:31" x14ac:dyDescent="0.3">
      <c r="A99" s="8" t="s">
        <v>61</v>
      </c>
      <c r="B99" s="8" t="s">
        <v>54</v>
      </c>
      <c r="C99" s="8" t="s">
        <v>21</v>
      </c>
      <c r="D99" s="8" t="s">
        <v>182</v>
      </c>
      <c r="E99" s="27">
        <v>48.544412629999997</v>
      </c>
      <c r="F99" s="27">
        <v>-123.41815510000001</v>
      </c>
      <c r="G99" s="27">
        <v>114.446769231</v>
      </c>
      <c r="H99" s="9" t="s">
        <v>22</v>
      </c>
      <c r="I99" s="9" t="s">
        <v>22</v>
      </c>
      <c r="J99" s="27">
        <v>197.7440004716037</v>
      </c>
      <c r="K99" s="27">
        <v>96.517860072475429</v>
      </c>
      <c r="L99" s="9" t="s">
        <v>22</v>
      </c>
      <c r="M99" s="27">
        <v>0</v>
      </c>
      <c r="N99" s="27">
        <v>6.7</v>
      </c>
      <c r="O99" s="9">
        <f>Table1[[#This Row],[R1 Length (km)]]+Table1[[#This Row],[T1 Length (km)]]</f>
        <v>6.7</v>
      </c>
      <c r="P99" s="26">
        <v>130</v>
      </c>
      <c r="Q99" s="9">
        <f>(Table1[[#This Row],[Linear Features (km)]]*0.4)*100</f>
        <v>268</v>
      </c>
      <c r="R99" s="27">
        <v>221.93999999999997</v>
      </c>
      <c r="S99" s="18">
        <f>Table1[[#This Row],[ATG (ha)]]/Table1[[#This Row],[Linear Area (ha)]]</f>
        <v>0.82813432835820888</v>
      </c>
      <c r="T99" s="2" t="s">
        <v>22</v>
      </c>
      <c r="U99" s="2" t="s">
        <v>22</v>
      </c>
      <c r="V99" s="27">
        <v>221.93999999999997</v>
      </c>
      <c r="W99" s="27">
        <v>88.775999999999996</v>
      </c>
      <c r="X99" s="10">
        <v>235.5016</v>
      </c>
      <c r="Y99" s="10">
        <f>Table1[[#This Row],[Raw Terrestrial Score]]/Table1[[#This Row],[Summed Raw Scores]]</f>
        <v>0.58537448674440284</v>
      </c>
      <c r="Z99" s="10">
        <v>166.80770000000001</v>
      </c>
      <c r="AA99" s="10">
        <f>Table1[[#This Row],[Raw Freshwater Score]]/Table1[[#This Row],[Summed Raw Scores]]</f>
        <v>0.41462551325559716</v>
      </c>
      <c r="AB99" s="10">
        <f>Table1[[#This Row],[Raw Terrestrial Score]]+Table1[[#This Row],[Raw Freshwater Score]]</f>
        <v>402.30930000000001</v>
      </c>
      <c r="AC99" s="11">
        <f>Table1[[#This Row],[Terrestrial % of Summed Score]]*Table1[[#This Row],[Scaled Summed Score]]</f>
        <v>2.8937323044249598E-2</v>
      </c>
      <c r="AD99" s="11">
        <f>Table1[[#This Row],[Freshwater % of Summed Score]]*Table1[[#This Row],[Scaled Summed Score]]</f>
        <v>2.049654142973243E-2</v>
      </c>
      <c r="AE99" s="18">
        <f>Table1[[#This Row],[Summed Raw Scores]]/MAX(Table1[Summed Raw Scores])</f>
        <v>4.9433864473982028E-2</v>
      </c>
    </row>
    <row r="100" spans="1:31" x14ac:dyDescent="0.3">
      <c r="A100" s="8" t="s">
        <v>76</v>
      </c>
      <c r="B100" s="8" t="s">
        <v>64</v>
      </c>
      <c r="C100" s="8" t="s">
        <v>32</v>
      </c>
      <c r="D100" s="8" t="s">
        <v>182</v>
      </c>
      <c r="E100" s="12">
        <v>50.52</v>
      </c>
      <c r="F100" s="12">
        <v>-123.24</v>
      </c>
      <c r="G100" s="9">
        <v>45.1</v>
      </c>
      <c r="H100" s="9">
        <v>40</v>
      </c>
      <c r="I100" s="9">
        <v>7</v>
      </c>
      <c r="J100" s="13">
        <v>231</v>
      </c>
      <c r="K100" s="13">
        <v>72.571789578361177</v>
      </c>
      <c r="L100" s="9" t="s">
        <v>22</v>
      </c>
      <c r="M100" s="12">
        <v>0.3</v>
      </c>
      <c r="N100" s="1">
        <v>61.883766184071128</v>
      </c>
      <c r="O100" s="1">
        <f>Table1[[#This Row],[R1 Length (km)]]+Table1[[#This Row],[T1 Length (km)]]</f>
        <v>62.183766184071125</v>
      </c>
      <c r="P100" s="25">
        <v>230</v>
      </c>
      <c r="Q100" s="1">
        <f>(Table1[[#This Row],[Linear Features (km)]]*0.4)*100</f>
        <v>2487.3506473628454</v>
      </c>
      <c r="R100" s="1">
        <v>61.88</v>
      </c>
      <c r="S100" s="3">
        <f>Table1[[#This Row],[ATG (ha)]]/Table1[[#This Row],[Linear Area (ha)]]</f>
        <v>2.4877875608574452E-2</v>
      </c>
      <c r="T100" s="2" t="s">
        <v>22</v>
      </c>
      <c r="U100" s="2" t="s">
        <v>22</v>
      </c>
      <c r="V100" s="2" t="s">
        <v>22</v>
      </c>
      <c r="W100" s="2" t="s">
        <v>22</v>
      </c>
      <c r="X100" s="10">
        <v>613.94989999999996</v>
      </c>
      <c r="Y100" s="10">
        <f>Table1[[#This Row],[Raw Terrestrial Score]]/Table1[[#This Row],[Summed Raw Scores]]</f>
        <v>0.36329236966370049</v>
      </c>
      <c r="Z100" s="10">
        <v>1076.011</v>
      </c>
      <c r="AA100" s="10">
        <f>Table1[[#This Row],[Raw Freshwater Score]]/Table1[[#This Row],[Summed Raw Scores]]</f>
        <v>0.63670763033629951</v>
      </c>
      <c r="AB100" s="10">
        <f>Table1[[#This Row],[Raw Terrestrial Score]]+Table1[[#This Row],[Raw Freshwater Score]]</f>
        <v>1689.9609</v>
      </c>
      <c r="AC100" s="11">
        <f>Table1[[#This Row],[Terrestrial % of Summed Score]]*Table1[[#This Row],[Scaled Summed Score]]</f>
        <v>7.543926066440626E-2</v>
      </c>
      <c r="AD100" s="11">
        <f>Table1[[#This Row],[Freshwater % of Summed Score]]*Table1[[#This Row],[Scaled Summed Score]]</f>
        <v>0.132215143787414</v>
      </c>
      <c r="AE100" s="18">
        <f>Table1[[#This Row],[Summed Raw Scores]]/MAX(Table1[Summed Raw Scores])</f>
        <v>0.20765440445182026</v>
      </c>
    </row>
    <row r="101" spans="1:31" x14ac:dyDescent="0.3">
      <c r="A101" s="8" t="s">
        <v>77</v>
      </c>
      <c r="B101" s="8" t="s">
        <v>64</v>
      </c>
      <c r="C101" s="8" t="s">
        <v>32</v>
      </c>
      <c r="D101" s="8" t="s">
        <v>182</v>
      </c>
      <c r="E101" s="14">
        <v>49.68</v>
      </c>
      <c r="F101" s="14">
        <v>-121.53</v>
      </c>
      <c r="G101" s="9">
        <v>40.4</v>
      </c>
      <c r="H101" s="9">
        <v>40</v>
      </c>
      <c r="I101" s="9">
        <v>8</v>
      </c>
      <c r="J101" s="13">
        <v>134.80000000000001</v>
      </c>
      <c r="K101" s="13">
        <v>88.061461448598124</v>
      </c>
      <c r="L101" s="9" t="s">
        <v>22</v>
      </c>
      <c r="M101" s="14">
        <v>0</v>
      </c>
      <c r="N101" s="1">
        <v>9.6941125496967455</v>
      </c>
      <c r="O101" s="1">
        <f>Table1[[#This Row],[R1 Length (km)]]+Table1[[#This Row],[T1 Length (km)]]</f>
        <v>9.6941125496967455</v>
      </c>
      <c r="P101" s="25">
        <v>69</v>
      </c>
      <c r="Q101" s="1">
        <f>(Table1[[#This Row],[Linear Features (km)]]*0.4)*100</f>
        <v>387.76450198786983</v>
      </c>
      <c r="R101" s="1">
        <v>9.02</v>
      </c>
      <c r="S101" s="3">
        <f>Table1[[#This Row],[ATG (ha)]]/Table1[[#This Row],[Linear Area (ha)]]</f>
        <v>2.3261541357599995E-2</v>
      </c>
      <c r="T101" s="2" t="s">
        <v>22</v>
      </c>
      <c r="U101" s="2" t="s">
        <v>22</v>
      </c>
      <c r="V101" s="2" t="s">
        <v>22</v>
      </c>
      <c r="W101" s="2" t="s">
        <v>22</v>
      </c>
      <c r="X101" s="10">
        <v>12.603199999999999</v>
      </c>
      <c r="Y101" s="10">
        <f>Table1[[#This Row],[Raw Terrestrial Score]]/Table1[[#This Row],[Summed Raw Scores]]</f>
        <v>0.31823691014867483</v>
      </c>
      <c r="Z101" s="10">
        <v>27</v>
      </c>
      <c r="AA101" s="10">
        <f>Table1[[#This Row],[Raw Freshwater Score]]/Table1[[#This Row],[Summed Raw Scores]]</f>
        <v>0.68176308985132517</v>
      </c>
      <c r="AB101" s="10">
        <f>Table1[[#This Row],[Raw Terrestrial Score]]+Table1[[#This Row],[Raw Freshwater Score]]</f>
        <v>39.603200000000001</v>
      </c>
      <c r="AC101" s="11">
        <f>Table1[[#This Row],[Terrestrial % of Summed Score]]*Table1[[#This Row],[Scaled Summed Score]]</f>
        <v>1.5486216220666296E-3</v>
      </c>
      <c r="AD101" s="11">
        <f>Table1[[#This Row],[Freshwater % of Summed Score]]*Table1[[#This Row],[Scaled Summed Score]]</f>
        <v>3.3176323311380445E-3</v>
      </c>
      <c r="AE101" s="18">
        <f>Table1[[#This Row],[Summed Raw Scores]]/MAX(Table1[Summed Raw Scores])</f>
        <v>4.8662539532046741E-3</v>
      </c>
    </row>
    <row r="102" spans="1:31" x14ac:dyDescent="0.3">
      <c r="A102" s="8" t="s">
        <v>78</v>
      </c>
      <c r="B102" s="8" t="s">
        <v>64</v>
      </c>
      <c r="C102" s="8" t="s">
        <v>32</v>
      </c>
      <c r="D102" s="8" t="s">
        <v>182</v>
      </c>
      <c r="E102" s="9">
        <v>50.08</v>
      </c>
      <c r="F102" s="9">
        <v>-123.36</v>
      </c>
      <c r="G102" s="9">
        <v>67.7</v>
      </c>
      <c r="H102" s="9">
        <v>40</v>
      </c>
      <c r="I102" s="9">
        <v>10</v>
      </c>
      <c r="J102" s="9">
        <v>345</v>
      </c>
      <c r="K102" s="9">
        <v>92.74</v>
      </c>
      <c r="L102" s="9" t="s">
        <v>22</v>
      </c>
      <c r="M102" s="9">
        <f>299.999999998137/1000</f>
        <v>0.29999999999813703</v>
      </c>
      <c r="N102" s="9">
        <v>38.788899999999998</v>
      </c>
      <c r="O102" s="9">
        <f>Table1[[#This Row],[R1 Length (km)]]+Table1[[#This Row],[T1 Length (km)]]</f>
        <v>39.088899999998134</v>
      </c>
      <c r="P102" s="26">
        <v>130</v>
      </c>
      <c r="Q102" s="9">
        <f>(Table1[[#This Row],[Linear Features (km)]]*0.4)*100</f>
        <v>1563.5559999999255</v>
      </c>
      <c r="R102" s="1">
        <v>133.80000000000001</v>
      </c>
      <c r="S102" s="3">
        <f>Table1[[#This Row],[ATG (ha)]]/Table1[[#This Row],[Linear Area (ha)]]</f>
        <v>8.5574165555954748E-2</v>
      </c>
      <c r="T102" s="2" t="s">
        <v>22</v>
      </c>
      <c r="U102" s="2" t="s">
        <v>22</v>
      </c>
      <c r="V102" s="2" t="s">
        <v>22</v>
      </c>
      <c r="W102" s="2" t="s">
        <v>22</v>
      </c>
      <c r="X102" s="10">
        <v>301.72829999999999</v>
      </c>
      <c r="Y102" s="10">
        <f>Table1[[#This Row],[Raw Terrestrial Score]]/Table1[[#This Row],[Summed Raw Scores]]</f>
        <v>0.24377587552938718</v>
      </c>
      <c r="Z102" s="10">
        <v>936</v>
      </c>
      <c r="AA102" s="10">
        <f>Table1[[#This Row],[Raw Freshwater Score]]/Table1[[#This Row],[Summed Raw Scores]]</f>
        <v>0.75622412447061282</v>
      </c>
      <c r="AB102" s="10">
        <f>Table1[[#This Row],[Raw Terrestrial Score]]+Table1[[#This Row],[Raw Freshwater Score]]</f>
        <v>1237.7283</v>
      </c>
      <c r="AC102" s="11">
        <f>Table1[[#This Row],[Terrestrial % of Summed Score]]*Table1[[#This Row],[Scaled Summed Score]]</f>
        <v>3.7074946788863673E-2</v>
      </c>
      <c r="AD102" s="11">
        <f>Table1[[#This Row],[Freshwater % of Summed Score]]*Table1[[#This Row],[Scaled Summed Score]]</f>
        <v>0.11501125414611887</v>
      </c>
      <c r="AE102" s="18">
        <f>Table1[[#This Row],[Summed Raw Scores]]/MAX(Table1[Summed Raw Scores])</f>
        <v>0.15208620093498254</v>
      </c>
    </row>
    <row r="103" spans="1:31" x14ac:dyDescent="0.3">
      <c r="A103" s="8" t="s">
        <v>183</v>
      </c>
      <c r="B103" s="8" t="s">
        <v>191</v>
      </c>
      <c r="C103" s="8" t="s">
        <v>192</v>
      </c>
      <c r="D103" s="8" t="s">
        <v>182</v>
      </c>
      <c r="E103" s="8" t="s">
        <v>22</v>
      </c>
      <c r="F103" s="8" t="s">
        <v>22</v>
      </c>
      <c r="G103" s="8" t="s">
        <v>22</v>
      </c>
      <c r="H103" s="8" t="s">
        <v>22</v>
      </c>
      <c r="I103" s="8" t="s">
        <v>22</v>
      </c>
      <c r="J103" s="8" t="s">
        <v>22</v>
      </c>
      <c r="K103" s="8" t="s">
        <v>22</v>
      </c>
      <c r="L103" s="8" t="s">
        <v>22</v>
      </c>
      <c r="M103" s="8" t="s">
        <v>22</v>
      </c>
      <c r="N103" s="8" t="s">
        <v>22</v>
      </c>
      <c r="O103" s="9">
        <f>67236.2659153/1000</f>
        <v>67.236265915299995</v>
      </c>
      <c r="P103" s="26">
        <v>230</v>
      </c>
      <c r="Q103" s="9">
        <f>(Table1[[#This Row],[Linear Features (km)]]*0.4)*100</f>
        <v>2689.4506366119999</v>
      </c>
      <c r="R103" s="8" t="s">
        <v>22</v>
      </c>
      <c r="S103" s="8" t="s">
        <v>22</v>
      </c>
      <c r="T103" s="2" t="s">
        <v>22</v>
      </c>
      <c r="U103" s="2" t="s">
        <v>22</v>
      </c>
      <c r="V103" s="2" t="s">
        <v>22</v>
      </c>
      <c r="W103" s="2" t="s">
        <v>22</v>
      </c>
      <c r="X103" s="10">
        <v>931.86749999999995</v>
      </c>
      <c r="Y103" s="10">
        <f>Table1[[#This Row],[Raw Terrestrial Score]]/Table1[[#This Row],[Summed Raw Scores]]</f>
        <v>0.6366800340658586</v>
      </c>
      <c r="Z103" s="10">
        <v>531.76800000000003</v>
      </c>
      <c r="AA103" s="10">
        <f>Table1[[#This Row],[Raw Freshwater Score]]/Table1[[#This Row],[Summed Raw Scores]]</f>
        <v>0.36331996593414145</v>
      </c>
      <c r="AB103" s="10">
        <f>Table1[[#This Row],[Raw Terrestrial Score]]+Table1[[#This Row],[Raw Freshwater Score]]</f>
        <v>1463.6354999999999</v>
      </c>
      <c r="AC103" s="11">
        <f>Table1[[#This Row],[Terrestrial % of Summed Score]]*Table1[[#This Row],[Scaled Summed Score]]</f>
        <v>0.11450347208654744</v>
      </c>
      <c r="AD103" s="11">
        <f>Table1[[#This Row],[Freshwater % of Summed Score]]*Table1[[#This Row],[Scaled Summed Score]]</f>
        <v>6.5341137387578352E-2</v>
      </c>
      <c r="AE103" s="18">
        <f>Table1[[#This Row],[Summed Raw Scores]]/MAX(Table1[Summed Raw Scores])</f>
        <v>0.17984460947412578</v>
      </c>
    </row>
    <row r="104" spans="1:31" x14ac:dyDescent="0.3">
      <c r="A104" s="8" t="s">
        <v>184</v>
      </c>
      <c r="B104" s="8" t="s">
        <v>191</v>
      </c>
      <c r="C104" s="8" t="s">
        <v>193</v>
      </c>
      <c r="D104" s="8" t="s">
        <v>182</v>
      </c>
      <c r="E104" s="8" t="s">
        <v>22</v>
      </c>
      <c r="F104" s="8" t="s">
        <v>22</v>
      </c>
      <c r="G104" s="8" t="s">
        <v>22</v>
      </c>
      <c r="H104" s="8" t="s">
        <v>22</v>
      </c>
      <c r="I104" s="8" t="s">
        <v>22</v>
      </c>
      <c r="J104" s="8" t="s">
        <v>22</v>
      </c>
      <c r="K104" s="8" t="s">
        <v>22</v>
      </c>
      <c r="L104" s="8" t="s">
        <v>22</v>
      </c>
      <c r="M104" s="8" t="s">
        <v>22</v>
      </c>
      <c r="N104" s="8" t="s">
        <v>22</v>
      </c>
      <c r="O104" s="9">
        <f>138413.826987/1000</f>
        <v>138.41382698700002</v>
      </c>
      <c r="P104" s="26">
        <v>500</v>
      </c>
      <c r="Q104" s="9">
        <f>(Table1[[#This Row],[Linear Features (km)]]*0.4)*100</f>
        <v>5536.5530794800006</v>
      </c>
      <c r="R104" s="8" t="s">
        <v>22</v>
      </c>
      <c r="S104" s="8" t="s">
        <v>22</v>
      </c>
      <c r="T104" s="2" t="s">
        <v>22</v>
      </c>
      <c r="U104" s="2" t="s">
        <v>22</v>
      </c>
      <c r="V104" s="2" t="s">
        <v>22</v>
      </c>
      <c r="W104" s="2" t="s">
        <v>22</v>
      </c>
      <c r="X104" s="10">
        <v>2054.2539999999999</v>
      </c>
      <c r="Y104" s="10">
        <f>Table1[[#This Row],[Raw Terrestrial Score]]/Table1[[#This Row],[Summed Raw Scores]]</f>
        <v>0.53983043431530553</v>
      </c>
      <c r="Z104" s="10">
        <v>1751.115</v>
      </c>
      <c r="AA104" s="10">
        <f>Table1[[#This Row],[Raw Freshwater Score]]/Table1[[#This Row],[Summed Raw Scores]]</f>
        <v>0.46016956568469447</v>
      </c>
      <c r="AB104" s="10">
        <f>Table1[[#This Row],[Raw Terrestrial Score]]+Table1[[#This Row],[Raw Freshwater Score]]</f>
        <v>3805.3689999999997</v>
      </c>
      <c r="AC104" s="11">
        <f>Table1[[#This Row],[Terrestrial % of Summed Score]]*Table1[[#This Row],[Scaled Summed Score]]</f>
        <v>0.25241701802850558</v>
      </c>
      <c r="AD104" s="11">
        <f>Table1[[#This Row],[Freshwater % of Summed Score]]*Table1[[#This Row],[Scaled Summed Score]]</f>
        <v>0.21516873109410356</v>
      </c>
      <c r="AE104" s="18">
        <f>Table1[[#This Row],[Summed Raw Scores]]/MAX(Table1[Summed Raw Scores])</f>
        <v>0.46758574912260914</v>
      </c>
    </row>
    <row r="105" spans="1:31" x14ac:dyDescent="0.3">
      <c r="A105" s="8" t="s">
        <v>185</v>
      </c>
      <c r="B105" s="8" t="s">
        <v>191</v>
      </c>
      <c r="C105" s="8" t="s">
        <v>194</v>
      </c>
      <c r="D105" s="8" t="s">
        <v>182</v>
      </c>
      <c r="E105" s="8" t="s">
        <v>22</v>
      </c>
      <c r="F105" s="8" t="s">
        <v>22</v>
      </c>
      <c r="G105" s="8" t="s">
        <v>22</v>
      </c>
      <c r="H105" s="8" t="s">
        <v>22</v>
      </c>
      <c r="I105" s="8" t="s">
        <v>22</v>
      </c>
      <c r="J105" s="8" t="s">
        <v>22</v>
      </c>
      <c r="K105" s="8" t="s">
        <v>22</v>
      </c>
      <c r="L105" s="8" t="s">
        <v>22</v>
      </c>
      <c r="M105" s="8" t="s">
        <v>22</v>
      </c>
      <c r="N105" s="8" t="s">
        <v>22</v>
      </c>
      <c r="O105" s="9">
        <f>138747.847713/1000</f>
        <v>138.747847713</v>
      </c>
      <c r="P105" s="26">
        <v>500</v>
      </c>
      <c r="Q105" s="9">
        <f>(Table1[[#This Row],[Linear Features (km)]]*0.4)*100</f>
        <v>5549.9139085200004</v>
      </c>
      <c r="R105" s="8" t="s">
        <v>22</v>
      </c>
      <c r="S105" s="8" t="s">
        <v>22</v>
      </c>
      <c r="T105" s="2" t="s">
        <v>22</v>
      </c>
      <c r="U105" s="2" t="s">
        <v>22</v>
      </c>
      <c r="V105" s="2" t="s">
        <v>22</v>
      </c>
      <c r="W105" s="2" t="s">
        <v>22</v>
      </c>
      <c r="X105" s="10">
        <v>901.76589999999999</v>
      </c>
      <c r="Y105" s="10">
        <f>Table1[[#This Row],[Raw Terrestrial Score]]/Table1[[#This Row],[Summed Raw Scores]]</f>
        <v>0.49056072808971646</v>
      </c>
      <c r="Z105" s="10">
        <v>936.46910000000003</v>
      </c>
      <c r="AA105" s="10">
        <f>Table1[[#This Row],[Raw Freshwater Score]]/Table1[[#This Row],[Summed Raw Scores]]</f>
        <v>0.50943927191028349</v>
      </c>
      <c r="AB105" s="10">
        <f>Table1[[#This Row],[Raw Terrestrial Score]]+Table1[[#This Row],[Raw Freshwater Score]]</f>
        <v>1838.2350000000001</v>
      </c>
      <c r="AC105" s="11">
        <f>Table1[[#This Row],[Terrestrial % of Summed Score]]*Table1[[#This Row],[Scaled Summed Score]]</f>
        <v>0.11080472981325172</v>
      </c>
      <c r="AD105" s="11">
        <f>Table1[[#This Row],[Freshwater % of Summed Score]]*Table1[[#This Row],[Scaled Summed Score]]</f>
        <v>0.1150688949359906</v>
      </c>
      <c r="AE105" s="18">
        <f>Table1[[#This Row],[Summed Raw Scores]]/MAX(Table1[Summed Raw Scores])</f>
        <v>0.22587362474924233</v>
      </c>
    </row>
    <row r="106" spans="1:31" x14ac:dyDescent="0.3">
      <c r="A106" s="8" t="s">
        <v>186</v>
      </c>
      <c r="B106" s="8" t="s">
        <v>191</v>
      </c>
      <c r="C106" s="8" t="s">
        <v>195</v>
      </c>
      <c r="D106" s="8" t="s">
        <v>182</v>
      </c>
      <c r="E106" s="8" t="s">
        <v>22</v>
      </c>
      <c r="F106" s="8" t="s">
        <v>22</v>
      </c>
      <c r="G106" s="8" t="s">
        <v>22</v>
      </c>
      <c r="H106" s="8" t="s">
        <v>22</v>
      </c>
      <c r="I106" s="8" t="s">
        <v>22</v>
      </c>
      <c r="J106" s="8" t="s">
        <v>22</v>
      </c>
      <c r="K106" s="8" t="s">
        <v>22</v>
      </c>
      <c r="L106" s="8" t="s">
        <v>22</v>
      </c>
      <c r="M106" s="8" t="s">
        <v>22</v>
      </c>
      <c r="N106" s="8" t="s">
        <v>22</v>
      </c>
      <c r="O106" s="9">
        <f>330138.916532/1000</f>
        <v>330.138916532</v>
      </c>
      <c r="P106" s="26">
        <v>500</v>
      </c>
      <c r="Q106" s="9">
        <f>(Table1[[#This Row],[Linear Features (km)]]*0.4)*100</f>
        <v>13205.556661279999</v>
      </c>
      <c r="R106" s="8" t="s">
        <v>22</v>
      </c>
      <c r="S106" s="8" t="s">
        <v>22</v>
      </c>
      <c r="T106" s="2" t="s">
        <v>22</v>
      </c>
      <c r="U106" s="2" t="s">
        <v>22</v>
      </c>
      <c r="V106" s="2" t="s">
        <v>22</v>
      </c>
      <c r="W106" s="2" t="s">
        <v>22</v>
      </c>
      <c r="X106" s="10">
        <v>3966.8449999999998</v>
      </c>
      <c r="Y106" s="10">
        <f>Table1[[#This Row],[Raw Terrestrial Score]]/Table1[[#This Row],[Summed Raw Scores]]</f>
        <v>0.48742715646715906</v>
      </c>
      <c r="Z106" s="10">
        <v>4171.4889999999996</v>
      </c>
      <c r="AA106" s="10">
        <f>Table1[[#This Row],[Raw Freshwater Score]]/Table1[[#This Row],[Summed Raw Scores]]</f>
        <v>0.51257284353284105</v>
      </c>
      <c r="AB106" s="10">
        <f>Table1[[#This Row],[Raw Terrestrial Score]]+Table1[[#This Row],[Raw Freshwater Score]]</f>
        <v>8138.3339999999989</v>
      </c>
      <c r="AC106" s="11">
        <f>Table1[[#This Row],[Terrestrial % of Summed Score]]*Table1[[#This Row],[Scaled Summed Score]]</f>
        <v>0.48742715646715906</v>
      </c>
      <c r="AD106" s="11">
        <f>Table1[[#This Row],[Freshwater % of Summed Score]]*Table1[[#This Row],[Scaled Summed Score]]</f>
        <v>0.51257284353284105</v>
      </c>
      <c r="AE106" s="18">
        <f>Table1[[#This Row],[Summed Raw Scores]]/MAX(Table1[Summed Raw Scores])</f>
        <v>1</v>
      </c>
    </row>
    <row r="107" spans="1:31" x14ac:dyDescent="0.3">
      <c r="A107" s="8" t="s">
        <v>187</v>
      </c>
      <c r="B107" s="8" t="s">
        <v>191</v>
      </c>
      <c r="C107" s="8" t="s">
        <v>196</v>
      </c>
      <c r="D107" s="8" t="s">
        <v>182</v>
      </c>
      <c r="E107" s="8" t="s">
        <v>22</v>
      </c>
      <c r="F107" s="8" t="s">
        <v>22</v>
      </c>
      <c r="G107" s="8" t="s">
        <v>22</v>
      </c>
      <c r="H107" s="8" t="s">
        <v>22</v>
      </c>
      <c r="I107" s="8" t="s">
        <v>22</v>
      </c>
      <c r="J107" s="8" t="s">
        <v>22</v>
      </c>
      <c r="K107" s="8" t="s">
        <v>22</v>
      </c>
      <c r="L107" s="8" t="s">
        <v>22</v>
      </c>
      <c r="M107" s="8" t="s">
        <v>22</v>
      </c>
      <c r="N107" s="8" t="s">
        <v>22</v>
      </c>
      <c r="O107" s="9">
        <f>196893.054937999/1000</f>
        <v>196.89305493799901</v>
      </c>
      <c r="P107" s="26">
        <v>500</v>
      </c>
      <c r="Q107" s="9">
        <f>(Table1[[#This Row],[Linear Features (km)]]*0.4)*100</f>
        <v>7875.7221975199609</v>
      </c>
      <c r="R107" s="8" t="s">
        <v>22</v>
      </c>
      <c r="S107" s="8" t="s">
        <v>22</v>
      </c>
      <c r="T107" s="2" t="s">
        <v>22</v>
      </c>
      <c r="U107" s="2" t="s">
        <v>22</v>
      </c>
      <c r="V107" s="2" t="s">
        <v>22</v>
      </c>
      <c r="W107" s="2" t="s">
        <v>22</v>
      </c>
      <c r="X107" s="10">
        <v>2661.7840000000001</v>
      </c>
      <c r="Y107" s="10">
        <f>Table1[[#This Row],[Raw Terrestrial Score]]/Table1[[#This Row],[Summed Raw Scores]]</f>
        <v>0.44982163682455584</v>
      </c>
      <c r="Z107" s="10">
        <v>3255.6370000000002</v>
      </c>
      <c r="AA107" s="10">
        <f>Table1[[#This Row],[Raw Freshwater Score]]/Table1[[#This Row],[Summed Raw Scores]]</f>
        <v>0.55017836317544422</v>
      </c>
      <c r="AB107" s="10">
        <f>Table1[[#This Row],[Raw Terrestrial Score]]+Table1[[#This Row],[Raw Freshwater Score]]</f>
        <v>5917.4210000000003</v>
      </c>
      <c r="AC107" s="11">
        <f>Table1[[#This Row],[Terrestrial % of Summed Score]]*Table1[[#This Row],[Scaled Summed Score]]</f>
        <v>0.32706743173725733</v>
      </c>
      <c r="AD107" s="11">
        <f>Table1[[#This Row],[Freshwater % of Summed Score]]*Table1[[#This Row],[Scaled Summed Score]]</f>
        <v>0.4000372803573804</v>
      </c>
      <c r="AE107" s="18">
        <f>Table1[[#This Row],[Summed Raw Scores]]/MAX(Table1[Summed Raw Scores])</f>
        <v>0.72710471209463767</v>
      </c>
    </row>
    <row r="108" spans="1:31" x14ac:dyDescent="0.3">
      <c r="A108" s="8" t="s">
        <v>188</v>
      </c>
      <c r="B108" s="8" t="s">
        <v>191</v>
      </c>
      <c r="C108" s="8" t="s">
        <v>197</v>
      </c>
      <c r="D108" s="8" t="s">
        <v>182</v>
      </c>
      <c r="E108" s="26" t="s">
        <v>22</v>
      </c>
      <c r="F108" s="26" t="s">
        <v>22</v>
      </c>
      <c r="G108" s="26" t="s">
        <v>22</v>
      </c>
      <c r="H108" s="8" t="s">
        <v>22</v>
      </c>
      <c r="I108" s="8" t="s">
        <v>22</v>
      </c>
      <c r="J108" s="8" t="s">
        <v>22</v>
      </c>
      <c r="K108" s="8" t="s">
        <v>22</v>
      </c>
      <c r="L108" s="8" t="s">
        <v>22</v>
      </c>
      <c r="M108" s="26" t="s">
        <v>22</v>
      </c>
      <c r="N108" s="26" t="s">
        <v>22</v>
      </c>
      <c r="O108" s="9">
        <f>174721.972977/1000</f>
        <v>174.72197297700001</v>
      </c>
      <c r="P108" s="26">
        <v>500</v>
      </c>
      <c r="Q108" s="9">
        <f>(Table1[[#This Row],[Linear Features (km)]]*0.4)*100</f>
        <v>6988.8789190800007</v>
      </c>
      <c r="R108" s="26" t="s">
        <v>22</v>
      </c>
      <c r="S108" s="8" t="s">
        <v>22</v>
      </c>
      <c r="T108" s="2" t="s">
        <v>22</v>
      </c>
      <c r="U108" s="2" t="s">
        <v>22</v>
      </c>
      <c r="V108" s="2" t="s">
        <v>22</v>
      </c>
      <c r="W108" s="2" t="s">
        <v>22</v>
      </c>
      <c r="X108" s="10">
        <v>1812.671</v>
      </c>
      <c r="Y108" s="10">
        <f>Table1[[#This Row],[Raw Terrestrial Score]]/Table1[[#This Row],[Summed Raw Scores]]</f>
        <v>0.43855827738462472</v>
      </c>
      <c r="Z108" s="10">
        <v>2320.5790000000002</v>
      </c>
      <c r="AA108" s="10">
        <f>Table1[[#This Row],[Raw Freshwater Score]]/Table1[[#This Row],[Summed Raw Scores]]</f>
        <v>0.56144172261537539</v>
      </c>
      <c r="AB108" s="10">
        <f>Table1[[#This Row],[Raw Terrestrial Score]]+Table1[[#This Row],[Raw Freshwater Score]]</f>
        <v>4133.25</v>
      </c>
      <c r="AC108" s="11">
        <f>Table1[[#This Row],[Terrestrial % of Summed Score]]*Table1[[#This Row],[Scaled Summed Score]]</f>
        <v>0.2227324413080122</v>
      </c>
      <c r="AD108" s="11">
        <f>Table1[[#This Row],[Freshwater % of Summed Score]]*Table1[[#This Row],[Scaled Summed Score]]</f>
        <v>0.28514177471703672</v>
      </c>
      <c r="AE108" s="18">
        <f>Table1[[#This Row],[Summed Raw Scores]]/MAX(Table1[Summed Raw Scores])</f>
        <v>0.5078742160250489</v>
      </c>
    </row>
    <row r="109" spans="1:31" x14ac:dyDescent="0.3">
      <c r="A109" s="8" t="s">
        <v>189</v>
      </c>
      <c r="B109" s="8" t="s">
        <v>191</v>
      </c>
      <c r="C109" s="8" t="s">
        <v>198</v>
      </c>
      <c r="D109" s="8" t="s">
        <v>182</v>
      </c>
      <c r="E109" s="26" t="s">
        <v>22</v>
      </c>
      <c r="F109" s="26" t="s">
        <v>22</v>
      </c>
      <c r="G109" s="26" t="s">
        <v>22</v>
      </c>
      <c r="H109" s="8" t="s">
        <v>22</v>
      </c>
      <c r="I109" s="8" t="s">
        <v>22</v>
      </c>
      <c r="J109" s="8" t="s">
        <v>22</v>
      </c>
      <c r="K109" s="8" t="s">
        <v>22</v>
      </c>
      <c r="L109" s="8" t="s">
        <v>22</v>
      </c>
      <c r="M109" s="26" t="s">
        <v>22</v>
      </c>
      <c r="N109" s="26" t="s">
        <v>22</v>
      </c>
      <c r="O109" s="9">
        <f>130726.193069/1000</f>
        <v>130.726193069</v>
      </c>
      <c r="P109" s="26">
        <v>500</v>
      </c>
      <c r="Q109" s="9">
        <f>(Table1[[#This Row],[Linear Features (km)]]*0.4)*100</f>
        <v>5229.0477227600004</v>
      </c>
      <c r="R109" s="26" t="s">
        <v>22</v>
      </c>
      <c r="S109" s="8" t="s">
        <v>22</v>
      </c>
      <c r="T109" s="2" t="s">
        <v>22</v>
      </c>
      <c r="U109" s="2" t="s">
        <v>22</v>
      </c>
      <c r="V109" s="2" t="s">
        <v>22</v>
      </c>
      <c r="W109" s="2" t="s">
        <v>22</v>
      </c>
      <c r="X109" s="10">
        <v>619.12180000000001</v>
      </c>
      <c r="Y109" s="10">
        <f>Table1[[#This Row],[Raw Terrestrial Score]]/Table1[[#This Row],[Summed Raw Scores]]</f>
        <v>0.21754556524858143</v>
      </c>
      <c r="Z109" s="10">
        <v>2226.819</v>
      </c>
      <c r="AA109" s="10">
        <f>Table1[[#This Row],[Raw Freshwater Score]]/Table1[[#This Row],[Summed Raw Scores]]</f>
        <v>0.78245443475141863</v>
      </c>
      <c r="AB109" s="10">
        <f>Table1[[#This Row],[Raw Terrestrial Score]]+Table1[[#This Row],[Raw Freshwater Score]]</f>
        <v>2845.9407999999999</v>
      </c>
      <c r="AC109" s="11">
        <f>Table1[[#This Row],[Terrestrial % of Summed Score]]*Table1[[#This Row],[Scaled Summed Score]]</f>
        <v>7.6074759281199333E-2</v>
      </c>
      <c r="AD109" s="11">
        <f>Table1[[#This Row],[Freshwater % of Summed Score]]*Table1[[#This Row],[Scaled Summed Score]]</f>
        <v>0.27362098925898104</v>
      </c>
      <c r="AE109" s="18">
        <f>Table1[[#This Row],[Summed Raw Scores]]/MAX(Table1[Summed Raw Scores])</f>
        <v>0.34969574854018037</v>
      </c>
    </row>
    <row r="110" spans="1:31" x14ac:dyDescent="0.3">
      <c r="A110" s="8" t="s">
        <v>190</v>
      </c>
      <c r="B110" s="8" t="s">
        <v>191</v>
      </c>
      <c r="C110" s="8" t="s">
        <v>199</v>
      </c>
      <c r="D110" s="8" t="s">
        <v>182</v>
      </c>
      <c r="E110" s="26" t="s">
        <v>22</v>
      </c>
      <c r="F110" s="26" t="s">
        <v>22</v>
      </c>
      <c r="G110" s="26" t="s">
        <v>22</v>
      </c>
      <c r="H110" s="8" t="s">
        <v>22</v>
      </c>
      <c r="I110" s="8" t="s">
        <v>22</v>
      </c>
      <c r="J110" s="8" t="s">
        <v>22</v>
      </c>
      <c r="K110" s="8" t="s">
        <v>22</v>
      </c>
      <c r="L110" s="8" t="s">
        <v>22</v>
      </c>
      <c r="M110" s="26" t="s">
        <v>22</v>
      </c>
      <c r="N110" s="26" t="s">
        <v>22</v>
      </c>
      <c r="O110" s="9">
        <f>142790.050594/1000</f>
        <v>142.79005059400001</v>
      </c>
      <c r="P110" s="26">
        <v>500</v>
      </c>
      <c r="Q110" s="9">
        <f>(Table1[[#This Row],[Linear Features (km)]]*0.4)*100</f>
        <v>5711.6020237600005</v>
      </c>
      <c r="R110" s="26" t="s">
        <v>22</v>
      </c>
      <c r="S110" s="8" t="s">
        <v>22</v>
      </c>
      <c r="T110" s="2" t="s">
        <v>22</v>
      </c>
      <c r="U110" s="2" t="s">
        <v>22</v>
      </c>
      <c r="V110" s="2" t="s">
        <v>22</v>
      </c>
      <c r="W110" s="2" t="s">
        <v>22</v>
      </c>
      <c r="X110" s="10">
        <v>1285.02</v>
      </c>
      <c r="Y110" s="10">
        <f>Table1[[#This Row],[Raw Terrestrial Score]]/Table1[[#This Row],[Summed Raw Scores]]</f>
        <v>0.38473238013003452</v>
      </c>
      <c r="Z110" s="10">
        <v>2055.0160000000001</v>
      </c>
      <c r="AA110" s="10">
        <f>Table1[[#This Row],[Raw Freshwater Score]]/Table1[[#This Row],[Summed Raw Scores]]</f>
        <v>0.61526761986996548</v>
      </c>
      <c r="AB110" s="10">
        <f>Table1[[#This Row],[Raw Terrestrial Score]]+Table1[[#This Row],[Raw Freshwater Score]]</f>
        <v>3340.0360000000001</v>
      </c>
      <c r="AC110" s="11">
        <f>Table1[[#This Row],[Terrestrial % of Summed Score]]*Table1[[#This Row],[Scaled Summed Score]]</f>
        <v>0.15789718141329664</v>
      </c>
      <c r="AD110" s="11">
        <f>Table1[[#This Row],[Freshwater % of Summed Score]]*Table1[[#This Row],[Scaled Summed Score]]</f>
        <v>0.25251064898540665</v>
      </c>
      <c r="AE110" s="18">
        <f>Table1[[#This Row],[Summed Raw Scores]]/MAX(Table1[Summed Raw Scores])</f>
        <v>0.41040783039870327</v>
      </c>
    </row>
    <row r="111" spans="1:31" x14ac:dyDescent="0.3">
      <c r="A111" s="8" t="s">
        <v>45</v>
      </c>
      <c r="B111" s="8" t="s">
        <v>42</v>
      </c>
      <c r="C111" s="8" t="s">
        <v>30</v>
      </c>
      <c r="D111" s="8" t="s">
        <v>182</v>
      </c>
      <c r="E111" s="27">
        <v>54.183812750400001</v>
      </c>
      <c r="F111" s="27">
        <v>-127.97489492699999</v>
      </c>
      <c r="G111" s="27">
        <v>1000</v>
      </c>
      <c r="H111" s="9" t="s">
        <v>22</v>
      </c>
      <c r="I111" s="9">
        <v>1000</v>
      </c>
      <c r="J111" s="8" t="s">
        <v>22</v>
      </c>
      <c r="K111" s="8" t="s">
        <v>22</v>
      </c>
      <c r="L111" s="13">
        <v>182.65150565656566</v>
      </c>
      <c r="M111" s="28">
        <v>3.0727922061400563</v>
      </c>
      <c r="N111" s="24">
        <v>55.326406871194145</v>
      </c>
      <c r="O111" s="1">
        <f>Table1[[#This Row],[R1 Length (km)]]+Table1[[#This Row],[T1 Length (km)]]</f>
        <v>58.399199077334202</v>
      </c>
      <c r="P111" s="25">
        <v>500</v>
      </c>
      <c r="Q111" s="1">
        <f>(Table1[[#This Row],[Linear Features (km)]]*0.4)*100</f>
        <v>2335.9679630933683</v>
      </c>
      <c r="R111" s="24">
        <v>55.33</v>
      </c>
      <c r="S111" s="3">
        <f>Table1[[#This Row],[ATG (ha)]]/Table1[[#This Row],[Linear Area (ha)]]</f>
        <v>2.3686112512746164E-2</v>
      </c>
      <c r="T111" s="2" t="s">
        <v>22</v>
      </c>
      <c r="U111" s="2" t="s">
        <v>22</v>
      </c>
      <c r="V111" s="2" t="s">
        <v>22</v>
      </c>
      <c r="W111" s="2" t="s">
        <v>22</v>
      </c>
      <c r="X111" s="10">
        <v>582.53570000000002</v>
      </c>
      <c r="Y111" s="10">
        <f>Table1[[#This Row],[Raw Terrestrial Score]]/Table1[[#This Row],[Summed Raw Scores]]</f>
        <v>0.43675264580908857</v>
      </c>
      <c r="Z111" s="10">
        <v>751.25289999999995</v>
      </c>
      <c r="AA111" s="10">
        <f>Table1[[#This Row],[Raw Freshwater Score]]/Table1[[#This Row],[Summed Raw Scores]]</f>
        <v>0.56324735419091154</v>
      </c>
      <c r="AB111" s="10">
        <f>Table1[[#This Row],[Raw Terrestrial Score]]+Table1[[#This Row],[Raw Freshwater Score]]</f>
        <v>1333.7885999999999</v>
      </c>
      <c r="AC111" s="11">
        <f>Table1[[#This Row],[Terrestrial % of Summed Score]]*Table1[[#This Row],[Scaled Summed Score]]</f>
        <v>7.1579232309708613E-2</v>
      </c>
      <c r="AD111" s="11">
        <f>Table1[[#This Row],[Freshwater % of Summed Score]]*Table1[[#This Row],[Scaled Summed Score]]</f>
        <v>9.2310404070415394E-2</v>
      </c>
      <c r="AE111" s="18">
        <f>Table1[[#This Row],[Summed Raw Scores]]/MAX(Table1[Summed Raw Scores])</f>
        <v>0.16388963638012399</v>
      </c>
    </row>
    <row r="112" spans="1:31" x14ac:dyDescent="0.3">
      <c r="A112" s="8" t="s">
        <v>46</v>
      </c>
      <c r="B112" s="8" t="s">
        <v>42</v>
      </c>
      <c r="C112" s="8" t="s">
        <v>32</v>
      </c>
      <c r="D112" s="8" t="s">
        <v>182</v>
      </c>
      <c r="E112" s="28">
        <v>50.1539637132</v>
      </c>
      <c r="F112" s="28">
        <v>-123.68430182500001</v>
      </c>
      <c r="G112" s="27">
        <v>1000</v>
      </c>
      <c r="H112" s="9" t="s">
        <v>22</v>
      </c>
      <c r="I112" s="1">
        <v>495</v>
      </c>
      <c r="J112" s="8" t="s">
        <v>22</v>
      </c>
      <c r="K112" s="8" t="s">
        <v>22</v>
      </c>
      <c r="L112" s="13">
        <v>171.27576141414141</v>
      </c>
      <c r="M112" s="28">
        <v>1.9313709716799998</v>
      </c>
      <c r="N112" s="24">
        <v>64.098070312499999</v>
      </c>
      <c r="O112" s="1">
        <f>Table1[[#This Row],[R1 Length (km)]]+Table1[[#This Row],[T1 Length (km)]]</f>
        <v>66.029441284179995</v>
      </c>
      <c r="P112" s="25">
        <v>500</v>
      </c>
      <c r="Q112" s="1">
        <f>(Table1[[#This Row],[Linear Features (km)]]*0.4)*100</f>
        <v>2641.1776513671998</v>
      </c>
      <c r="R112" s="24">
        <v>65.650000000000006</v>
      </c>
      <c r="S112" s="3">
        <f>Table1[[#This Row],[ATG (ha)]]/Table1[[#This Row],[Linear Area (ha)]]</f>
        <v>2.4856336326341558E-2</v>
      </c>
      <c r="T112" s="2" t="s">
        <v>22</v>
      </c>
      <c r="U112" s="2" t="s">
        <v>22</v>
      </c>
      <c r="V112" s="2" t="s">
        <v>22</v>
      </c>
      <c r="W112" s="2" t="s">
        <v>22</v>
      </c>
      <c r="X112" s="10">
        <v>517.51030000000003</v>
      </c>
      <c r="Y112" s="10">
        <f>Table1[[#This Row],[Raw Terrestrial Score]]/Table1[[#This Row],[Summed Raw Scores]]</f>
        <v>0.29345465121468245</v>
      </c>
      <c r="Z112" s="10">
        <v>1246</v>
      </c>
      <c r="AA112" s="10">
        <f>Table1[[#This Row],[Raw Freshwater Score]]/Table1[[#This Row],[Summed Raw Scores]]</f>
        <v>0.70654534878531761</v>
      </c>
      <c r="AB112" s="10">
        <f>Table1[[#This Row],[Raw Terrestrial Score]]+Table1[[#This Row],[Raw Freshwater Score]]</f>
        <v>1763.5102999999999</v>
      </c>
      <c r="AC112" s="11">
        <f>Table1[[#This Row],[Terrestrial % of Summed Score]]*Table1[[#This Row],[Scaled Summed Score]]</f>
        <v>6.3589218628775868E-2</v>
      </c>
      <c r="AD112" s="11">
        <f>Table1[[#This Row],[Freshwater % of Summed Score]]*Table1[[#This Row],[Scaled Summed Score]]</f>
        <v>0.15310258831844456</v>
      </c>
      <c r="AE112" s="18">
        <f>Table1[[#This Row],[Summed Raw Scores]]/MAX(Table1[Summed Raw Scores])</f>
        <v>0.21669180694722043</v>
      </c>
    </row>
    <row r="113" spans="1:31" x14ac:dyDescent="0.3">
      <c r="A113" s="8" t="s">
        <v>47</v>
      </c>
      <c r="B113" s="8" t="s">
        <v>42</v>
      </c>
      <c r="C113" s="8" t="s">
        <v>32</v>
      </c>
      <c r="D113" s="8" t="s">
        <v>182</v>
      </c>
      <c r="E113" s="28">
        <v>49.755810000899999</v>
      </c>
      <c r="F113" s="28">
        <v>-123.601969999</v>
      </c>
      <c r="G113" s="27">
        <v>1000</v>
      </c>
      <c r="H113" s="9" t="s">
        <v>22</v>
      </c>
      <c r="I113" s="1">
        <v>495</v>
      </c>
      <c r="J113" s="26" t="s">
        <v>22</v>
      </c>
      <c r="K113" s="26" t="s">
        <v>22</v>
      </c>
      <c r="L113" s="13">
        <v>170.55434646464647</v>
      </c>
      <c r="M113" s="28">
        <v>0.42426406860400001</v>
      </c>
      <c r="N113" s="24">
        <v>31.430865786513319</v>
      </c>
      <c r="O113" s="1">
        <f>Table1[[#This Row],[R1 Length (km)]]+Table1[[#This Row],[T1 Length (km)]]</f>
        <v>31.855129855117319</v>
      </c>
      <c r="P113" s="25">
        <v>500</v>
      </c>
      <c r="Q113" s="1">
        <f>(Table1[[#This Row],[Linear Features (km)]]*0.4)*100</f>
        <v>1274.2051942046928</v>
      </c>
      <c r="R113" s="24">
        <v>31.43</v>
      </c>
      <c r="S113" s="3">
        <f>Table1[[#This Row],[ATG (ha)]]/Table1[[#This Row],[Linear Area (ha)]]</f>
        <v>2.466635683400846E-2</v>
      </c>
      <c r="T113" s="2" t="s">
        <v>22</v>
      </c>
      <c r="U113" s="2" t="s">
        <v>22</v>
      </c>
      <c r="V113" s="2" t="s">
        <v>22</v>
      </c>
      <c r="W113" s="2" t="s">
        <v>22</v>
      </c>
      <c r="X113" s="10">
        <v>301.83920000000001</v>
      </c>
      <c r="Y113" s="10">
        <f>Table1[[#This Row],[Raw Terrestrial Score]]/Table1[[#This Row],[Summed Raw Scores]]</f>
        <v>0.33717809426847106</v>
      </c>
      <c r="Z113" s="10">
        <v>593.35299999999995</v>
      </c>
      <c r="AA113" s="10">
        <f>Table1[[#This Row],[Raw Freshwater Score]]/Table1[[#This Row],[Summed Raw Scores]]</f>
        <v>0.66282190573152888</v>
      </c>
      <c r="AB113" s="10">
        <f>Table1[[#This Row],[Raw Terrestrial Score]]+Table1[[#This Row],[Raw Freshwater Score]]</f>
        <v>895.19219999999996</v>
      </c>
      <c r="AC113" s="11">
        <f>Table1[[#This Row],[Terrestrial % of Summed Score]]*Table1[[#This Row],[Scaled Summed Score]]</f>
        <v>3.7088573656475644E-2</v>
      </c>
      <c r="AD113" s="11">
        <f>Table1[[#This Row],[Freshwater % of Summed Score]]*Table1[[#This Row],[Scaled Summed Score]]</f>
        <v>7.2908410984361169E-2</v>
      </c>
      <c r="AE113" s="18">
        <f>Table1[[#This Row],[Summed Raw Scores]]/MAX(Table1[Summed Raw Scores])</f>
        <v>0.10999698464083682</v>
      </c>
    </row>
    <row r="114" spans="1:31" x14ac:dyDescent="0.3">
      <c r="A114" s="8" t="s">
        <v>48</v>
      </c>
      <c r="B114" s="8" t="s">
        <v>42</v>
      </c>
      <c r="C114" s="8" t="s">
        <v>32</v>
      </c>
      <c r="D114" s="8" t="s">
        <v>182</v>
      </c>
      <c r="E114" s="28">
        <v>49.912636246700004</v>
      </c>
      <c r="F114" s="28">
        <v>-123.731816256</v>
      </c>
      <c r="G114" s="27">
        <v>1000</v>
      </c>
      <c r="H114" s="9" t="s">
        <v>22</v>
      </c>
      <c r="I114" s="1">
        <v>495</v>
      </c>
      <c r="J114" s="26" t="s">
        <v>22</v>
      </c>
      <c r="K114" s="26" t="s">
        <v>22</v>
      </c>
      <c r="L114" s="13">
        <v>170.62377878787873</v>
      </c>
      <c r="M114" s="28">
        <v>10.0225371094</v>
      </c>
      <c r="N114" s="24">
        <v>34.413203435597197</v>
      </c>
      <c r="O114" s="1">
        <f>Table1[[#This Row],[R1 Length (km)]]+Table1[[#This Row],[T1 Length (km)]]</f>
        <v>44.435740544997195</v>
      </c>
      <c r="P114" s="25">
        <v>500</v>
      </c>
      <c r="Q114" s="1">
        <f>(Table1[[#This Row],[Linear Features (km)]]*0.4)*100</f>
        <v>1777.4296217998876</v>
      </c>
      <c r="R114" s="24">
        <v>11.75</v>
      </c>
      <c r="S114" s="3">
        <f>Table1[[#This Row],[ATG (ha)]]/Table1[[#This Row],[Linear Area (ha)]]</f>
        <v>6.6106696185818806E-3</v>
      </c>
      <c r="T114" s="2" t="s">
        <v>22</v>
      </c>
      <c r="U114" s="2" t="s">
        <v>22</v>
      </c>
      <c r="V114" s="2" t="s">
        <v>22</v>
      </c>
      <c r="W114" s="2" t="s">
        <v>22</v>
      </c>
      <c r="X114" s="10">
        <v>486.33510000000001</v>
      </c>
      <c r="Y114" s="10">
        <f>Table1[[#This Row],[Raw Terrestrial Score]]/Table1[[#This Row],[Summed Raw Scores]]</f>
        <v>0.40650020724748509</v>
      </c>
      <c r="Z114" s="10">
        <v>710.06060000000002</v>
      </c>
      <c r="AA114" s="10">
        <f>Table1[[#This Row],[Raw Freshwater Score]]/Table1[[#This Row],[Summed Raw Scores]]</f>
        <v>0.59349979275251497</v>
      </c>
      <c r="AB114" s="10">
        <f>Table1[[#This Row],[Raw Terrestrial Score]]+Table1[[#This Row],[Raw Freshwater Score]]</f>
        <v>1196.3957</v>
      </c>
      <c r="AC114" s="11">
        <f>Table1[[#This Row],[Terrestrial % of Summed Score]]*Table1[[#This Row],[Scaled Summed Score]]</f>
        <v>5.9758557463972364E-2</v>
      </c>
      <c r="AD114" s="11">
        <f>Table1[[#This Row],[Freshwater % of Summed Score]]*Table1[[#This Row],[Scaled Summed Score]]</f>
        <v>8.7248889023232537E-2</v>
      </c>
      <c r="AE114" s="18">
        <f>Table1[[#This Row],[Summed Raw Scores]]/MAX(Table1[Summed Raw Scores])</f>
        <v>0.1470074464872049</v>
      </c>
    </row>
    <row r="115" spans="1:31" x14ac:dyDescent="0.3">
      <c r="A115" s="8" t="s">
        <v>146</v>
      </c>
      <c r="B115" s="8" t="s">
        <v>80</v>
      </c>
      <c r="C115" s="8" t="s">
        <v>21</v>
      </c>
      <c r="D115" s="8" t="s">
        <v>182</v>
      </c>
      <c r="E115" s="27">
        <v>50.806605189999999</v>
      </c>
      <c r="F115" s="27">
        <v>-128.13496689999999</v>
      </c>
      <c r="G115" s="27">
        <v>147</v>
      </c>
      <c r="H115" s="8" t="s">
        <v>22</v>
      </c>
      <c r="I115" s="9">
        <v>42</v>
      </c>
      <c r="J115" s="27">
        <v>514.16819999999996</v>
      </c>
      <c r="K115" s="27">
        <v>77.965470085587228</v>
      </c>
      <c r="L115" s="9" t="s">
        <v>22</v>
      </c>
      <c r="M115" s="27">
        <v>3.5</v>
      </c>
      <c r="N115" s="27">
        <v>69</v>
      </c>
      <c r="O115" s="9">
        <f>Table1[[#This Row],[R1 Length (km)]]+Table1[[#This Row],[T1 Length (km)]]</f>
        <v>72.5</v>
      </c>
      <c r="P115" s="26">
        <v>130</v>
      </c>
      <c r="Q115" s="9">
        <f>(Table1[[#This Row],[Linear Features (km)]]*0.4)*100</f>
        <v>2900</v>
      </c>
      <c r="R115" s="24">
        <f>((PI()*(45^2))*Table1[[#This Row],[Number of Turbines - WIND]])/10000</f>
        <v>22.266037932317658</v>
      </c>
      <c r="S115" s="3">
        <f>Table1[[#This Row],[ATG (ha)]]/Table1[[#This Row],[Linear Area (ha)]]</f>
        <v>7.6779441145922956E-3</v>
      </c>
      <c r="T115" s="8" t="s">
        <v>81</v>
      </c>
      <c r="U115" s="8">
        <v>35</v>
      </c>
      <c r="V115" s="2" t="s">
        <v>22</v>
      </c>
      <c r="W115" s="2" t="s">
        <v>22</v>
      </c>
      <c r="X115" s="10">
        <f>812.5526+60.09337</f>
        <v>872.64597000000003</v>
      </c>
      <c r="Y115" s="10">
        <f>Table1[[#This Row],[Raw Terrestrial Score]]/Table1[[#This Row],[Summed Raw Scores]]</f>
        <v>0.22140457299461619</v>
      </c>
      <c r="Z115" s="10">
        <f>2817.373+251.39</f>
        <v>3068.7629999999999</v>
      </c>
      <c r="AA115" s="10">
        <f>Table1[[#This Row],[Raw Freshwater Score]]/Table1[[#This Row],[Summed Raw Scores]]</f>
        <v>0.77859542700538376</v>
      </c>
      <c r="AB115" s="10">
        <f>Table1[[#This Row],[Raw Terrestrial Score]]+Table1[[#This Row],[Raw Freshwater Score]]</f>
        <v>3941.40897</v>
      </c>
      <c r="AC115" s="11">
        <f>Table1[[#This Row],[Terrestrial % of Summed Score]]*Table1[[#This Row],[Scaled Summed Score]]</f>
        <v>0.10722661050775259</v>
      </c>
      <c r="AD115" s="11">
        <f>Table1[[#This Row],[Freshwater % of Summed Score]]*Table1[[#This Row],[Scaled Summed Score]]</f>
        <v>0.37707508686667324</v>
      </c>
      <c r="AE115" s="18">
        <f>Table1[[#This Row],[Summed Raw Scores]]/MAX(Table1[Summed Raw Scores])</f>
        <v>0.48430169737442585</v>
      </c>
    </row>
    <row r="116" spans="1:31" x14ac:dyDescent="0.3">
      <c r="A116" s="8" t="s">
        <v>147</v>
      </c>
      <c r="B116" s="8" t="s">
        <v>80</v>
      </c>
      <c r="C116" s="8" t="s">
        <v>21</v>
      </c>
      <c r="D116" s="8" t="s">
        <v>182</v>
      </c>
      <c r="E116" s="27">
        <v>50.776845999999999</v>
      </c>
      <c r="F116" s="27">
        <v>-127.8682787</v>
      </c>
      <c r="G116" s="27">
        <v>60</v>
      </c>
      <c r="H116" s="8" t="s">
        <v>22</v>
      </c>
      <c r="I116" s="9">
        <v>14.399999999999999</v>
      </c>
      <c r="J116" s="27">
        <v>188.21735999999999</v>
      </c>
      <c r="K116" s="27">
        <v>101.1195555834226</v>
      </c>
      <c r="L116" s="9" t="s">
        <v>22</v>
      </c>
      <c r="M116" s="27">
        <v>2.1798991699200001</v>
      </c>
      <c r="N116" s="27">
        <v>48.825691406250002</v>
      </c>
      <c r="O116" s="9">
        <f>Table1[[#This Row],[R1 Length (km)]]+Table1[[#This Row],[T1 Length (km)]]</f>
        <v>51.00559057617</v>
      </c>
      <c r="P116" s="26">
        <v>130</v>
      </c>
      <c r="Q116" s="9">
        <f>(Table1[[#This Row],[Linear Features (km)]]*0.4)*100</f>
        <v>2040.2236230468002</v>
      </c>
      <c r="R116" s="24">
        <f>((PI()*(45^2))*Table1[[#This Row],[Number of Turbines - WIND]])/10000</f>
        <v>7.6340701482231959</v>
      </c>
      <c r="S116" s="3">
        <f>Table1[[#This Row],[ATG (ha)]]/Table1[[#This Row],[Linear Area (ha)]]</f>
        <v>3.7417810783029444E-3</v>
      </c>
      <c r="T116" s="8" t="s">
        <v>81</v>
      </c>
      <c r="U116" s="8">
        <v>12</v>
      </c>
      <c r="V116" s="2" t="s">
        <v>22</v>
      </c>
      <c r="W116" s="2" t="s">
        <v>22</v>
      </c>
      <c r="X116" s="10">
        <f>594.317+9.293116</f>
        <v>603.61011600000006</v>
      </c>
      <c r="Y116" s="10">
        <f>Table1[[#This Row],[Raw Terrestrial Score]]/Table1[[#This Row],[Summed Raw Scores]]</f>
        <v>0.19563013194607334</v>
      </c>
      <c r="Z116" s="10">
        <f>2394.652+87.20386</f>
        <v>2481.8558600000001</v>
      </c>
      <c r="AA116" s="10">
        <f>Table1[[#This Row],[Raw Freshwater Score]]/Table1[[#This Row],[Summed Raw Scores]]</f>
        <v>0.80436986805392663</v>
      </c>
      <c r="AB116" s="10">
        <f>Table1[[#This Row],[Raw Terrestrial Score]]+Table1[[#This Row],[Raw Freshwater Score]]</f>
        <v>3085.4659760000004</v>
      </c>
      <c r="AC116" s="11">
        <f>Table1[[#This Row],[Terrestrial % of Summed Score]]*Table1[[#This Row],[Scaled Summed Score]]</f>
        <v>7.4168756897910568E-2</v>
      </c>
      <c r="AD116" s="11">
        <f>Table1[[#This Row],[Freshwater % of Summed Score]]*Table1[[#This Row],[Scaled Summed Score]]</f>
        <v>0.3049587126800154</v>
      </c>
      <c r="AE116" s="18">
        <f>Table1[[#This Row],[Summed Raw Scores]]/MAX(Table1[Summed Raw Scores])</f>
        <v>0.37912746957792598</v>
      </c>
    </row>
    <row r="117" spans="1:31" x14ac:dyDescent="0.3">
      <c r="A117" s="8" t="s">
        <v>148</v>
      </c>
      <c r="B117" s="8" t="s">
        <v>80</v>
      </c>
      <c r="C117" s="8" t="s">
        <v>21</v>
      </c>
      <c r="D117" s="8" t="s">
        <v>182</v>
      </c>
      <c r="E117" s="27">
        <v>50.739074709999997</v>
      </c>
      <c r="F117" s="27">
        <v>-127.770989</v>
      </c>
      <c r="G117" s="27">
        <v>255</v>
      </c>
      <c r="H117" s="8" t="s">
        <v>22</v>
      </c>
      <c r="I117" s="9">
        <v>61.199999999999996</v>
      </c>
      <c r="J117" s="27">
        <v>786.74436000000003</v>
      </c>
      <c r="K117" s="27">
        <v>93.499766923626581</v>
      </c>
      <c r="L117" s="9" t="s">
        <v>22</v>
      </c>
      <c r="M117" s="27">
        <v>0.7</v>
      </c>
      <c r="N117" s="27">
        <v>173.4</v>
      </c>
      <c r="O117" s="9">
        <f>Table1[[#This Row],[R1 Length (km)]]+Table1[[#This Row],[T1 Length (km)]]</f>
        <v>174.1</v>
      </c>
      <c r="P117" s="26">
        <v>230</v>
      </c>
      <c r="Q117" s="9">
        <f>(Table1[[#This Row],[Linear Features (km)]]*0.4)*100</f>
        <v>6964</v>
      </c>
      <c r="R117" s="24">
        <f>((PI()*(45^2))*Table1[[#This Row],[Number of Turbines - WIND]])/10000</f>
        <v>32.444798129948587</v>
      </c>
      <c r="S117" s="3">
        <f>Table1[[#This Row],[ATG (ha)]]/Table1[[#This Row],[Linear Area (ha)]]</f>
        <v>4.6589313799466668E-3</v>
      </c>
      <c r="T117" s="8" t="s">
        <v>81</v>
      </c>
      <c r="U117" s="8">
        <v>51</v>
      </c>
      <c r="V117" s="2" t="s">
        <v>22</v>
      </c>
      <c r="W117" s="2" t="s">
        <v>22</v>
      </c>
      <c r="X117" s="10">
        <f>726.3206+102.0428</f>
        <v>828.36339999999996</v>
      </c>
      <c r="Y117" s="10">
        <f>Table1[[#This Row],[Raw Terrestrial Score]]/Table1[[#This Row],[Summed Raw Scores]]</f>
        <v>0.23609139637415538</v>
      </c>
      <c r="Z117" s="10">
        <f>2361.518+318.7742</f>
        <v>2680.2921999999999</v>
      </c>
      <c r="AA117" s="10">
        <f>Table1[[#This Row],[Raw Freshwater Score]]/Table1[[#This Row],[Summed Raw Scores]]</f>
        <v>0.76390860362584456</v>
      </c>
      <c r="AB117" s="10">
        <f>Table1[[#This Row],[Raw Terrestrial Score]]+Table1[[#This Row],[Raw Freshwater Score]]</f>
        <v>3508.6556</v>
      </c>
      <c r="AC117" s="11">
        <f>Table1[[#This Row],[Terrestrial % of Summed Score]]*Table1[[#This Row],[Scaled Summed Score]]</f>
        <v>0.10178537769523838</v>
      </c>
      <c r="AD117" s="11">
        <f>Table1[[#This Row],[Freshwater % of Summed Score]]*Table1[[#This Row],[Scaled Summed Score]]</f>
        <v>0.32934163183767101</v>
      </c>
      <c r="AE117" s="18">
        <f>Table1[[#This Row],[Summed Raw Scores]]/MAX(Table1[Summed Raw Scores])</f>
        <v>0.43112700953290939</v>
      </c>
    </row>
    <row r="118" spans="1:31" x14ac:dyDescent="0.3">
      <c r="A118" s="8" t="s">
        <v>149</v>
      </c>
      <c r="B118" s="8" t="s">
        <v>80</v>
      </c>
      <c r="C118" s="8" t="s">
        <v>21</v>
      </c>
      <c r="D118" s="8" t="s">
        <v>182</v>
      </c>
      <c r="E118" s="27">
        <v>50.78142433</v>
      </c>
      <c r="F118" s="27">
        <v>-127.6862897</v>
      </c>
      <c r="G118" s="27">
        <v>117</v>
      </c>
      <c r="H118" s="8" t="s">
        <v>22</v>
      </c>
      <c r="I118" s="9">
        <v>27.599999999999998</v>
      </c>
      <c r="J118" s="27">
        <v>358.53366</v>
      </c>
      <c r="K118" s="27">
        <v>83.915463409001291</v>
      </c>
      <c r="L118" s="9" t="s">
        <v>22</v>
      </c>
      <c r="M118" s="27">
        <v>1.7</v>
      </c>
      <c r="N118" s="27">
        <v>36</v>
      </c>
      <c r="O118" s="9">
        <f>Table1[[#This Row],[R1 Length (km)]]+Table1[[#This Row],[T1 Length (km)]]</f>
        <v>37.700000000000003</v>
      </c>
      <c r="P118" s="26">
        <v>130</v>
      </c>
      <c r="Q118" s="9">
        <f>(Table1[[#This Row],[Linear Features (km)]]*0.4)*100</f>
        <v>1508.0000000000002</v>
      </c>
      <c r="R118" s="24">
        <f>((PI()*(45^2))*Table1[[#This Row],[Number of Turbines - WIND]])/10000</f>
        <v>14.631967784094462</v>
      </c>
      <c r="S118" s="3">
        <f>Table1[[#This Row],[ATG (ha)]]/Table1[[#This Row],[Linear Area (ha)]]</f>
        <v>9.7028964085507027E-3</v>
      </c>
      <c r="T118" s="8" t="s">
        <v>81</v>
      </c>
      <c r="U118" s="8">
        <v>23</v>
      </c>
      <c r="V118" s="2" t="s">
        <v>22</v>
      </c>
      <c r="W118" s="2" t="s">
        <v>22</v>
      </c>
      <c r="X118" s="10">
        <f>601.6127+37.97201</f>
        <v>639.58470999999997</v>
      </c>
      <c r="Y118" s="10">
        <f>Table1[[#This Row],[Raw Terrestrial Score]]/Table1[[#This Row],[Summed Raw Scores]]</f>
        <v>0.21139233202784649</v>
      </c>
      <c r="Z118" s="10">
        <f>2219.09+166.9067</f>
        <v>2385.9967000000001</v>
      </c>
      <c r="AA118" s="10">
        <f>Table1[[#This Row],[Raw Freshwater Score]]/Table1[[#This Row],[Summed Raw Scores]]</f>
        <v>0.78860766797215343</v>
      </c>
      <c r="AB118" s="10">
        <f>Table1[[#This Row],[Raw Terrestrial Score]]+Table1[[#This Row],[Raw Freshwater Score]]</f>
        <v>3025.5814100000002</v>
      </c>
      <c r="AC118" s="11">
        <f>Table1[[#This Row],[Terrestrial % of Summed Score]]*Table1[[#This Row],[Scaled Summed Score]]</f>
        <v>7.8589144903612962E-2</v>
      </c>
      <c r="AD118" s="11">
        <f>Table1[[#This Row],[Freshwater % of Summed Score]]*Table1[[#This Row],[Scaled Summed Score]]</f>
        <v>0.29317999236698816</v>
      </c>
      <c r="AE118" s="18">
        <f>Table1[[#This Row],[Summed Raw Scores]]/MAX(Table1[Summed Raw Scores])</f>
        <v>0.37176913727060118</v>
      </c>
    </row>
    <row r="119" spans="1:31" x14ac:dyDescent="0.3">
      <c r="A119" s="8" t="s">
        <v>150</v>
      </c>
      <c r="B119" s="8" t="s">
        <v>80</v>
      </c>
      <c r="C119" s="8" t="s">
        <v>21</v>
      </c>
      <c r="D119" s="8" t="s">
        <v>182</v>
      </c>
      <c r="E119" s="27">
        <v>50.644801700000002</v>
      </c>
      <c r="F119" s="27">
        <v>-126.9632505</v>
      </c>
      <c r="G119" s="27">
        <v>165</v>
      </c>
      <c r="H119" s="8" t="s">
        <v>22</v>
      </c>
      <c r="I119" s="9">
        <v>39.6</v>
      </c>
      <c r="J119" s="27">
        <v>522.07848000000001</v>
      </c>
      <c r="K119" s="27">
        <v>88.642968937247929</v>
      </c>
      <c r="L119" s="9" t="s">
        <v>22</v>
      </c>
      <c r="M119" s="27">
        <v>0.2</v>
      </c>
      <c r="N119" s="27">
        <v>122.2</v>
      </c>
      <c r="O119" s="9">
        <f>Table1[[#This Row],[R1 Length (km)]]+Table1[[#This Row],[T1 Length (km)]]</f>
        <v>122.4</v>
      </c>
      <c r="P119" s="26">
        <v>230</v>
      </c>
      <c r="Q119" s="9">
        <f>(Table1[[#This Row],[Linear Features (km)]]*0.4)*100</f>
        <v>4896.0000000000009</v>
      </c>
      <c r="R119" s="24">
        <f>((PI()*(45^2))*Table1[[#This Row],[Number of Turbines - WIND]])/10000</f>
        <v>20.993692907613791</v>
      </c>
      <c r="S119" s="3">
        <f>Table1[[#This Row],[ATG (ha)]]/Table1[[#This Row],[Linear Area (ha)]]</f>
        <v>4.2879274729603328E-3</v>
      </c>
      <c r="T119" s="8" t="s">
        <v>81</v>
      </c>
      <c r="U119" s="8">
        <v>33</v>
      </c>
      <c r="V119" s="2" t="s">
        <v>22</v>
      </c>
      <c r="W119" s="2" t="s">
        <v>22</v>
      </c>
      <c r="X119" s="10">
        <f>496.0617+35.21499</f>
        <v>531.27668999999992</v>
      </c>
      <c r="Y119" s="10">
        <f>Table1[[#This Row],[Raw Terrestrial Score]]/Table1[[#This Row],[Summed Raw Scores]]</f>
        <v>0.21818400202162319</v>
      </c>
      <c r="Z119" s="10">
        <f>1729.517+174.2001</f>
        <v>1903.7171000000001</v>
      </c>
      <c r="AA119" s="10">
        <f>Table1[[#This Row],[Raw Freshwater Score]]/Table1[[#This Row],[Summed Raw Scores]]</f>
        <v>0.78181599797837675</v>
      </c>
      <c r="AB119" s="10">
        <f>Table1[[#This Row],[Raw Terrestrial Score]]+Table1[[#This Row],[Raw Freshwater Score]]</f>
        <v>2434.99379</v>
      </c>
      <c r="AC119" s="11">
        <f>Table1[[#This Row],[Terrestrial % of Summed Score]]*Table1[[#This Row],[Scaled Summed Score]]</f>
        <v>6.5280767537926068E-2</v>
      </c>
      <c r="AD119" s="11">
        <f>Table1[[#This Row],[Freshwater % of Summed Score]]*Table1[[#This Row],[Scaled Summed Score]]</f>
        <v>0.2339197555666799</v>
      </c>
      <c r="AE119" s="18">
        <f>Table1[[#This Row],[Summed Raw Scores]]/MAX(Table1[Summed Raw Scores])</f>
        <v>0.29920052310460599</v>
      </c>
    </row>
    <row r="120" spans="1:31" x14ac:dyDescent="0.3">
      <c r="A120" s="8" t="s">
        <v>151</v>
      </c>
      <c r="B120" s="8" t="s">
        <v>80</v>
      </c>
      <c r="C120" s="8" t="s">
        <v>21</v>
      </c>
      <c r="D120" s="8" t="s">
        <v>182</v>
      </c>
      <c r="E120" s="27">
        <v>50.587989550000003</v>
      </c>
      <c r="F120" s="27">
        <v>-128.2024973</v>
      </c>
      <c r="G120" s="27">
        <v>54</v>
      </c>
      <c r="H120" s="8" t="s">
        <v>22</v>
      </c>
      <c r="I120" s="9">
        <v>13.2</v>
      </c>
      <c r="J120" s="27">
        <v>168.34091999999998</v>
      </c>
      <c r="K120" s="27">
        <v>94.726775014035169</v>
      </c>
      <c r="L120" s="9" t="s">
        <v>22</v>
      </c>
      <c r="M120" s="27">
        <v>0.68284271240200001</v>
      </c>
      <c r="N120" s="27">
        <v>211</v>
      </c>
      <c r="O120" s="9">
        <f>Table1[[#This Row],[R1 Length (km)]]+Table1[[#This Row],[T1 Length (km)]]</f>
        <v>211.68284271240199</v>
      </c>
      <c r="P120" s="26">
        <v>69</v>
      </c>
      <c r="Q120" s="9">
        <f>(Table1[[#This Row],[Linear Features (km)]]*0.4)*100</f>
        <v>8467.3137084960799</v>
      </c>
      <c r="R120" s="24">
        <f>((PI()*(45^2))*Table1[[#This Row],[Number of Turbines - WIND]])/10000</f>
        <v>4.453207586463531</v>
      </c>
      <c r="S120" s="3">
        <f>Table1[[#This Row],[ATG (ha)]]/Table1[[#This Row],[Linear Area (ha)]]</f>
        <v>5.2592920727564333E-4</v>
      </c>
      <c r="T120" s="8" t="s">
        <v>81</v>
      </c>
      <c r="U120" s="8">
        <v>7</v>
      </c>
      <c r="V120" s="2" t="s">
        <v>22</v>
      </c>
      <c r="W120" s="2" t="s">
        <v>22</v>
      </c>
      <c r="X120" s="10">
        <f>755.6585+19.5576</f>
        <v>775.21609999999998</v>
      </c>
      <c r="Y120" s="10">
        <f>Table1[[#This Row],[Raw Terrestrial Score]]/Table1[[#This Row],[Summed Raw Scores]]</f>
        <v>0.23532463971747541</v>
      </c>
      <c r="Z120" s="10">
        <f>2486.435+32.59</f>
        <v>2519.0250000000001</v>
      </c>
      <c r="AA120" s="10">
        <f>Table1[[#This Row],[Raw Freshwater Score]]/Table1[[#This Row],[Summed Raw Scores]]</f>
        <v>0.76467536028252459</v>
      </c>
      <c r="AB120" s="10">
        <f>Table1[[#This Row],[Raw Terrestrial Score]]+Table1[[#This Row],[Raw Freshwater Score]]</f>
        <v>3294.2411000000002</v>
      </c>
      <c r="AC120" s="11">
        <f>Table1[[#This Row],[Terrestrial % of Summed Score]]*Table1[[#This Row],[Scaled Summed Score]]</f>
        <v>9.5254888776990482E-2</v>
      </c>
      <c r="AD120" s="11">
        <f>Table1[[#This Row],[Freshwater % of Summed Score]]*Table1[[#This Row],[Scaled Summed Score]]</f>
        <v>0.3095258808498153</v>
      </c>
      <c r="AE120" s="18">
        <f>Table1[[#This Row],[Summed Raw Scores]]/MAX(Table1[Summed Raw Scores])</f>
        <v>0.40478076962680576</v>
      </c>
    </row>
    <row r="121" spans="1:31" x14ac:dyDescent="0.3">
      <c r="A121" s="8" t="s">
        <v>152</v>
      </c>
      <c r="B121" s="8" t="s">
        <v>80</v>
      </c>
      <c r="C121" s="8" t="s">
        <v>21</v>
      </c>
      <c r="D121" s="8" t="s">
        <v>182</v>
      </c>
      <c r="E121" s="27">
        <v>48.524384269999999</v>
      </c>
      <c r="F121" s="27">
        <v>-124.04424469999999</v>
      </c>
      <c r="G121" s="27">
        <v>48</v>
      </c>
      <c r="H121" s="8" t="s">
        <v>22</v>
      </c>
      <c r="I121" s="9">
        <v>12</v>
      </c>
      <c r="J121" s="27">
        <v>127.8522</v>
      </c>
      <c r="K121" s="27">
        <v>102.72014729515422</v>
      </c>
      <c r="L121" s="9" t="s">
        <v>22</v>
      </c>
      <c r="M121" s="27">
        <v>0.68284277343800004</v>
      </c>
      <c r="N121" s="27">
        <v>34.066906250000002</v>
      </c>
      <c r="O121" s="9">
        <f>Table1[[#This Row],[R1 Length (km)]]+Table1[[#This Row],[T1 Length (km)]]</f>
        <v>34.749749023438</v>
      </c>
      <c r="P121" s="26">
        <v>69</v>
      </c>
      <c r="Q121" s="9">
        <f>(Table1[[#This Row],[Linear Features (km)]]*0.4)*100</f>
        <v>1389.98996093752</v>
      </c>
      <c r="R121" s="24">
        <v>6.36</v>
      </c>
      <c r="S121" s="3">
        <f>Table1[[#This Row],[ATG (ha)]]/Table1[[#This Row],[Linear Area (ha)]]</f>
        <v>4.5755726147189649E-3</v>
      </c>
      <c r="T121" s="8" t="s">
        <v>91</v>
      </c>
      <c r="U121" s="2" t="s">
        <v>22</v>
      </c>
      <c r="V121" s="2" t="s">
        <v>22</v>
      </c>
      <c r="W121" s="2" t="s">
        <v>22</v>
      </c>
      <c r="X121" s="10">
        <v>62.828650000000003</v>
      </c>
      <c r="Y121" s="10">
        <f>Table1[[#This Row],[Raw Terrestrial Score]]/Table1[[#This Row],[Summed Raw Scores]]</f>
        <v>0.22483622263451236</v>
      </c>
      <c r="Z121" s="10">
        <v>216.61320000000001</v>
      </c>
      <c r="AA121" s="10">
        <f>Table1[[#This Row],[Raw Freshwater Score]]/Table1[[#This Row],[Summed Raw Scores]]</f>
        <v>0.77516377736548769</v>
      </c>
      <c r="AB121" s="10">
        <f>Table1[[#This Row],[Raw Terrestrial Score]]+Table1[[#This Row],[Raw Freshwater Score]]</f>
        <v>279.44184999999999</v>
      </c>
      <c r="AC121" s="11">
        <f>Table1[[#This Row],[Terrestrial % of Summed Score]]*Table1[[#This Row],[Scaled Summed Score]]</f>
        <v>7.7200874282131971E-3</v>
      </c>
      <c r="AD121" s="11">
        <f>Table1[[#This Row],[Freshwater % of Summed Score]]*Table1[[#This Row],[Scaled Summed Score]]</f>
        <v>2.6616405765602646E-2</v>
      </c>
      <c r="AE121" s="18">
        <f>Table1[[#This Row],[Summed Raw Scores]]/MAX(Table1[Summed Raw Scores])</f>
        <v>3.4336493193815841E-2</v>
      </c>
    </row>
    <row r="122" spans="1:31" x14ac:dyDescent="0.3">
      <c r="A122" s="8" t="s">
        <v>153</v>
      </c>
      <c r="B122" s="8" t="s">
        <v>80</v>
      </c>
      <c r="C122" s="8" t="s">
        <v>21</v>
      </c>
      <c r="D122" s="8" t="s">
        <v>182</v>
      </c>
      <c r="E122" s="27">
        <v>50.496697820000001</v>
      </c>
      <c r="F122" s="27">
        <v>-126.76762239999999</v>
      </c>
      <c r="G122" s="27">
        <v>48</v>
      </c>
      <c r="H122" s="8" t="s">
        <v>22</v>
      </c>
      <c r="I122" s="9">
        <v>12</v>
      </c>
      <c r="J122" s="27">
        <v>164.90700000000001</v>
      </c>
      <c r="K122" s="27">
        <v>88.165206651257805</v>
      </c>
      <c r="L122" s="9" t="s">
        <v>22</v>
      </c>
      <c r="M122" s="27">
        <v>0.7</v>
      </c>
      <c r="N122" s="27">
        <v>9.1999999999999993</v>
      </c>
      <c r="O122" s="9">
        <f>Table1[[#This Row],[R1 Length (km)]]+Table1[[#This Row],[T1 Length (km)]]</f>
        <v>9.8999999999999986</v>
      </c>
      <c r="P122" s="26">
        <v>130</v>
      </c>
      <c r="Q122" s="9">
        <f>(Table1[[#This Row],[Linear Features (km)]]*0.4)*100</f>
        <v>395.99999999999994</v>
      </c>
      <c r="R122" s="24">
        <v>6.36</v>
      </c>
      <c r="S122" s="3">
        <f>Table1[[#This Row],[ATG (ha)]]/Table1[[#This Row],[Linear Area (ha)]]</f>
        <v>1.6060606060606063E-2</v>
      </c>
      <c r="T122" s="8" t="s">
        <v>91</v>
      </c>
      <c r="U122" s="8" t="s">
        <v>22</v>
      </c>
      <c r="V122" s="2" t="s">
        <v>22</v>
      </c>
      <c r="W122" s="2" t="s">
        <v>22</v>
      </c>
      <c r="X122" s="10">
        <v>61.61515</v>
      </c>
      <c r="Y122" s="10">
        <f>Table1[[#This Row],[Raw Terrestrial Score]]/Table1[[#This Row],[Summed Raw Scores]]</f>
        <v>0.25778720254811877</v>
      </c>
      <c r="Z122" s="10">
        <v>177.40039999999999</v>
      </c>
      <c r="AA122" s="10">
        <f>Table1[[#This Row],[Raw Freshwater Score]]/Table1[[#This Row],[Summed Raw Scores]]</f>
        <v>0.74221279745188129</v>
      </c>
      <c r="AB122" s="10">
        <f>Table1[[#This Row],[Raw Terrestrial Score]]+Table1[[#This Row],[Raw Freshwater Score]]</f>
        <v>239.01554999999999</v>
      </c>
      <c r="AC122" s="11">
        <f>Table1[[#This Row],[Terrestrial % of Summed Score]]*Table1[[#This Row],[Scaled Summed Score]]</f>
        <v>7.5709782862192695E-3</v>
      </c>
      <c r="AD122" s="11">
        <f>Table1[[#This Row],[Freshwater % of Summed Score]]*Table1[[#This Row],[Scaled Summed Score]]</f>
        <v>2.1798122318400795E-2</v>
      </c>
      <c r="AE122" s="18">
        <f>Table1[[#This Row],[Summed Raw Scores]]/MAX(Table1[Summed Raw Scores])</f>
        <v>2.9369100604620064E-2</v>
      </c>
    </row>
    <row r="123" spans="1:31" x14ac:dyDescent="0.3">
      <c r="A123" s="8" t="s">
        <v>154</v>
      </c>
      <c r="B123" s="8" t="s">
        <v>80</v>
      </c>
      <c r="C123" s="8" t="s">
        <v>21</v>
      </c>
      <c r="D123" s="8" t="s">
        <v>182</v>
      </c>
      <c r="E123" s="27">
        <v>50.494692499999999</v>
      </c>
      <c r="F123" s="27">
        <v>-127.07283200000001</v>
      </c>
      <c r="G123" s="27">
        <v>33</v>
      </c>
      <c r="H123" s="8" t="s">
        <v>22</v>
      </c>
      <c r="I123" s="9">
        <v>8.4</v>
      </c>
      <c r="J123" s="27">
        <v>113.50331999999999</v>
      </c>
      <c r="K123" s="27">
        <v>87.113135229108053</v>
      </c>
      <c r="L123" s="9" t="s">
        <v>22</v>
      </c>
      <c r="M123" s="27">
        <v>1</v>
      </c>
      <c r="N123" s="27">
        <v>8.8000000000000007</v>
      </c>
      <c r="O123" s="9">
        <f>Table1[[#This Row],[R1 Length (km)]]+Table1[[#This Row],[T1 Length (km)]]</f>
        <v>9.8000000000000007</v>
      </c>
      <c r="P123" s="26">
        <v>130</v>
      </c>
      <c r="Q123" s="9">
        <f>(Table1[[#This Row],[Linear Features (km)]]*0.4)*100</f>
        <v>392.00000000000006</v>
      </c>
      <c r="R123" s="24">
        <f>((PI()*(45^2))*Table1[[#This Row],[Number of Turbines - WIND]])/10000</f>
        <v>4.453207586463531</v>
      </c>
      <c r="S123" s="3">
        <f>Table1[[#This Row],[ATG (ha)]]/Table1[[#This Row],[Linear Area (ha)]]</f>
        <v>1.1360223434855946E-2</v>
      </c>
      <c r="T123" s="8" t="s">
        <v>81</v>
      </c>
      <c r="U123" s="8">
        <v>7</v>
      </c>
      <c r="V123" s="2" t="s">
        <v>22</v>
      </c>
      <c r="W123" s="2" t="s">
        <v>22</v>
      </c>
      <c r="X123" s="10">
        <f>32.02947+19.03198</f>
        <v>51.061450000000008</v>
      </c>
      <c r="Y123" s="10">
        <f>Table1[[#This Row],[Raw Terrestrial Score]]/Table1[[#This Row],[Summed Raw Scores]]</f>
        <v>0.18320772036794358</v>
      </c>
      <c r="Z123" s="10">
        <f>185.5098+42.13671</f>
        <v>227.64651000000001</v>
      </c>
      <c r="AA123" s="10">
        <f>Table1[[#This Row],[Raw Freshwater Score]]/Table1[[#This Row],[Summed Raw Scores]]</f>
        <v>0.81679227963205647</v>
      </c>
      <c r="AB123" s="10">
        <f>Table1[[#This Row],[Raw Terrestrial Score]]+Table1[[#This Row],[Raw Freshwater Score]]</f>
        <v>278.70796000000001</v>
      </c>
      <c r="AC123" s="11">
        <f>Table1[[#This Row],[Terrestrial % of Summed Score]]*Table1[[#This Row],[Scaled Summed Score]]</f>
        <v>6.2741895331403221E-3</v>
      </c>
      <c r="AD123" s="11">
        <f>Table1[[#This Row],[Freshwater % of Summed Score]]*Table1[[#This Row],[Scaled Summed Score]]</f>
        <v>2.7972126727657042E-2</v>
      </c>
      <c r="AE123" s="18">
        <f>Table1[[#This Row],[Summed Raw Scores]]/MAX(Table1[Summed Raw Scores])</f>
        <v>3.4246316260797362E-2</v>
      </c>
    </row>
    <row r="124" spans="1:31" x14ac:dyDescent="0.3">
      <c r="A124" s="8" t="s">
        <v>155</v>
      </c>
      <c r="B124" s="8" t="s">
        <v>80</v>
      </c>
      <c r="C124" s="8" t="s">
        <v>21</v>
      </c>
      <c r="D124" s="8" t="s">
        <v>182</v>
      </c>
      <c r="E124" s="27">
        <v>50.446005470000003</v>
      </c>
      <c r="F124" s="27">
        <v>-127.2969015</v>
      </c>
      <c r="G124" s="27">
        <v>33</v>
      </c>
      <c r="H124" s="8" t="s">
        <v>22</v>
      </c>
      <c r="I124" s="9">
        <v>8.4</v>
      </c>
      <c r="J124" s="27">
        <v>129.44651999999999</v>
      </c>
      <c r="K124" s="27">
        <v>88.609477321999194</v>
      </c>
      <c r="L124" s="9" t="s">
        <v>22</v>
      </c>
      <c r="M124" s="27">
        <v>0.9</v>
      </c>
      <c r="N124" s="27">
        <v>17.8</v>
      </c>
      <c r="O124" s="9">
        <f>Table1[[#This Row],[R1 Length (km)]]+Table1[[#This Row],[T1 Length (km)]]</f>
        <v>18.7</v>
      </c>
      <c r="P124" s="26">
        <v>130</v>
      </c>
      <c r="Q124" s="9">
        <f>(Table1[[#This Row],[Linear Features (km)]]*0.4)*100</f>
        <v>748</v>
      </c>
      <c r="R124" s="24">
        <v>4.45</v>
      </c>
      <c r="S124" s="3">
        <f>Table1[[#This Row],[ATG (ha)]]/Table1[[#This Row],[Linear Area (ha)]]</f>
        <v>5.9491978609625667E-3</v>
      </c>
      <c r="T124" s="8" t="s">
        <v>91</v>
      </c>
      <c r="U124" s="2" t="s">
        <v>22</v>
      </c>
      <c r="V124" s="2" t="s">
        <v>22</v>
      </c>
      <c r="W124" s="2" t="s">
        <v>22</v>
      </c>
      <c r="X124" s="10">
        <v>94.02328</v>
      </c>
      <c r="Y124" s="10">
        <f>Table1[[#This Row],[Raw Terrestrial Score]]/Table1[[#This Row],[Summed Raw Scores]]</f>
        <v>0.33104075130742805</v>
      </c>
      <c r="Z124" s="10">
        <v>190</v>
      </c>
      <c r="AA124" s="10">
        <f>Table1[[#This Row],[Raw Freshwater Score]]/Table1[[#This Row],[Summed Raw Scores]]</f>
        <v>0.66895924869257195</v>
      </c>
      <c r="AB124" s="10">
        <f>Table1[[#This Row],[Raw Terrestrial Score]]+Table1[[#This Row],[Raw Freshwater Score]]</f>
        <v>284.02328</v>
      </c>
      <c r="AC124" s="11">
        <f>Table1[[#This Row],[Terrestrial % of Summed Score]]*Table1[[#This Row],[Scaled Summed Score]]</f>
        <v>1.155313605954241E-2</v>
      </c>
      <c r="AD124" s="11">
        <f>Table1[[#This Row],[Freshwater % of Summed Score]]*Table1[[#This Row],[Scaled Summed Score]]</f>
        <v>2.3346301589489939E-2</v>
      </c>
      <c r="AE124" s="18">
        <f>Table1[[#This Row],[Summed Raw Scores]]/MAX(Table1[Summed Raw Scores])</f>
        <v>3.4899437649032347E-2</v>
      </c>
    </row>
    <row r="125" spans="1:31" x14ac:dyDescent="0.3">
      <c r="A125" s="8" t="s">
        <v>156</v>
      </c>
      <c r="B125" s="8" t="s">
        <v>80</v>
      </c>
      <c r="C125" s="8" t="s">
        <v>21</v>
      </c>
      <c r="D125" s="8" t="s">
        <v>182</v>
      </c>
      <c r="E125" s="27">
        <v>50.563312949999997</v>
      </c>
      <c r="F125" s="27">
        <v>-127.93100939999999</v>
      </c>
      <c r="G125" s="27">
        <v>39</v>
      </c>
      <c r="H125" s="8" t="s">
        <v>22</v>
      </c>
      <c r="I125" s="9">
        <v>9.6</v>
      </c>
      <c r="J125" s="27">
        <v>131.15472</v>
      </c>
      <c r="K125" s="27">
        <v>103.77850274255869</v>
      </c>
      <c r="L125" s="9" t="s">
        <v>22</v>
      </c>
      <c r="M125" s="27">
        <v>0.44142135620099998</v>
      </c>
      <c r="N125" s="27">
        <v>37.785996093750001</v>
      </c>
      <c r="O125" s="9">
        <f>Table1[[#This Row],[R1 Length (km)]]+Table1[[#This Row],[T1 Length (km)]]</f>
        <v>38.227417449950998</v>
      </c>
      <c r="P125" s="26">
        <v>69</v>
      </c>
      <c r="Q125" s="9">
        <f>(Table1[[#This Row],[Linear Features (km)]]*0.4)*100</f>
        <v>1529.0966979980401</v>
      </c>
      <c r="R125" s="24">
        <v>5.08</v>
      </c>
      <c r="S125" s="3">
        <f>Table1[[#This Row],[ATG (ha)]]/Table1[[#This Row],[Linear Area (ha)]]</f>
        <v>3.3222228565733987E-3</v>
      </c>
      <c r="T125" s="8" t="s">
        <v>91</v>
      </c>
      <c r="U125" s="2" t="s">
        <v>22</v>
      </c>
      <c r="V125" s="2" t="s">
        <v>22</v>
      </c>
      <c r="W125" s="2" t="s">
        <v>22</v>
      </c>
      <c r="X125" s="10">
        <v>223.12790000000001</v>
      </c>
      <c r="Y125" s="10">
        <f>Table1[[#This Row],[Raw Terrestrial Score]]/Table1[[#This Row],[Summed Raw Scores]]</f>
        <v>0.34016650676825361</v>
      </c>
      <c r="Z125" s="10">
        <v>432.80939999999998</v>
      </c>
      <c r="AA125" s="10">
        <f>Table1[[#This Row],[Raw Freshwater Score]]/Table1[[#This Row],[Summed Raw Scores]]</f>
        <v>0.65983349323174634</v>
      </c>
      <c r="AB125" s="10">
        <f>Table1[[#This Row],[Raw Terrestrial Score]]+Table1[[#This Row],[Raw Freshwater Score]]</f>
        <v>655.93730000000005</v>
      </c>
      <c r="AC125" s="11">
        <f>Table1[[#This Row],[Terrestrial % of Summed Score]]*Table1[[#This Row],[Scaled Summed Score]]</f>
        <v>2.7416901296997649E-2</v>
      </c>
      <c r="AD125" s="11">
        <f>Table1[[#This Row],[Freshwater % of Summed Score]]*Table1[[#This Row],[Scaled Summed Score]]</f>
        <v>5.3181572542979935E-2</v>
      </c>
      <c r="AE125" s="18">
        <f>Table1[[#This Row],[Summed Raw Scores]]/MAX(Table1[Summed Raw Scores])</f>
        <v>8.0598473839977591E-2</v>
      </c>
    </row>
    <row r="126" spans="1:31" x14ac:dyDescent="0.3">
      <c r="A126" s="8" t="s">
        <v>157</v>
      </c>
      <c r="B126" s="8" t="s">
        <v>37</v>
      </c>
      <c r="C126" s="8" t="s">
        <v>55</v>
      </c>
      <c r="D126" s="8" t="s">
        <v>182</v>
      </c>
      <c r="E126" s="27">
        <v>51.936409428200001</v>
      </c>
      <c r="F126" s="27">
        <v>-122.97709502799999</v>
      </c>
      <c r="G126" s="27">
        <v>11.4920585116</v>
      </c>
      <c r="H126" s="9">
        <v>11</v>
      </c>
      <c r="I126" s="9" t="s">
        <v>22</v>
      </c>
      <c r="J126" s="27">
        <v>92</v>
      </c>
      <c r="K126" s="27">
        <v>132.65</v>
      </c>
      <c r="L126" s="9" t="s">
        <v>22</v>
      </c>
      <c r="M126" s="27">
        <v>0</v>
      </c>
      <c r="N126" s="27">
        <v>68.169799999999995</v>
      </c>
      <c r="O126" s="9">
        <f>Table1[[#This Row],[R1 Length (km)]]+Table1[[#This Row],[T1 Length (km)]]</f>
        <v>68.169799999999995</v>
      </c>
      <c r="P126" s="26">
        <v>230</v>
      </c>
      <c r="Q126" s="9">
        <f>(Table1[[#This Row],[Linear Features (km)]]*0.4)*100</f>
        <v>2726.7919999999999</v>
      </c>
      <c r="R126" s="24">
        <v>10</v>
      </c>
      <c r="S126" s="3">
        <f>Table1[[#This Row],[ATG (ha)]]/Table1[[#This Row],[Linear Area (ha)]]</f>
        <v>3.6673130917209674E-3</v>
      </c>
      <c r="T126" s="8" t="s">
        <v>22</v>
      </c>
      <c r="U126" s="8" t="s">
        <v>22</v>
      </c>
      <c r="V126" s="2" t="s">
        <v>22</v>
      </c>
      <c r="W126" s="2" t="s">
        <v>22</v>
      </c>
      <c r="X126" s="10">
        <v>595.16750000000002</v>
      </c>
      <c r="Y126" s="10">
        <f>Table1[[#This Row],[Raw Terrestrial Score]]/Table1[[#This Row],[Summed Raw Scores]]</f>
        <v>0.4524865463051605</v>
      </c>
      <c r="Z126" s="10">
        <v>720.15890000000002</v>
      </c>
      <c r="AA126" s="10">
        <f>Table1[[#This Row],[Raw Freshwater Score]]/Table1[[#This Row],[Summed Raw Scores]]</f>
        <v>0.54751345369483961</v>
      </c>
      <c r="AB126" s="10">
        <f>Table1[[#This Row],[Raw Terrestrial Score]]+Table1[[#This Row],[Raw Freshwater Score]]</f>
        <v>1315.3263999999999</v>
      </c>
      <c r="AC126" s="11">
        <f>Table1[[#This Row],[Terrestrial % of Summed Score]]*Table1[[#This Row],[Scaled Summed Score]]</f>
        <v>7.3131368164540814E-2</v>
      </c>
      <c r="AD126" s="11">
        <f>Table1[[#This Row],[Freshwater % of Summed Score]]*Table1[[#This Row],[Scaled Summed Score]]</f>
        <v>8.848972037765962E-2</v>
      </c>
      <c r="AE126" s="18">
        <f>Table1[[#This Row],[Summed Raw Scores]]/MAX(Table1[Summed Raw Scores])</f>
        <v>0.16162108854220042</v>
      </c>
    </row>
    <row r="127" spans="1:31" x14ac:dyDescent="0.3">
      <c r="A127" s="8" t="s">
        <v>158</v>
      </c>
      <c r="B127" s="8" t="s">
        <v>37</v>
      </c>
      <c r="C127" s="8" t="s">
        <v>32</v>
      </c>
      <c r="D127" s="8" t="s">
        <v>182</v>
      </c>
      <c r="E127" s="27">
        <v>49.079444444499998</v>
      </c>
      <c r="F127" s="27">
        <v>-122.483055556</v>
      </c>
      <c r="G127" s="27">
        <v>46.954864498399999</v>
      </c>
      <c r="H127" s="9">
        <v>45</v>
      </c>
      <c r="I127" s="9" t="s">
        <v>22</v>
      </c>
      <c r="J127" s="27">
        <v>374</v>
      </c>
      <c r="K127" s="27">
        <v>134.79</v>
      </c>
      <c r="L127" s="9" t="s">
        <v>22</v>
      </c>
      <c r="M127" s="27">
        <f>600/1000</f>
        <v>0.6</v>
      </c>
      <c r="N127" s="27">
        <v>3.67279</v>
      </c>
      <c r="O127" s="9">
        <f>Table1[[#This Row],[R1 Length (km)]]+Table1[[#This Row],[T1 Length (km)]]</f>
        <v>4.2727899999999996</v>
      </c>
      <c r="P127" s="26">
        <v>69</v>
      </c>
      <c r="Q127" s="9">
        <f>(Table1[[#This Row],[Linear Features (km)]]*0.4)*100</f>
        <v>170.91159999999999</v>
      </c>
      <c r="R127" s="24">
        <v>10</v>
      </c>
      <c r="S127" s="3">
        <f>Table1[[#This Row],[ATG (ha)]]/Table1[[#This Row],[Linear Area (ha)]]</f>
        <v>5.8509779324516301E-2</v>
      </c>
      <c r="T127" s="8" t="s">
        <v>22</v>
      </c>
      <c r="U127" s="8" t="s">
        <v>22</v>
      </c>
      <c r="V127" s="2" t="s">
        <v>22</v>
      </c>
      <c r="W127" s="2" t="s">
        <v>22</v>
      </c>
      <c r="X127" s="10">
        <v>93.829660000000004</v>
      </c>
      <c r="Y127" s="10">
        <f>Table1[[#This Row],[Raw Terrestrial Score]]/Table1[[#This Row],[Summed Raw Scores]]</f>
        <v>0.58156257125840793</v>
      </c>
      <c r="Z127" s="10">
        <v>67.510949999999994</v>
      </c>
      <c r="AA127" s="10">
        <f>Table1[[#This Row],[Raw Freshwater Score]]/Table1[[#This Row],[Summed Raw Scores]]</f>
        <v>0.41843742874159207</v>
      </c>
      <c r="AB127" s="10">
        <f>Table1[[#This Row],[Raw Terrestrial Score]]+Table1[[#This Row],[Raw Freshwater Score]]</f>
        <v>161.34061</v>
      </c>
      <c r="AC127" s="11">
        <f>Table1[[#This Row],[Terrestrial % of Summed Score]]*Table1[[#This Row],[Scaled Summed Score]]</f>
        <v>1.1529344949470003E-2</v>
      </c>
      <c r="AD127" s="11">
        <f>Table1[[#This Row],[Freshwater % of Summed Score]]*Table1[[#This Row],[Scaled Summed Score]]</f>
        <v>8.2954263120682929E-3</v>
      </c>
      <c r="AE127" s="18">
        <f>Table1[[#This Row],[Summed Raw Scores]]/MAX(Table1[Summed Raw Scores])</f>
        <v>1.9824771261538296E-2</v>
      </c>
    </row>
    <row r="128" spans="1:31" x14ac:dyDescent="0.3">
      <c r="A128" s="8" t="s">
        <v>159</v>
      </c>
      <c r="B128" s="8" t="s">
        <v>37</v>
      </c>
      <c r="C128" s="8" t="s">
        <v>32</v>
      </c>
      <c r="D128" s="8" t="s">
        <v>182</v>
      </c>
      <c r="E128" s="27">
        <v>49.079444444499998</v>
      </c>
      <c r="F128" s="27">
        <v>-122.483055556</v>
      </c>
      <c r="G128" s="27">
        <v>38.505777818399999</v>
      </c>
      <c r="H128" s="9">
        <v>37</v>
      </c>
      <c r="I128" s="9" t="s">
        <v>22</v>
      </c>
      <c r="J128" s="27">
        <v>307</v>
      </c>
      <c r="K128" s="27">
        <v>104.73</v>
      </c>
      <c r="L128" s="9" t="s">
        <v>22</v>
      </c>
      <c r="M128" s="27">
        <v>0</v>
      </c>
      <c r="N128" s="27">
        <v>3.67279</v>
      </c>
      <c r="O128" s="9">
        <f>Table1[[#This Row],[R1 Length (km)]]+Table1[[#This Row],[T1 Length (km)]]</f>
        <v>3.67279</v>
      </c>
      <c r="P128" s="26">
        <v>69</v>
      </c>
      <c r="Q128" s="9">
        <f>(Table1[[#This Row],[Linear Features (km)]]*0.4)*100</f>
        <v>146.91160000000002</v>
      </c>
      <c r="R128" s="24">
        <v>10</v>
      </c>
      <c r="S128" s="3">
        <f>Table1[[#This Row],[ATG (ha)]]/Table1[[#This Row],[Linear Area (ha)]]</f>
        <v>6.8068144380702397E-2</v>
      </c>
      <c r="T128" s="8" t="s">
        <v>22</v>
      </c>
      <c r="U128" s="8" t="s">
        <v>22</v>
      </c>
      <c r="V128" s="2" t="s">
        <v>22</v>
      </c>
      <c r="W128" s="2" t="s">
        <v>22</v>
      </c>
      <c r="X128" s="10">
        <v>93.829660000000004</v>
      </c>
      <c r="Y128" s="10">
        <f>Table1[[#This Row],[Raw Terrestrial Score]]/Table1[[#This Row],[Summed Raw Scores]]</f>
        <v>0.58156257125840793</v>
      </c>
      <c r="Z128" s="10">
        <v>67.510949999999994</v>
      </c>
      <c r="AA128" s="10">
        <f>Table1[[#This Row],[Raw Freshwater Score]]/Table1[[#This Row],[Summed Raw Scores]]</f>
        <v>0.41843742874159207</v>
      </c>
      <c r="AB128" s="10">
        <f>Table1[[#This Row],[Raw Terrestrial Score]]+Table1[[#This Row],[Raw Freshwater Score]]</f>
        <v>161.34061</v>
      </c>
      <c r="AC128" s="11">
        <f>Table1[[#This Row],[Terrestrial % of Summed Score]]*Table1[[#This Row],[Scaled Summed Score]]</f>
        <v>1.1529344949470003E-2</v>
      </c>
      <c r="AD128" s="11">
        <f>Table1[[#This Row],[Freshwater % of Summed Score]]*Table1[[#This Row],[Scaled Summed Score]]</f>
        <v>8.2954263120682929E-3</v>
      </c>
      <c r="AE128" s="18">
        <f>Table1[[#This Row],[Summed Raw Scores]]/MAX(Table1[Summed Raw Scores])</f>
        <v>1.9824771261538296E-2</v>
      </c>
    </row>
    <row r="129" spans="1:31" x14ac:dyDescent="0.3">
      <c r="A129" s="8" t="s">
        <v>160</v>
      </c>
      <c r="B129" s="8" t="s">
        <v>37</v>
      </c>
      <c r="C129" s="8" t="s">
        <v>32</v>
      </c>
      <c r="D129" s="8" t="s">
        <v>182</v>
      </c>
      <c r="E129" s="27">
        <v>49.079444444499998</v>
      </c>
      <c r="F129" s="27">
        <v>-122.483055556</v>
      </c>
      <c r="G129" s="27">
        <v>38.505777818399999</v>
      </c>
      <c r="H129" s="9">
        <v>37</v>
      </c>
      <c r="I129" s="9" t="s">
        <v>22</v>
      </c>
      <c r="J129" s="27">
        <v>307</v>
      </c>
      <c r="K129" s="27">
        <v>104.73</v>
      </c>
      <c r="L129" s="9" t="s">
        <v>22</v>
      </c>
      <c r="M129" s="27">
        <f>600/1000</f>
        <v>0.6</v>
      </c>
      <c r="N129" s="27">
        <v>3.67279</v>
      </c>
      <c r="O129" s="9">
        <f>Table1[[#This Row],[R1 Length (km)]]+Table1[[#This Row],[T1 Length (km)]]</f>
        <v>4.2727899999999996</v>
      </c>
      <c r="P129" s="26">
        <v>69</v>
      </c>
      <c r="Q129" s="9">
        <f>(Table1[[#This Row],[Linear Features (km)]]*0.4)*100</f>
        <v>170.91159999999999</v>
      </c>
      <c r="R129" s="24">
        <v>10</v>
      </c>
      <c r="S129" s="3">
        <f>Table1[[#This Row],[ATG (ha)]]/Table1[[#This Row],[Linear Area (ha)]]</f>
        <v>5.8509779324516301E-2</v>
      </c>
      <c r="T129" s="8" t="s">
        <v>22</v>
      </c>
      <c r="U129" s="8" t="s">
        <v>22</v>
      </c>
      <c r="V129" s="2" t="s">
        <v>22</v>
      </c>
      <c r="W129" s="2" t="s">
        <v>22</v>
      </c>
      <c r="X129" s="10">
        <v>93.829660000000004</v>
      </c>
      <c r="Y129" s="10">
        <f>Table1[[#This Row],[Raw Terrestrial Score]]/Table1[[#This Row],[Summed Raw Scores]]</f>
        <v>0.58156257125840793</v>
      </c>
      <c r="Z129" s="10">
        <v>67.510949999999994</v>
      </c>
      <c r="AA129" s="10">
        <f>Table1[[#This Row],[Raw Freshwater Score]]/Table1[[#This Row],[Summed Raw Scores]]</f>
        <v>0.41843742874159207</v>
      </c>
      <c r="AB129" s="10">
        <f>Table1[[#This Row],[Raw Terrestrial Score]]+Table1[[#This Row],[Raw Freshwater Score]]</f>
        <v>161.34061</v>
      </c>
      <c r="AC129" s="11">
        <f>Table1[[#This Row],[Terrestrial % of Summed Score]]*Table1[[#This Row],[Scaled Summed Score]]</f>
        <v>1.1529344949470003E-2</v>
      </c>
      <c r="AD129" s="11">
        <f>Table1[[#This Row],[Freshwater % of Summed Score]]*Table1[[#This Row],[Scaled Summed Score]]</f>
        <v>8.2954263120682929E-3</v>
      </c>
      <c r="AE129" s="18">
        <f>Table1[[#This Row],[Summed Raw Scores]]/MAX(Table1[Summed Raw Scores])</f>
        <v>1.9824771261538296E-2</v>
      </c>
    </row>
    <row r="130" spans="1:31" x14ac:dyDescent="0.3">
      <c r="A130" s="8" t="s">
        <v>161</v>
      </c>
      <c r="B130" s="8" t="s">
        <v>37</v>
      </c>
      <c r="C130" s="8" t="s">
        <v>27</v>
      </c>
      <c r="D130" s="8" t="s">
        <v>182</v>
      </c>
      <c r="E130" s="27">
        <v>58.805555556500003</v>
      </c>
      <c r="F130" s="27">
        <v>-122.697222223</v>
      </c>
      <c r="G130" s="27">
        <v>38.520155471000002</v>
      </c>
      <c r="H130" s="9">
        <v>37</v>
      </c>
      <c r="I130" s="9" t="s">
        <v>22</v>
      </c>
      <c r="J130" s="27">
        <v>307</v>
      </c>
      <c r="K130" s="27">
        <v>187.48</v>
      </c>
      <c r="L130" s="9" t="s">
        <v>22</v>
      </c>
      <c r="M130" s="27">
        <f>600/1000</f>
        <v>0.6</v>
      </c>
      <c r="N130" s="27">
        <v>351.05200000000002</v>
      </c>
      <c r="O130" s="9">
        <f>Table1[[#This Row],[R1 Length (km)]]+Table1[[#This Row],[T1 Length (km)]]</f>
        <v>351.65200000000004</v>
      </c>
      <c r="P130" s="26">
        <v>230</v>
      </c>
      <c r="Q130" s="9">
        <f>(Table1[[#This Row],[Linear Features (km)]]*0.4)*100</f>
        <v>14066.080000000002</v>
      </c>
      <c r="R130" s="24">
        <v>10</v>
      </c>
      <c r="S130" s="3">
        <f>Table1[[#This Row],[ATG (ha)]]/Table1[[#This Row],[Linear Area (ha)]]</f>
        <v>7.1093012409996243E-4</v>
      </c>
      <c r="T130" s="8" t="s">
        <v>22</v>
      </c>
      <c r="U130" s="8" t="s">
        <v>22</v>
      </c>
      <c r="V130" s="2" t="s">
        <v>22</v>
      </c>
      <c r="W130" s="2" t="s">
        <v>22</v>
      </c>
      <c r="X130" s="10">
        <v>1518.903</v>
      </c>
      <c r="Y130" s="10">
        <f>Table1[[#This Row],[Raw Terrestrial Score]]/Table1[[#This Row],[Summed Raw Scores]]</f>
        <v>0.36252415987596542</v>
      </c>
      <c r="Z130" s="10">
        <v>2670.895</v>
      </c>
      <c r="AA130" s="10">
        <f>Table1[[#This Row],[Raw Freshwater Score]]/Table1[[#This Row],[Summed Raw Scores]]</f>
        <v>0.63747584012403469</v>
      </c>
      <c r="AB130" s="10">
        <f>Table1[[#This Row],[Raw Terrestrial Score]]+Table1[[#This Row],[Raw Freshwater Score]]</f>
        <v>4189.7979999999998</v>
      </c>
      <c r="AC130" s="11">
        <f>Table1[[#This Row],[Terrestrial % of Summed Score]]*Table1[[#This Row],[Scaled Summed Score]]</f>
        <v>0.1866356185430581</v>
      </c>
      <c r="AD130" s="11">
        <f>Table1[[#This Row],[Freshwater % of Summed Score]]*Table1[[#This Row],[Scaled Summed Score]]</f>
        <v>0.32818694833610912</v>
      </c>
      <c r="AE130" s="18">
        <f>Table1[[#This Row],[Summed Raw Scores]]/MAX(Table1[Summed Raw Scores])</f>
        <v>0.51482256687916716</v>
      </c>
    </row>
    <row r="131" spans="1:31" x14ac:dyDescent="0.3">
      <c r="A131" s="8" t="s">
        <v>162</v>
      </c>
      <c r="B131" s="8" t="s">
        <v>37</v>
      </c>
      <c r="C131" s="8" t="s">
        <v>27</v>
      </c>
      <c r="D131" s="8" t="s">
        <v>182</v>
      </c>
      <c r="E131" s="27">
        <v>58.805555556500003</v>
      </c>
      <c r="F131" s="27">
        <v>-122.697222223</v>
      </c>
      <c r="G131" s="27">
        <v>38.520155471000002</v>
      </c>
      <c r="H131" s="9">
        <v>37</v>
      </c>
      <c r="I131" s="9" t="s">
        <v>22</v>
      </c>
      <c r="J131" s="27">
        <v>307</v>
      </c>
      <c r="K131" s="27">
        <v>187.48</v>
      </c>
      <c r="L131" s="9" t="s">
        <v>22</v>
      </c>
      <c r="M131" s="27">
        <v>0</v>
      </c>
      <c r="N131" s="27">
        <v>351.05200000000002</v>
      </c>
      <c r="O131" s="9">
        <f>Table1[[#This Row],[R1 Length (km)]]+Table1[[#This Row],[T1 Length (km)]]</f>
        <v>351.05200000000002</v>
      </c>
      <c r="P131" s="26">
        <v>230</v>
      </c>
      <c r="Q131" s="9">
        <f>(Table1[[#This Row],[Linear Features (km)]]*0.4)*100</f>
        <v>14042.080000000002</v>
      </c>
      <c r="R131" s="24">
        <v>10</v>
      </c>
      <c r="S131" s="3">
        <f>Table1[[#This Row],[ATG (ha)]]/Table1[[#This Row],[Linear Area (ha)]]</f>
        <v>7.1214520925674818E-4</v>
      </c>
      <c r="T131" s="8" t="s">
        <v>22</v>
      </c>
      <c r="U131" s="8" t="s">
        <v>22</v>
      </c>
      <c r="V131" s="2" t="s">
        <v>22</v>
      </c>
      <c r="W131" s="2" t="s">
        <v>22</v>
      </c>
      <c r="X131" s="10">
        <v>1518.903</v>
      </c>
      <c r="Y131" s="10">
        <f>Table1[[#This Row],[Raw Terrestrial Score]]/Table1[[#This Row],[Summed Raw Scores]]</f>
        <v>0.36252415987596542</v>
      </c>
      <c r="Z131" s="10">
        <v>2670.895</v>
      </c>
      <c r="AA131" s="10">
        <f>Table1[[#This Row],[Raw Freshwater Score]]/Table1[[#This Row],[Summed Raw Scores]]</f>
        <v>0.63747584012403469</v>
      </c>
      <c r="AB131" s="10">
        <f>Table1[[#This Row],[Raw Terrestrial Score]]+Table1[[#This Row],[Raw Freshwater Score]]</f>
        <v>4189.7979999999998</v>
      </c>
      <c r="AC131" s="11">
        <f>Table1[[#This Row],[Terrestrial % of Summed Score]]*Table1[[#This Row],[Scaled Summed Score]]</f>
        <v>0.1866356185430581</v>
      </c>
      <c r="AD131" s="11">
        <f>Table1[[#This Row],[Freshwater % of Summed Score]]*Table1[[#This Row],[Scaled Summed Score]]</f>
        <v>0.32818694833610912</v>
      </c>
      <c r="AE131" s="18">
        <f>Table1[[#This Row],[Summed Raw Scores]]/MAX(Table1[Summed Raw Scores])</f>
        <v>0.51482256687916716</v>
      </c>
    </row>
    <row r="132" spans="1:31" x14ac:dyDescent="0.3">
      <c r="A132" s="8" t="s">
        <v>163</v>
      </c>
      <c r="B132" s="8" t="s">
        <v>37</v>
      </c>
      <c r="C132" s="8" t="s">
        <v>27</v>
      </c>
      <c r="D132" s="8" t="s">
        <v>182</v>
      </c>
      <c r="E132" s="27">
        <v>58.805555556500003</v>
      </c>
      <c r="F132" s="27">
        <v>-122.697222223</v>
      </c>
      <c r="G132" s="27">
        <v>38.520155471000002</v>
      </c>
      <c r="H132" s="9">
        <v>37</v>
      </c>
      <c r="I132" s="9" t="s">
        <v>22</v>
      </c>
      <c r="J132" s="27">
        <v>307</v>
      </c>
      <c r="K132" s="27">
        <v>187.48</v>
      </c>
      <c r="L132" s="9" t="s">
        <v>22</v>
      </c>
      <c r="M132" s="27">
        <v>0</v>
      </c>
      <c r="N132" s="27">
        <v>351.05200000000002</v>
      </c>
      <c r="O132" s="9">
        <f>Table1[[#This Row],[R1 Length (km)]]+Table1[[#This Row],[T1 Length (km)]]</f>
        <v>351.05200000000002</v>
      </c>
      <c r="P132" s="26">
        <v>230</v>
      </c>
      <c r="Q132" s="9">
        <f>(Table1[[#This Row],[Linear Features (km)]]*0.4)*100</f>
        <v>14042.080000000002</v>
      </c>
      <c r="R132" s="24">
        <v>10</v>
      </c>
      <c r="S132" s="3">
        <f>Table1[[#This Row],[ATG (ha)]]/Table1[[#This Row],[Linear Area (ha)]]</f>
        <v>7.1214520925674818E-4</v>
      </c>
      <c r="T132" s="8" t="s">
        <v>22</v>
      </c>
      <c r="U132" s="8" t="s">
        <v>22</v>
      </c>
      <c r="V132" s="2" t="s">
        <v>22</v>
      </c>
      <c r="W132" s="2" t="s">
        <v>22</v>
      </c>
      <c r="X132" s="10">
        <v>1518.903</v>
      </c>
      <c r="Y132" s="10">
        <f>Table1[[#This Row],[Raw Terrestrial Score]]/Table1[[#This Row],[Summed Raw Scores]]</f>
        <v>0.36252415987596542</v>
      </c>
      <c r="Z132" s="10">
        <v>2670.895</v>
      </c>
      <c r="AA132" s="10">
        <f>Table1[[#This Row],[Raw Freshwater Score]]/Table1[[#This Row],[Summed Raw Scores]]</f>
        <v>0.63747584012403469</v>
      </c>
      <c r="AB132" s="10">
        <f>Table1[[#This Row],[Raw Terrestrial Score]]+Table1[[#This Row],[Raw Freshwater Score]]</f>
        <v>4189.7979999999998</v>
      </c>
      <c r="AC132" s="11">
        <f>Table1[[#This Row],[Terrestrial % of Summed Score]]*Table1[[#This Row],[Scaled Summed Score]]</f>
        <v>0.1866356185430581</v>
      </c>
      <c r="AD132" s="11">
        <f>Table1[[#This Row],[Freshwater % of Summed Score]]*Table1[[#This Row],[Scaled Summed Score]]</f>
        <v>0.32818694833610912</v>
      </c>
      <c r="AE132" s="18">
        <f>Table1[[#This Row],[Summed Raw Scores]]/MAX(Table1[Summed Raw Scores])</f>
        <v>0.51482256687916716</v>
      </c>
    </row>
    <row r="133" spans="1:31" x14ac:dyDescent="0.3">
      <c r="A133" s="8" t="s">
        <v>164</v>
      </c>
      <c r="B133" s="8" t="s">
        <v>37</v>
      </c>
      <c r="C133" s="8" t="s">
        <v>30</v>
      </c>
      <c r="D133" s="8" t="s">
        <v>182</v>
      </c>
      <c r="E133" s="27">
        <v>58.433333333900002</v>
      </c>
      <c r="F133" s="27">
        <v>-130.024166667</v>
      </c>
      <c r="G133" s="27">
        <v>54</v>
      </c>
      <c r="H133" s="9">
        <v>10</v>
      </c>
      <c r="I133" s="9" t="s">
        <v>22</v>
      </c>
      <c r="J133" s="27">
        <v>86</v>
      </c>
      <c r="K133" s="27">
        <v>205.12</v>
      </c>
      <c r="L133" s="9" t="s">
        <v>22</v>
      </c>
      <c r="M133" s="27">
        <f>473.463877529/1000</f>
        <v>0.47346387752899999</v>
      </c>
      <c r="N133" s="27">
        <v>255.387</v>
      </c>
      <c r="O133" s="9">
        <f>Table1[[#This Row],[R1 Length (km)]]+Table1[[#This Row],[T1 Length (km)]]</f>
        <v>255.86046387752901</v>
      </c>
      <c r="P133" s="26">
        <v>130</v>
      </c>
      <c r="Q133" s="9">
        <f>(Table1[[#This Row],[Linear Features (km)]]*0.4)*100</f>
        <v>10234.418555101161</v>
      </c>
      <c r="R133" s="24">
        <v>10</v>
      </c>
      <c r="S133" s="3">
        <f>Table1[[#This Row],[ATG (ha)]]/Table1[[#This Row],[Linear Area (ha)]]</f>
        <v>9.7709507835358955E-4</v>
      </c>
      <c r="T133" s="8" t="s">
        <v>22</v>
      </c>
      <c r="U133" s="8" t="s">
        <v>22</v>
      </c>
      <c r="V133" s="2" t="s">
        <v>22</v>
      </c>
      <c r="W133" s="2" t="s">
        <v>22</v>
      </c>
      <c r="X133" s="10">
        <v>528.02369999999996</v>
      </c>
      <c r="Y133" s="10">
        <f>Table1[[#This Row],[Raw Terrestrial Score]]/Table1[[#This Row],[Summed Raw Scores]]</f>
        <v>0.15420812904958872</v>
      </c>
      <c r="Z133" s="10">
        <v>2896.0740000000001</v>
      </c>
      <c r="AA133" s="10">
        <f>Table1[[#This Row],[Raw Freshwater Score]]/Table1[[#This Row],[Summed Raw Scores]]</f>
        <v>0.8457918709504112</v>
      </c>
      <c r="AB133" s="10">
        <f>Table1[[#This Row],[Raw Terrestrial Score]]+Table1[[#This Row],[Raw Freshwater Score]]</f>
        <v>3424.0977000000003</v>
      </c>
      <c r="AC133" s="11">
        <f>Table1[[#This Row],[Terrestrial % of Summed Score]]*Table1[[#This Row],[Scaled Summed Score]]</f>
        <v>6.4881055508412416E-2</v>
      </c>
      <c r="AD133" s="11">
        <f>Table1[[#This Row],[Freshwater % of Summed Score]]*Table1[[#This Row],[Scaled Summed Score]]</f>
        <v>0.35585587910252892</v>
      </c>
      <c r="AE133" s="18">
        <f>Table1[[#This Row],[Summed Raw Scores]]/MAX(Table1[Summed Raw Scores])</f>
        <v>0.42073693461094136</v>
      </c>
    </row>
    <row r="134" spans="1:31" x14ac:dyDescent="0.3">
      <c r="A134" s="8" t="s">
        <v>165</v>
      </c>
      <c r="B134" s="8" t="s">
        <v>37</v>
      </c>
      <c r="C134" s="8" t="s">
        <v>27</v>
      </c>
      <c r="D134" s="8" t="s">
        <v>182</v>
      </c>
      <c r="E134" s="27">
        <v>55.700000000499998</v>
      </c>
      <c r="F134" s="27">
        <v>-121.633333333</v>
      </c>
      <c r="G134" s="27">
        <v>9.2094357002400002</v>
      </c>
      <c r="H134" s="9">
        <v>9</v>
      </c>
      <c r="I134" s="9" t="s">
        <v>22</v>
      </c>
      <c r="J134" s="27">
        <v>73</v>
      </c>
      <c r="K134" s="27">
        <v>213.94</v>
      </c>
      <c r="L134" s="9" t="s">
        <v>22</v>
      </c>
      <c r="M134" s="27">
        <v>0</v>
      </c>
      <c r="N134" s="27">
        <v>0.42426399999999997</v>
      </c>
      <c r="O134" s="9">
        <f>Table1[[#This Row],[R1 Length (km)]]+Table1[[#This Row],[T1 Length (km)]]</f>
        <v>0.42426399999999997</v>
      </c>
      <c r="P134" s="26">
        <v>25</v>
      </c>
      <c r="Q134" s="9">
        <f>(Table1[[#This Row],[Linear Features (km)]]*0.4)*100</f>
        <v>16.970560000000003</v>
      </c>
      <c r="R134" s="24">
        <v>10</v>
      </c>
      <c r="S134" s="3">
        <f>Table1[[#This Row],[ATG (ha)]]/Table1[[#This Row],[Linear Area (ha)]]</f>
        <v>0.58925574642203904</v>
      </c>
      <c r="T134" s="8" t="s">
        <v>22</v>
      </c>
      <c r="U134" s="8" t="s">
        <v>22</v>
      </c>
      <c r="V134" s="2" t="s">
        <v>22</v>
      </c>
      <c r="W134" s="2" t="s">
        <v>22</v>
      </c>
      <c r="X134" s="10">
        <v>5.7417999999999997E-2</v>
      </c>
      <c r="Y134" s="10">
        <f>Table1[[#This Row],[Raw Terrestrial Score]]/Table1[[#This Row],[Summed Raw Scores]]</f>
        <v>5.4300191598781182E-2</v>
      </c>
      <c r="Z134" s="10">
        <v>1</v>
      </c>
      <c r="AA134" s="10">
        <f>Table1[[#This Row],[Raw Freshwater Score]]/Table1[[#This Row],[Summed Raw Scores]]</f>
        <v>0.94569980840121881</v>
      </c>
      <c r="AB134" s="10">
        <f>Table1[[#This Row],[Raw Terrestrial Score]]+Table1[[#This Row],[Raw Freshwater Score]]</f>
        <v>1.057418</v>
      </c>
      <c r="AC134" s="11">
        <f>Table1[[#This Row],[Terrestrial % of Summed Score]]*Table1[[#This Row],[Scaled Summed Score]]</f>
        <v>7.0552523403438593E-6</v>
      </c>
      <c r="AD134" s="11">
        <f>Table1[[#This Row],[Freshwater % of Summed Score]]*Table1[[#This Row],[Scaled Summed Score]]</f>
        <v>1.2287527152363126E-4</v>
      </c>
      <c r="AE134" s="18">
        <f>Table1[[#This Row],[Summed Raw Scores]]/MAX(Table1[Summed Raw Scores])</f>
        <v>1.2993052386397512E-4</v>
      </c>
    </row>
    <row r="135" spans="1:31" x14ac:dyDescent="0.3">
      <c r="A135" s="8" t="s">
        <v>166</v>
      </c>
      <c r="B135" s="8" t="s">
        <v>37</v>
      </c>
      <c r="C135" s="8" t="s">
        <v>27</v>
      </c>
      <c r="D135" s="8" t="s">
        <v>182</v>
      </c>
      <c r="E135" s="27">
        <v>55.700000000499998</v>
      </c>
      <c r="F135" s="27">
        <v>-121.633333333</v>
      </c>
      <c r="G135" s="27">
        <v>0.92358257850000003</v>
      </c>
      <c r="H135" s="9">
        <v>1</v>
      </c>
      <c r="I135" s="9" t="s">
        <v>22</v>
      </c>
      <c r="J135" s="27">
        <v>7</v>
      </c>
      <c r="K135" s="27">
        <v>213.94</v>
      </c>
      <c r="L135" s="9" t="s">
        <v>22</v>
      </c>
      <c r="M135" s="27">
        <v>0</v>
      </c>
      <c r="N135" s="27">
        <v>0.42426399999999997</v>
      </c>
      <c r="O135" s="9">
        <f>Table1[[#This Row],[R1 Length (km)]]+Table1[[#This Row],[T1 Length (km)]]</f>
        <v>0.42426399999999997</v>
      </c>
      <c r="P135" s="26">
        <v>25</v>
      </c>
      <c r="Q135" s="9">
        <f>(Table1[[#This Row],[Linear Features (km)]]*0.4)*100</f>
        <v>16.970560000000003</v>
      </c>
      <c r="R135" s="24">
        <v>10</v>
      </c>
      <c r="S135" s="3">
        <f>Table1[[#This Row],[ATG (ha)]]/Table1[[#This Row],[Linear Area (ha)]]</f>
        <v>0.58925574642203904</v>
      </c>
      <c r="T135" s="8" t="s">
        <v>22</v>
      </c>
      <c r="U135" s="8" t="s">
        <v>22</v>
      </c>
      <c r="V135" s="2" t="s">
        <v>22</v>
      </c>
      <c r="W135" s="2" t="s">
        <v>22</v>
      </c>
      <c r="X135" s="10">
        <v>5.7417999999999997E-2</v>
      </c>
      <c r="Y135" s="10">
        <f>Table1[[#This Row],[Raw Terrestrial Score]]/Table1[[#This Row],[Summed Raw Scores]]</f>
        <v>5.4300191598781182E-2</v>
      </c>
      <c r="Z135" s="10">
        <v>1</v>
      </c>
      <c r="AA135" s="10">
        <f>Table1[[#This Row],[Raw Freshwater Score]]/Table1[[#This Row],[Summed Raw Scores]]</f>
        <v>0.94569980840121881</v>
      </c>
      <c r="AB135" s="10">
        <f>Table1[[#This Row],[Raw Terrestrial Score]]+Table1[[#This Row],[Raw Freshwater Score]]</f>
        <v>1.057418</v>
      </c>
      <c r="AC135" s="11">
        <f>Table1[[#This Row],[Terrestrial % of Summed Score]]*Table1[[#This Row],[Scaled Summed Score]]</f>
        <v>7.0552523403438593E-6</v>
      </c>
      <c r="AD135" s="11">
        <f>Table1[[#This Row],[Freshwater % of Summed Score]]*Table1[[#This Row],[Scaled Summed Score]]</f>
        <v>1.2287527152363126E-4</v>
      </c>
      <c r="AE135" s="18">
        <f>Table1[[#This Row],[Summed Raw Scores]]/MAX(Table1[Summed Raw Scores])</f>
        <v>1.2993052386397512E-4</v>
      </c>
    </row>
    <row r="136" spans="1:31" x14ac:dyDescent="0.3">
      <c r="A136" s="8" t="s">
        <v>167</v>
      </c>
      <c r="B136" s="8" t="s">
        <v>37</v>
      </c>
      <c r="C136" s="8" t="s">
        <v>30</v>
      </c>
      <c r="D136" s="8" t="s">
        <v>182</v>
      </c>
      <c r="E136" s="9">
        <v>54.052777778600003</v>
      </c>
      <c r="F136" s="9">
        <v>-128.65</v>
      </c>
      <c r="G136" s="9">
        <v>13.691422297000001</v>
      </c>
      <c r="H136" s="9">
        <v>13</v>
      </c>
      <c r="I136" s="9" t="s">
        <v>22</v>
      </c>
      <c r="J136" s="9">
        <v>109</v>
      </c>
      <c r="K136" s="9">
        <v>133.66</v>
      </c>
      <c r="L136" s="9" t="s">
        <v>22</v>
      </c>
      <c r="M136" s="27">
        <v>0</v>
      </c>
      <c r="N136" s="27">
        <v>4.7698499999999999</v>
      </c>
      <c r="O136" s="9">
        <f>Table1[[#This Row],[R1 Length (km)]]+Table1[[#This Row],[T1 Length (km)]]</f>
        <v>4.7698499999999999</v>
      </c>
      <c r="P136" s="26">
        <v>25</v>
      </c>
      <c r="Q136" s="9">
        <f>(Table1[[#This Row],[Linear Features (km)]]*0.4)*100</f>
        <v>190.79399999999998</v>
      </c>
      <c r="R136" s="1">
        <v>10</v>
      </c>
      <c r="S136" s="3">
        <f>Table1[[#This Row],[ATG (ha)]]/Table1[[#This Row],[Linear Area (ha)]]</f>
        <v>5.241254966089081E-2</v>
      </c>
      <c r="T136" s="8" t="s">
        <v>22</v>
      </c>
      <c r="U136" s="8" t="s">
        <v>22</v>
      </c>
      <c r="V136" s="2" t="s">
        <v>22</v>
      </c>
      <c r="W136" s="2" t="s">
        <v>22</v>
      </c>
      <c r="X136" s="10">
        <v>25.632370000000002</v>
      </c>
      <c r="Y136" s="10">
        <f>Table1[[#This Row],[Raw Terrestrial Score]]/Table1[[#This Row],[Summed Raw Scores]]</f>
        <v>0.31019768645144752</v>
      </c>
      <c r="Z136" s="10">
        <v>57</v>
      </c>
      <c r="AA136" s="10">
        <f>Table1[[#This Row],[Raw Freshwater Score]]/Table1[[#This Row],[Summed Raw Scores]]</f>
        <v>0.68980231354855237</v>
      </c>
      <c r="AB136" s="10">
        <f>Table1[[#This Row],[Raw Terrestrial Score]]+Table1[[#This Row],[Raw Freshwater Score]]</f>
        <v>82.632370000000009</v>
      </c>
      <c r="AC136" s="11">
        <f>Table1[[#This Row],[Terrestrial % of Summed Score]]*Table1[[#This Row],[Scaled Summed Score]]</f>
        <v>3.1495844235441806E-3</v>
      </c>
      <c r="AD136" s="11">
        <f>Table1[[#This Row],[Freshwater % of Summed Score]]*Table1[[#This Row],[Scaled Summed Score]]</f>
        <v>7.0038904768469816E-3</v>
      </c>
      <c r="AE136" s="18">
        <f>Table1[[#This Row],[Summed Raw Scores]]/MAX(Table1[Summed Raw Scores])</f>
        <v>1.0153474900391164E-2</v>
      </c>
    </row>
    <row r="137" spans="1:31" x14ac:dyDescent="0.3">
      <c r="A137" s="8" t="s">
        <v>79</v>
      </c>
      <c r="B137" s="8" t="s">
        <v>64</v>
      </c>
      <c r="C137" s="8" t="s">
        <v>30</v>
      </c>
      <c r="D137" s="8" t="s">
        <v>182</v>
      </c>
      <c r="E137" s="12">
        <v>54.5</v>
      </c>
      <c r="F137" s="12">
        <v>-128.35</v>
      </c>
      <c r="G137" s="9">
        <v>51.2</v>
      </c>
      <c r="H137" s="9">
        <v>40</v>
      </c>
      <c r="I137" s="9">
        <v>8</v>
      </c>
      <c r="J137" s="13">
        <v>208.4</v>
      </c>
      <c r="K137" s="13">
        <v>81.381647398843924</v>
      </c>
      <c r="L137" s="9" t="s">
        <v>22</v>
      </c>
      <c r="M137" s="28">
        <v>0</v>
      </c>
      <c r="N137" s="24">
        <v>16.482337649085515</v>
      </c>
      <c r="O137" s="1">
        <f>Table1[[#This Row],[R1 Length (km)]]+Table1[[#This Row],[T1 Length (km)]]</f>
        <v>16.482337649085515</v>
      </c>
      <c r="P137" s="25">
        <v>69</v>
      </c>
      <c r="Q137" s="1">
        <f>(Table1[[#This Row],[Linear Features (km)]]*0.4)*100</f>
        <v>659.29350596342067</v>
      </c>
      <c r="R137" s="1">
        <v>16.48</v>
      </c>
      <c r="S137" s="3">
        <f>Table1[[#This Row],[ATG (ha)]]/Table1[[#This Row],[Linear Area (ha)]]</f>
        <v>2.4996454311980366E-2</v>
      </c>
      <c r="T137" s="2" t="s">
        <v>22</v>
      </c>
      <c r="U137" s="2" t="s">
        <v>22</v>
      </c>
      <c r="V137" s="2" t="s">
        <v>22</v>
      </c>
      <c r="W137" s="2" t="s">
        <v>22</v>
      </c>
      <c r="X137" s="10">
        <v>31.08278</v>
      </c>
      <c r="Y137" s="10">
        <f>Table1[[#This Row],[Raw Terrestrial Score]]/Table1[[#This Row],[Summed Raw Scores]]</f>
        <v>0.10707205545974206</v>
      </c>
      <c r="Z137" s="10">
        <v>259.21499999999997</v>
      </c>
      <c r="AA137" s="10">
        <f>Table1[[#This Row],[Raw Freshwater Score]]/Table1[[#This Row],[Summed Raw Scores]]</f>
        <v>0.89292794454025792</v>
      </c>
      <c r="AB137" s="10">
        <f>Table1[[#This Row],[Raw Terrestrial Score]]+Table1[[#This Row],[Raw Freshwater Score]]</f>
        <v>290.29777999999999</v>
      </c>
      <c r="AC137" s="11">
        <f>Table1[[#This Row],[Terrestrial % of Summed Score]]*Table1[[#This Row],[Scaled Summed Score]]</f>
        <v>3.8193050322092954E-3</v>
      </c>
      <c r="AD137" s="11">
        <f>Table1[[#This Row],[Freshwater % of Summed Score]]*Table1[[#This Row],[Scaled Summed Score]]</f>
        <v>3.1851113507998081E-2</v>
      </c>
      <c r="AE137" s="18">
        <f>Table1[[#This Row],[Summed Raw Scores]]/MAX(Table1[Summed Raw Scores])</f>
        <v>3.5670418540207374E-2</v>
      </c>
    </row>
  </sheetData>
  <conditionalFormatting sqref="E100:N107 R100:S107 E2:AD94 AF2:AF94 S95:U99 H95:I99 L95:L99 S108:U135 H108:I135 L108:L135 T99:U135 O95:O135 Q95:Q135 X95:AD135">
    <cfRule type="containsText" dxfId="11" priority="21" operator="containsText" text="NA">
      <formula>NOT(ISERROR(SEARCH("NA",E2)))</formula>
    </cfRule>
  </conditionalFormatting>
  <conditionalFormatting sqref="J108:K112">
    <cfRule type="containsText" dxfId="10" priority="7" operator="containsText" text="NA">
      <formula>NOT(ISERROR(SEARCH("NA",J108)))</formula>
    </cfRule>
    <cfRule type="containsBlanks" dxfId="9" priority="8">
      <formula>LEN(TRIM(J108))=0</formula>
    </cfRule>
  </conditionalFormatting>
  <conditionalFormatting sqref="T58:U63 E100:N107 R100:S107 R2:W38 T39:U52 U38:U52 U54:U64 V39:W94 AF2:AF94 E2:S94 H95:I99 L95:L99 S95:S99 H108:I135 L108:L135 S108:S135 O95:O135 Q95:Q135 X2:AD137 T66:U135">
    <cfRule type="containsBlanks" dxfId="8" priority="23">
      <formula>LEN(TRIM(E2))=0</formula>
    </cfRule>
  </conditionalFormatting>
  <conditionalFormatting sqref="R136:W137 R138:T1048576 S95:T99 S108:T135 T1:U135">
    <cfRule type="beginsWith" dxfId="7" priority="19" operator="beginsWith" text="R">
      <formula>LEFT(R1,LEN("R"))="R"</formula>
    </cfRule>
  </conditionalFormatting>
  <conditionalFormatting sqref="R136:W137 R138:T1048576 S95:T99 S108:T135 T2:U135">
    <cfRule type="beginsWith" dxfId="6" priority="20" operator="beginsWith" text="P">
      <formula>LEFT(R2,LEN("P"))="P"</formula>
    </cfRule>
  </conditionalFormatting>
  <conditionalFormatting sqref="T136:W137">
    <cfRule type="containsBlanks" dxfId="5" priority="13">
      <formula>LEN(TRIM(T136))=0</formula>
    </cfRule>
    <cfRule type="containsText" dxfId="4" priority="14" operator="containsText" text="NA">
      <formula>NOT(ISERROR(SEARCH("NA",T136)))</formula>
    </cfRule>
  </conditionalFormatting>
  <conditionalFormatting sqref="V100:W135">
    <cfRule type="containsBlanks" dxfId="3" priority="9">
      <formula>LEN(TRIM(V100))=0</formula>
    </cfRule>
    <cfRule type="beginsWith" dxfId="2" priority="10" operator="beginsWith" text="R">
      <formula>LEFT(V100,LEN("R"))="R"</formula>
    </cfRule>
    <cfRule type="beginsWith" dxfId="1" priority="11" operator="beginsWith" text="P">
      <formula>LEFT(V100,LEN("P"))="P"</formula>
    </cfRule>
    <cfRule type="containsText" dxfId="0" priority="12" operator="containsText" text="NA">
      <formula>NOT(ISERROR(SEARCH("NA",V100)))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 k.</dc:creator>
  <cp:lastModifiedBy>valerie k.</cp:lastModifiedBy>
  <dcterms:created xsi:type="dcterms:W3CDTF">2015-06-05T18:17:20Z</dcterms:created>
  <dcterms:modified xsi:type="dcterms:W3CDTF">2025-02-19T21:52:34Z</dcterms:modified>
</cp:coreProperties>
</file>