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A70663CE-3729-45FC-8039-D8010AA07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" i="1" l="1"/>
  <c r="Z49" i="1"/>
  <c r="Z348" i="1"/>
  <c r="Z344" i="1"/>
  <c r="Z343" i="1"/>
  <c r="Z342" i="1"/>
  <c r="Z341" i="1"/>
  <c r="Z340" i="1"/>
  <c r="Z339" i="1"/>
  <c r="Z338" i="1"/>
  <c r="Z126" i="1"/>
  <c r="Z125" i="1"/>
  <c r="Z124" i="1"/>
  <c r="Z119" i="1"/>
  <c r="Z115" i="1"/>
  <c r="Z114" i="1"/>
  <c r="Z113" i="1"/>
  <c r="Z112" i="1"/>
  <c r="Z111" i="1"/>
  <c r="Z110" i="1"/>
  <c r="Z109" i="1"/>
  <c r="Z108" i="1"/>
  <c r="Z107" i="1"/>
  <c r="Z104" i="1"/>
  <c r="Z103" i="1"/>
  <c r="Z102" i="1"/>
  <c r="Z84" i="1"/>
  <c r="Z45" i="1"/>
  <c r="Z4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50" i="1"/>
  <c r="X49" i="1"/>
  <c r="X348" i="1"/>
  <c r="X344" i="1"/>
  <c r="X343" i="1"/>
  <c r="X342" i="1"/>
  <c r="X341" i="1"/>
  <c r="X340" i="1"/>
  <c r="X339" i="1"/>
  <c r="X338" i="1"/>
  <c r="X126" i="1"/>
  <c r="X125" i="1"/>
  <c r="X124" i="1"/>
  <c r="X119" i="1"/>
  <c r="X115" i="1"/>
  <c r="X114" i="1"/>
  <c r="X113" i="1"/>
  <c r="X112" i="1"/>
  <c r="X111" i="1"/>
  <c r="X110" i="1"/>
  <c r="X109" i="1"/>
  <c r="X108" i="1"/>
  <c r="X107" i="1"/>
  <c r="X104" i="1"/>
  <c r="X103" i="1"/>
  <c r="X102" i="1"/>
  <c r="X84" i="1"/>
  <c r="X47" i="1"/>
  <c r="X46" i="1"/>
  <c r="X45" i="1"/>
  <c r="X44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Z187" i="1"/>
  <c r="X155" i="1"/>
  <c r="O333" i="1"/>
  <c r="O332" i="1"/>
  <c r="O331" i="1"/>
  <c r="O330" i="1"/>
  <c r="O329" i="1"/>
  <c r="O328" i="1"/>
  <c r="O327" i="1"/>
  <c r="O2" i="1"/>
  <c r="Q2" i="1" s="1"/>
  <c r="S2" i="1" s="1"/>
  <c r="O3" i="1"/>
  <c r="O5" i="1"/>
  <c r="Q5" i="1" s="1"/>
  <c r="O6" i="1"/>
  <c r="O7" i="1"/>
  <c r="Q7" i="1" s="1"/>
  <c r="O8" i="1"/>
  <c r="O9" i="1"/>
  <c r="Q9" i="1" s="1"/>
  <c r="O10" i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2" i="1"/>
  <c r="Q22" i="1" s="1"/>
  <c r="S22" i="1" s="1"/>
  <c r="O23" i="1"/>
  <c r="O24" i="1"/>
  <c r="O25" i="1"/>
  <c r="Q25" i="1" s="1"/>
  <c r="S25" i="1" s="1"/>
  <c r="O27" i="1"/>
  <c r="Q27" i="1" s="1"/>
  <c r="S27" i="1" s="1"/>
  <c r="O28" i="1"/>
  <c r="O29" i="1"/>
  <c r="Q29" i="1" s="1"/>
  <c r="S29" i="1" s="1"/>
  <c r="O30" i="1"/>
  <c r="Q30" i="1" s="1"/>
  <c r="S30" i="1" s="1"/>
  <c r="O31" i="1"/>
  <c r="Q31" i="1" s="1"/>
  <c r="S31" i="1" s="1"/>
  <c r="O32" i="1"/>
  <c r="O33" i="1"/>
  <c r="Q33" i="1" s="1"/>
  <c r="S33" i="1" s="1"/>
  <c r="O34" i="1"/>
  <c r="O35" i="1"/>
  <c r="Q35" i="1" s="1"/>
  <c r="S35" i="1" s="1"/>
  <c r="O36" i="1"/>
  <c r="Q36" i="1" s="1"/>
  <c r="S36" i="1" s="1"/>
  <c r="O37" i="1"/>
  <c r="O38" i="1"/>
  <c r="Q38" i="1" s="1"/>
  <c r="S38" i="1" s="1"/>
  <c r="O39" i="1"/>
  <c r="Q39" i="1" s="1"/>
  <c r="S39" i="1" s="1"/>
  <c r="O40" i="1"/>
  <c r="Q40" i="1" s="1"/>
  <c r="S40" i="1" s="1"/>
  <c r="O41" i="1"/>
  <c r="O42" i="1"/>
  <c r="Q42" i="1" s="1"/>
  <c r="S42" i="1" s="1"/>
  <c r="O43" i="1"/>
  <c r="O44" i="1"/>
  <c r="Q44" i="1" s="1"/>
  <c r="O45" i="1"/>
  <c r="Q45" i="1" s="1"/>
  <c r="O46" i="1"/>
  <c r="Q46" i="1" s="1"/>
  <c r="O47" i="1"/>
  <c r="Q47" i="1" s="1"/>
  <c r="O48" i="1"/>
  <c r="O49" i="1"/>
  <c r="Q49" i="1" s="1"/>
  <c r="O50" i="1"/>
  <c r="Q50" i="1" s="1"/>
  <c r="O51" i="1"/>
  <c r="Q51" i="1" s="1"/>
  <c r="S51" i="1" s="1"/>
  <c r="O52" i="1"/>
  <c r="Q52" i="1" s="1"/>
  <c r="S52" i="1" s="1"/>
  <c r="O53" i="1"/>
  <c r="Q53" i="1" s="1"/>
  <c r="S53" i="1" s="1"/>
  <c r="O54" i="1"/>
  <c r="Q54" i="1" s="1"/>
  <c r="O55" i="1"/>
  <c r="Q55" i="1" s="1"/>
  <c r="S55" i="1" s="1"/>
  <c r="O56" i="1"/>
  <c r="O57" i="1"/>
  <c r="Q57" i="1" s="1"/>
  <c r="O58" i="1"/>
  <c r="Q58" i="1" s="1"/>
  <c r="O59" i="1"/>
  <c r="Q59" i="1" s="1"/>
  <c r="O60" i="1"/>
  <c r="Q60" i="1" s="1"/>
  <c r="S60" i="1" s="1"/>
  <c r="O61" i="1"/>
  <c r="Q61" i="1" s="1"/>
  <c r="O62" i="1"/>
  <c r="Q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O69" i="1"/>
  <c r="Q69" i="1" s="1"/>
  <c r="S69" i="1" s="1"/>
  <c r="O70" i="1"/>
  <c r="Q70" i="1" s="1"/>
  <c r="S70" i="1" s="1"/>
  <c r="O71" i="1"/>
  <c r="Q71" i="1" s="1"/>
  <c r="S71" i="1" s="1"/>
  <c r="O72" i="1"/>
  <c r="Q72" i="1" s="1"/>
  <c r="S72" i="1" s="1"/>
  <c r="O73" i="1"/>
  <c r="Q73" i="1" s="1"/>
  <c r="S73" i="1" s="1"/>
  <c r="O74" i="1"/>
  <c r="Q74" i="1" s="1"/>
  <c r="S74" i="1" s="1"/>
  <c r="O75" i="1"/>
  <c r="Q75" i="1" s="1"/>
  <c r="S75" i="1" s="1"/>
  <c r="O76" i="1"/>
  <c r="Q76" i="1" s="1"/>
  <c r="O77" i="1"/>
  <c r="Q77" i="1" s="1"/>
  <c r="O78" i="1"/>
  <c r="Q78" i="1" s="1"/>
  <c r="O79" i="1"/>
  <c r="Q79" i="1" s="1"/>
  <c r="S79" i="1" s="1"/>
  <c r="O80" i="1"/>
  <c r="Q80" i="1" s="1"/>
  <c r="S80" i="1" s="1"/>
  <c r="O81" i="1"/>
  <c r="Q81" i="1" s="1"/>
  <c r="S81" i="1" s="1"/>
  <c r="O82" i="1"/>
  <c r="Q82" i="1" s="1"/>
  <c r="S82" i="1" s="1"/>
  <c r="O83" i="1"/>
  <c r="Q83" i="1" s="1"/>
  <c r="O84" i="1"/>
  <c r="Q84" i="1" s="1"/>
  <c r="O85" i="1"/>
  <c r="Q85" i="1" s="1"/>
  <c r="S85" i="1" s="1"/>
  <c r="O86" i="1"/>
  <c r="Q86" i="1" s="1"/>
  <c r="S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S90" i="1" s="1"/>
  <c r="O91" i="1"/>
  <c r="Q91" i="1" s="1"/>
  <c r="S91" i="1" s="1"/>
  <c r="O92" i="1"/>
  <c r="Q92" i="1" s="1"/>
  <c r="S92" i="1" s="1"/>
  <c r="O93" i="1"/>
  <c r="Q93" i="1" s="1"/>
  <c r="O94" i="1"/>
  <c r="Q94" i="1" s="1"/>
  <c r="S94" i="1" s="1"/>
  <c r="O95" i="1"/>
  <c r="Q95" i="1" s="1"/>
  <c r="O96" i="1"/>
  <c r="Q96" i="1" s="1"/>
  <c r="S96" i="1" s="1"/>
  <c r="O97" i="1"/>
  <c r="Q97" i="1" s="1"/>
  <c r="S97" i="1" s="1"/>
  <c r="O98" i="1"/>
  <c r="Q98" i="1" s="1"/>
  <c r="S98" i="1" s="1"/>
  <c r="O99" i="1"/>
  <c r="O100" i="1"/>
  <c r="Q100" i="1" s="1"/>
  <c r="S100" i="1" s="1"/>
  <c r="O101" i="1"/>
  <c r="Q101" i="1" s="1"/>
  <c r="S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S116" i="1" s="1"/>
  <c r="O117" i="1"/>
  <c r="Q117" i="1" s="1"/>
  <c r="S117" i="1" s="1"/>
  <c r="O118" i="1"/>
  <c r="Q118" i="1" s="1"/>
  <c r="S118" i="1" s="1"/>
  <c r="O119" i="1"/>
  <c r="Q119" i="1" s="1"/>
  <c r="O120" i="1"/>
  <c r="O121" i="1"/>
  <c r="Q121" i="1" s="1"/>
  <c r="S121" i="1" s="1"/>
  <c r="O122" i="1"/>
  <c r="O123" i="1"/>
  <c r="Q123" i="1" s="1"/>
  <c r="S123" i="1" s="1"/>
  <c r="O124" i="1"/>
  <c r="Q124" i="1" s="1"/>
  <c r="O125" i="1"/>
  <c r="O126" i="1"/>
  <c r="Q126" i="1" s="1"/>
  <c r="O127" i="1"/>
  <c r="Q127" i="1" s="1"/>
  <c r="S127" i="1" s="1"/>
  <c r="O128" i="1"/>
  <c r="O129" i="1"/>
  <c r="Q129" i="1" s="1"/>
  <c r="S129" i="1" s="1"/>
  <c r="O130" i="1"/>
  <c r="Q130" i="1" s="1"/>
  <c r="S130" i="1" s="1"/>
  <c r="O131" i="1"/>
  <c r="Q131" i="1" s="1"/>
  <c r="S131" i="1" s="1"/>
  <c r="O132" i="1"/>
  <c r="O133" i="1"/>
  <c r="Q133" i="1" s="1"/>
  <c r="S133" i="1" s="1"/>
  <c r="O134" i="1"/>
  <c r="Q134" i="1" s="1"/>
  <c r="S134" i="1" s="1"/>
  <c r="O135" i="1"/>
  <c r="Q135" i="1" s="1"/>
  <c r="S135" i="1" s="1"/>
  <c r="O136" i="1"/>
  <c r="O137" i="1"/>
  <c r="Q137" i="1" s="1"/>
  <c r="S137" i="1" s="1"/>
  <c r="O138" i="1"/>
  <c r="Q138" i="1" s="1"/>
  <c r="S138" i="1" s="1"/>
  <c r="O139" i="1"/>
  <c r="Q139" i="1" s="1"/>
  <c r="S139" i="1" s="1"/>
  <c r="O140" i="1"/>
  <c r="Q140" i="1" s="1"/>
  <c r="S140" i="1" s="1"/>
  <c r="O141" i="1"/>
  <c r="Q141" i="1" s="1"/>
  <c r="S141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O146" i="1"/>
  <c r="Q146" i="1" s="1"/>
  <c r="S146" i="1" s="1"/>
  <c r="O147" i="1"/>
  <c r="O148" i="1"/>
  <c r="O149" i="1"/>
  <c r="Q149" i="1" s="1"/>
  <c r="S149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O154" i="1"/>
  <c r="Q154" i="1" s="1"/>
  <c r="S154" i="1" s="1"/>
  <c r="O155" i="1"/>
  <c r="Q155" i="1" s="1"/>
  <c r="S155" i="1" s="1"/>
  <c r="O156" i="1"/>
  <c r="Q156" i="1" s="1"/>
  <c r="S156" i="1" s="1"/>
  <c r="O157" i="1"/>
  <c r="Q157" i="1" s="1"/>
  <c r="S157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O162" i="1"/>
  <c r="Q162" i="1" s="1"/>
  <c r="S162" i="1" s="1"/>
  <c r="O163" i="1"/>
  <c r="Q163" i="1" s="1"/>
  <c r="S163" i="1" s="1"/>
  <c r="O164" i="1"/>
  <c r="Q164" i="1" s="1"/>
  <c r="S164" i="1" s="1"/>
  <c r="O165" i="1"/>
  <c r="Q165" i="1" s="1"/>
  <c r="S165" i="1" s="1"/>
  <c r="O166" i="1"/>
  <c r="Q166" i="1" s="1"/>
  <c r="S166" i="1" s="1"/>
  <c r="O167" i="1"/>
  <c r="Q167" i="1" s="1"/>
  <c r="S167" i="1" s="1"/>
  <c r="O168" i="1"/>
  <c r="Q168" i="1" s="1"/>
  <c r="S168" i="1" s="1"/>
  <c r="O169" i="1"/>
  <c r="Q169" i="1" s="1"/>
  <c r="S169" i="1" s="1"/>
  <c r="O170" i="1"/>
  <c r="Q170" i="1" s="1"/>
  <c r="S170" i="1" s="1"/>
  <c r="O171" i="1"/>
  <c r="Q171" i="1" s="1"/>
  <c r="S171" i="1" s="1"/>
  <c r="O172" i="1"/>
  <c r="Q172" i="1" s="1"/>
  <c r="S172" i="1" s="1"/>
  <c r="O173" i="1"/>
  <c r="Q173" i="1" s="1"/>
  <c r="S173" i="1" s="1"/>
  <c r="O174" i="1"/>
  <c r="Q174" i="1" s="1"/>
  <c r="S174" i="1" s="1"/>
  <c r="O175" i="1"/>
  <c r="Q175" i="1" s="1"/>
  <c r="S175" i="1" s="1"/>
  <c r="O176" i="1"/>
  <c r="Q176" i="1" s="1"/>
  <c r="S176" i="1" s="1"/>
  <c r="O177" i="1"/>
  <c r="Q177" i="1" s="1"/>
  <c r="S177" i="1" s="1"/>
  <c r="O178" i="1"/>
  <c r="Q178" i="1" s="1"/>
  <c r="S178" i="1" s="1"/>
  <c r="O179" i="1"/>
  <c r="Q179" i="1" s="1"/>
  <c r="S179" i="1" s="1"/>
  <c r="O180" i="1"/>
  <c r="Q180" i="1" s="1"/>
  <c r="S180" i="1" s="1"/>
  <c r="O181" i="1"/>
  <c r="Q181" i="1" s="1"/>
  <c r="S181" i="1" s="1"/>
  <c r="O182" i="1"/>
  <c r="Q182" i="1" s="1"/>
  <c r="S182" i="1" s="1"/>
  <c r="O183" i="1"/>
  <c r="Q183" i="1" s="1"/>
  <c r="S183" i="1" s="1"/>
  <c r="O184" i="1"/>
  <c r="Q184" i="1" s="1"/>
  <c r="S184" i="1" s="1"/>
  <c r="O185" i="1"/>
  <c r="Q185" i="1" s="1"/>
  <c r="S185" i="1" s="1"/>
  <c r="O186" i="1"/>
  <c r="Q186" i="1" s="1"/>
  <c r="S186" i="1" s="1"/>
  <c r="O187" i="1"/>
  <c r="Q187" i="1" s="1"/>
  <c r="S187" i="1" s="1"/>
  <c r="O188" i="1"/>
  <c r="Q188" i="1" s="1"/>
  <c r="S188" i="1" s="1"/>
  <c r="O189" i="1"/>
  <c r="Q189" i="1" s="1"/>
  <c r="S189" i="1" s="1"/>
  <c r="O190" i="1"/>
  <c r="Q190" i="1" s="1"/>
  <c r="S190" i="1" s="1"/>
  <c r="O191" i="1"/>
  <c r="Q191" i="1" s="1"/>
  <c r="S191" i="1" s="1"/>
  <c r="O192" i="1"/>
  <c r="O193" i="1"/>
  <c r="Q193" i="1" s="1"/>
  <c r="S193" i="1" s="1"/>
  <c r="O194" i="1"/>
  <c r="O195" i="1"/>
  <c r="Q195" i="1" s="1"/>
  <c r="S195" i="1" s="1"/>
  <c r="O196" i="1"/>
  <c r="Q196" i="1" s="1"/>
  <c r="S196" i="1" s="1"/>
  <c r="O197" i="1"/>
  <c r="Q197" i="1" s="1"/>
  <c r="S197" i="1" s="1"/>
  <c r="O198" i="1"/>
  <c r="Q198" i="1" s="1"/>
  <c r="S198" i="1" s="1"/>
  <c r="O199" i="1"/>
  <c r="Q199" i="1" s="1"/>
  <c r="S199" i="1" s="1"/>
  <c r="O200" i="1"/>
  <c r="Q200" i="1" s="1"/>
  <c r="S200" i="1" s="1"/>
  <c r="O201" i="1"/>
  <c r="O202" i="1"/>
  <c r="Q202" i="1" s="1"/>
  <c r="S202" i="1" s="1"/>
  <c r="O203" i="1"/>
  <c r="Q203" i="1" s="1"/>
  <c r="S203" i="1" s="1"/>
  <c r="O204" i="1"/>
  <c r="Q204" i="1" s="1"/>
  <c r="S204" i="1" s="1"/>
  <c r="O205" i="1"/>
  <c r="Q205" i="1" s="1"/>
  <c r="S205" i="1" s="1"/>
  <c r="O206" i="1"/>
  <c r="Q206" i="1" s="1"/>
  <c r="S206" i="1" s="1"/>
  <c r="O207" i="1"/>
  <c r="Q207" i="1" s="1"/>
  <c r="S207" i="1" s="1"/>
  <c r="O208" i="1"/>
  <c r="Q208" i="1" s="1"/>
  <c r="S208" i="1" s="1"/>
  <c r="O209" i="1"/>
  <c r="Q209" i="1" s="1"/>
  <c r="S209" i="1" s="1"/>
  <c r="O210" i="1"/>
  <c r="Q210" i="1" s="1"/>
  <c r="S210" i="1" s="1"/>
  <c r="O211" i="1"/>
  <c r="Q211" i="1" s="1"/>
  <c r="S211" i="1" s="1"/>
  <c r="O212" i="1"/>
  <c r="Q212" i="1" s="1"/>
  <c r="S212" i="1" s="1"/>
  <c r="O213" i="1"/>
  <c r="Q213" i="1" s="1"/>
  <c r="S213" i="1" s="1"/>
  <c r="O214" i="1"/>
  <c r="Q214" i="1" s="1"/>
  <c r="S214" i="1" s="1"/>
  <c r="O215" i="1"/>
  <c r="Q215" i="1" s="1"/>
  <c r="S215" i="1" s="1"/>
  <c r="O216" i="1"/>
  <c r="Q216" i="1" s="1"/>
  <c r="S216" i="1" s="1"/>
  <c r="O217" i="1"/>
  <c r="Q217" i="1" s="1"/>
  <c r="S217" i="1" s="1"/>
  <c r="O218" i="1"/>
  <c r="Q218" i="1" s="1"/>
  <c r="S218" i="1" s="1"/>
  <c r="O219" i="1"/>
  <c r="Q219" i="1" s="1"/>
  <c r="S219" i="1" s="1"/>
  <c r="O220" i="1"/>
  <c r="Q220" i="1" s="1"/>
  <c r="S220" i="1" s="1"/>
  <c r="O221" i="1"/>
  <c r="Q221" i="1" s="1"/>
  <c r="S221" i="1" s="1"/>
  <c r="O222" i="1"/>
  <c r="Q222" i="1" s="1"/>
  <c r="S222" i="1" s="1"/>
  <c r="O223" i="1"/>
  <c r="Q223" i="1" s="1"/>
  <c r="S223" i="1" s="1"/>
  <c r="O224" i="1"/>
  <c r="Q224" i="1" s="1"/>
  <c r="S224" i="1" s="1"/>
  <c r="O225" i="1"/>
  <c r="Q225" i="1" s="1"/>
  <c r="S225" i="1" s="1"/>
  <c r="O226" i="1"/>
  <c r="Q226" i="1" s="1"/>
  <c r="S226" i="1" s="1"/>
  <c r="O227" i="1"/>
  <c r="Q227" i="1" s="1"/>
  <c r="S227" i="1" s="1"/>
  <c r="O228" i="1"/>
  <c r="Q228" i="1" s="1"/>
  <c r="S228" i="1" s="1"/>
  <c r="O229" i="1"/>
  <c r="Q229" i="1" s="1"/>
  <c r="S229" i="1" s="1"/>
  <c r="O230" i="1"/>
  <c r="Q230" i="1" s="1"/>
  <c r="S230" i="1" s="1"/>
  <c r="O231" i="1"/>
  <c r="Q231" i="1" s="1"/>
  <c r="S231" i="1" s="1"/>
  <c r="O232" i="1"/>
  <c r="Q232" i="1" s="1"/>
  <c r="S232" i="1" s="1"/>
  <c r="O233" i="1"/>
  <c r="O234" i="1"/>
  <c r="Q234" i="1" s="1"/>
  <c r="S234" i="1" s="1"/>
  <c r="O235" i="1"/>
  <c r="Q235" i="1" s="1"/>
  <c r="S235" i="1" s="1"/>
  <c r="O236" i="1"/>
  <c r="Q236" i="1" s="1"/>
  <c r="S236" i="1" s="1"/>
  <c r="O237" i="1"/>
  <c r="Q237" i="1" s="1"/>
  <c r="S237" i="1" s="1"/>
  <c r="O238" i="1"/>
  <c r="Q238" i="1" s="1"/>
  <c r="S238" i="1" s="1"/>
  <c r="O239" i="1"/>
  <c r="Q239" i="1" s="1"/>
  <c r="S239" i="1" s="1"/>
  <c r="O240" i="1"/>
  <c r="Q240" i="1" s="1"/>
  <c r="S240" i="1" s="1"/>
  <c r="O241" i="1"/>
  <c r="Q241" i="1" s="1"/>
  <c r="S241" i="1" s="1"/>
  <c r="O242" i="1"/>
  <c r="O243" i="1"/>
  <c r="Q243" i="1" s="1"/>
  <c r="S243" i="1" s="1"/>
  <c r="O244" i="1"/>
  <c r="Q244" i="1" s="1"/>
  <c r="S244" i="1" s="1"/>
  <c r="O245" i="1"/>
  <c r="Q245" i="1" s="1"/>
  <c r="S245" i="1" s="1"/>
  <c r="O246" i="1"/>
  <c r="Q246" i="1" s="1"/>
  <c r="S246" i="1" s="1"/>
  <c r="O247" i="1"/>
  <c r="Q247" i="1" s="1"/>
  <c r="S247" i="1" s="1"/>
  <c r="O248" i="1"/>
  <c r="Q248" i="1" s="1"/>
  <c r="S248" i="1" s="1"/>
  <c r="O249" i="1"/>
  <c r="Q249" i="1" s="1"/>
  <c r="S249" i="1" s="1"/>
  <c r="O250" i="1"/>
  <c r="Q250" i="1" s="1"/>
  <c r="S250" i="1" s="1"/>
  <c r="O251" i="1"/>
  <c r="Q251" i="1" s="1"/>
  <c r="S251" i="1" s="1"/>
  <c r="O252" i="1"/>
  <c r="Q252" i="1" s="1"/>
  <c r="S252" i="1" s="1"/>
  <c r="O253" i="1"/>
  <c r="Q253" i="1" s="1"/>
  <c r="S253" i="1" s="1"/>
  <c r="O254" i="1"/>
  <c r="Q254" i="1" s="1"/>
  <c r="S254" i="1" s="1"/>
  <c r="O255" i="1"/>
  <c r="Q255" i="1" s="1"/>
  <c r="S255" i="1" s="1"/>
  <c r="O256" i="1"/>
  <c r="Q256" i="1" s="1"/>
  <c r="S256" i="1" s="1"/>
  <c r="O257" i="1"/>
  <c r="Q257" i="1" s="1"/>
  <c r="S257" i="1" s="1"/>
  <c r="O258" i="1"/>
  <c r="Q258" i="1" s="1"/>
  <c r="S258" i="1" s="1"/>
  <c r="O259" i="1"/>
  <c r="Q259" i="1" s="1"/>
  <c r="S259" i="1" s="1"/>
  <c r="O260" i="1"/>
  <c r="Q260" i="1" s="1"/>
  <c r="S260" i="1" s="1"/>
  <c r="O261" i="1"/>
  <c r="Q261" i="1" s="1"/>
  <c r="S261" i="1" s="1"/>
  <c r="O262" i="1"/>
  <c r="Q262" i="1" s="1"/>
  <c r="S262" i="1" s="1"/>
  <c r="O263" i="1"/>
  <c r="Q263" i="1" s="1"/>
  <c r="S263" i="1" s="1"/>
  <c r="O264" i="1"/>
  <c r="Q264" i="1" s="1"/>
  <c r="S264" i="1" s="1"/>
  <c r="O265" i="1"/>
  <c r="Q265" i="1" s="1"/>
  <c r="S265" i="1" s="1"/>
  <c r="O266" i="1"/>
  <c r="Q266" i="1" s="1"/>
  <c r="S266" i="1" s="1"/>
  <c r="O267" i="1"/>
  <c r="Q267" i="1" s="1"/>
  <c r="S267" i="1" s="1"/>
  <c r="O268" i="1"/>
  <c r="Q268" i="1" s="1"/>
  <c r="S268" i="1" s="1"/>
  <c r="O269" i="1"/>
  <c r="Q269" i="1" s="1"/>
  <c r="S269" i="1" s="1"/>
  <c r="O270" i="1"/>
  <c r="Q270" i="1" s="1"/>
  <c r="S270" i="1" s="1"/>
  <c r="O271" i="1"/>
  <c r="Q271" i="1" s="1"/>
  <c r="S271" i="1" s="1"/>
  <c r="O272" i="1"/>
  <c r="Q272" i="1" s="1"/>
  <c r="S272" i="1" s="1"/>
  <c r="O273" i="1"/>
  <c r="Q273" i="1" s="1"/>
  <c r="S273" i="1" s="1"/>
  <c r="O274" i="1"/>
  <c r="Q274" i="1" s="1"/>
  <c r="S274" i="1" s="1"/>
  <c r="O275" i="1"/>
  <c r="Q275" i="1" s="1"/>
  <c r="S275" i="1" s="1"/>
  <c r="O276" i="1"/>
  <c r="Q276" i="1" s="1"/>
  <c r="S276" i="1" s="1"/>
  <c r="O277" i="1"/>
  <c r="Q277" i="1" s="1"/>
  <c r="S277" i="1" s="1"/>
  <c r="O278" i="1"/>
  <c r="Q278" i="1" s="1"/>
  <c r="S278" i="1" s="1"/>
  <c r="O279" i="1"/>
  <c r="Q279" i="1" s="1"/>
  <c r="S279" i="1" s="1"/>
  <c r="O280" i="1"/>
  <c r="Q280" i="1" s="1"/>
  <c r="S280" i="1" s="1"/>
  <c r="O281" i="1"/>
  <c r="Q281" i="1" s="1"/>
  <c r="S281" i="1" s="1"/>
  <c r="O282" i="1"/>
  <c r="Q282" i="1" s="1"/>
  <c r="S282" i="1" s="1"/>
  <c r="O283" i="1"/>
  <c r="Q283" i="1" s="1"/>
  <c r="S283" i="1" s="1"/>
  <c r="O284" i="1"/>
  <c r="Q284" i="1" s="1"/>
  <c r="S284" i="1" s="1"/>
  <c r="O285" i="1"/>
  <c r="Q285" i="1" s="1"/>
  <c r="S285" i="1" s="1"/>
  <c r="O286" i="1"/>
  <c r="Q286" i="1" s="1"/>
  <c r="S286" i="1" s="1"/>
  <c r="O287" i="1"/>
  <c r="Q287" i="1" s="1"/>
  <c r="S287" i="1" s="1"/>
  <c r="O288" i="1"/>
  <c r="Q288" i="1" s="1"/>
  <c r="S288" i="1" s="1"/>
  <c r="O289" i="1"/>
  <c r="Q289" i="1" s="1"/>
  <c r="S289" i="1" s="1"/>
  <c r="O290" i="1"/>
  <c r="Q290" i="1" s="1"/>
  <c r="S290" i="1" s="1"/>
  <c r="O291" i="1"/>
  <c r="Q291" i="1" s="1"/>
  <c r="S291" i="1" s="1"/>
  <c r="O292" i="1"/>
  <c r="Q292" i="1" s="1"/>
  <c r="S292" i="1" s="1"/>
  <c r="O293" i="1"/>
  <c r="Q293" i="1" s="1"/>
  <c r="S293" i="1" s="1"/>
  <c r="O294" i="1"/>
  <c r="Q294" i="1" s="1"/>
  <c r="S294" i="1" s="1"/>
  <c r="O295" i="1"/>
  <c r="Q295" i="1" s="1"/>
  <c r="S295" i="1" s="1"/>
  <c r="O296" i="1"/>
  <c r="Q296" i="1" s="1"/>
  <c r="S296" i="1" s="1"/>
  <c r="O297" i="1"/>
  <c r="Q297" i="1" s="1"/>
  <c r="S297" i="1" s="1"/>
  <c r="O298" i="1"/>
  <c r="Q298" i="1" s="1"/>
  <c r="S298" i="1" s="1"/>
  <c r="O299" i="1"/>
  <c r="Q299" i="1" s="1"/>
  <c r="S299" i="1" s="1"/>
  <c r="O300" i="1"/>
  <c r="Q300" i="1" s="1"/>
  <c r="S300" i="1" s="1"/>
  <c r="O301" i="1"/>
  <c r="Q301" i="1" s="1"/>
  <c r="S301" i="1" s="1"/>
  <c r="O302" i="1"/>
  <c r="Q302" i="1" s="1"/>
  <c r="S302" i="1" s="1"/>
  <c r="O303" i="1"/>
  <c r="Q303" i="1" s="1"/>
  <c r="S303" i="1" s="1"/>
  <c r="O304" i="1"/>
  <c r="Q304" i="1" s="1"/>
  <c r="S304" i="1" s="1"/>
  <c r="O305" i="1"/>
  <c r="Q305" i="1" s="1"/>
  <c r="S305" i="1" s="1"/>
  <c r="O306" i="1"/>
  <c r="Q306" i="1" s="1"/>
  <c r="S306" i="1" s="1"/>
  <c r="O307" i="1"/>
  <c r="Q307" i="1" s="1"/>
  <c r="S307" i="1" s="1"/>
  <c r="O308" i="1"/>
  <c r="Q308" i="1" s="1"/>
  <c r="S308" i="1" s="1"/>
  <c r="O309" i="1"/>
  <c r="Q309" i="1" s="1"/>
  <c r="S309" i="1" s="1"/>
  <c r="O310" i="1"/>
  <c r="Q310" i="1" s="1"/>
  <c r="S310" i="1" s="1"/>
  <c r="O311" i="1"/>
  <c r="Q311" i="1" s="1"/>
  <c r="S311" i="1" s="1"/>
  <c r="O312" i="1"/>
  <c r="Q312" i="1" s="1"/>
  <c r="S312" i="1" s="1"/>
  <c r="O313" i="1"/>
  <c r="Q313" i="1" s="1"/>
  <c r="S313" i="1" s="1"/>
  <c r="O314" i="1"/>
  <c r="Q314" i="1" s="1"/>
  <c r="S314" i="1" s="1"/>
  <c r="O315" i="1"/>
  <c r="Q315" i="1" s="1"/>
  <c r="S315" i="1" s="1"/>
  <c r="O316" i="1"/>
  <c r="Q316" i="1" s="1"/>
  <c r="S316" i="1" s="1"/>
  <c r="O317" i="1"/>
  <c r="Q317" i="1" s="1"/>
  <c r="S317" i="1" s="1"/>
  <c r="O318" i="1"/>
  <c r="Q318" i="1" s="1"/>
  <c r="S318" i="1" s="1"/>
  <c r="O319" i="1"/>
  <c r="Q319" i="1" s="1"/>
  <c r="S319" i="1" s="1"/>
  <c r="O320" i="1"/>
  <c r="Q320" i="1" s="1"/>
  <c r="S320" i="1" s="1"/>
  <c r="O321" i="1"/>
  <c r="Q321" i="1" s="1"/>
  <c r="S321" i="1" s="1"/>
  <c r="O322" i="1"/>
  <c r="Q322" i="1" s="1"/>
  <c r="S322" i="1" s="1"/>
  <c r="O323" i="1"/>
  <c r="Q323" i="1" s="1"/>
  <c r="S323" i="1" s="1"/>
  <c r="O324" i="1"/>
  <c r="Q324" i="1" s="1"/>
  <c r="S324" i="1" s="1"/>
  <c r="O325" i="1"/>
  <c r="O326" i="1"/>
  <c r="O334" i="1"/>
  <c r="Q334" i="1" s="1"/>
  <c r="S334" i="1" s="1"/>
  <c r="O335" i="1"/>
  <c r="Q335" i="1" s="1"/>
  <c r="S335" i="1" s="1"/>
  <c r="O336" i="1"/>
  <c r="Q336" i="1" s="1"/>
  <c r="S336" i="1" s="1"/>
  <c r="O337" i="1"/>
  <c r="Q337" i="1" s="1"/>
  <c r="S337" i="1" s="1"/>
  <c r="O4" i="1"/>
  <c r="Q4" i="1" s="1"/>
  <c r="S4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S345" i="1" s="1"/>
  <c r="O346" i="1"/>
  <c r="Q346" i="1" s="1"/>
  <c r="S346" i="1" s="1"/>
  <c r="O347" i="1"/>
  <c r="Q347" i="1" s="1"/>
  <c r="S347" i="1" s="1"/>
  <c r="O348" i="1"/>
  <c r="Q348" i="1" s="1"/>
  <c r="O349" i="1"/>
  <c r="Q349" i="1" s="1"/>
  <c r="S349" i="1" s="1"/>
  <c r="O350" i="1"/>
  <c r="Q350" i="1" s="1"/>
  <c r="S350" i="1" s="1"/>
  <c r="O351" i="1"/>
  <c r="Q351" i="1" s="1"/>
  <c r="S351" i="1" s="1"/>
  <c r="O352" i="1"/>
  <c r="O353" i="1"/>
  <c r="Q353" i="1" s="1"/>
  <c r="S353" i="1" s="1"/>
  <c r="O354" i="1"/>
  <c r="O355" i="1"/>
  <c r="O356" i="1"/>
  <c r="Q356" i="1" s="1"/>
  <c r="S356" i="1" s="1"/>
  <c r="O357" i="1"/>
  <c r="Q357" i="1" s="1"/>
  <c r="S357" i="1" s="1"/>
  <c r="O358" i="1"/>
  <c r="O359" i="1"/>
  <c r="Q359" i="1" s="1"/>
  <c r="S359" i="1" s="1"/>
  <c r="O360" i="1"/>
  <c r="Q360" i="1" s="1"/>
  <c r="S360" i="1" s="1"/>
  <c r="O361" i="1"/>
  <c r="Q361" i="1" s="1"/>
  <c r="S361" i="1" s="1"/>
  <c r="O362" i="1"/>
  <c r="Q362" i="1" s="1"/>
  <c r="S362" i="1" s="1"/>
  <c r="O26" i="1"/>
  <c r="Q26" i="1" s="1"/>
  <c r="S26" i="1" s="1"/>
  <c r="O21" i="1"/>
  <c r="Q21" i="1" s="1"/>
  <c r="S21" i="1" s="1"/>
  <c r="AB21" i="1"/>
  <c r="Y21" i="1" s="1"/>
  <c r="AB26" i="1"/>
  <c r="Y26" i="1" s="1"/>
  <c r="AB138" i="1"/>
  <c r="Y138" i="1" s="1"/>
  <c r="AB313" i="1"/>
  <c r="Y313" i="1" s="1"/>
  <c r="AB146" i="1"/>
  <c r="Y146" i="1" s="1"/>
  <c r="AB306" i="1"/>
  <c r="Y306" i="1" s="1"/>
  <c r="AB133" i="1"/>
  <c r="Y133" i="1" s="1"/>
  <c r="AB312" i="1"/>
  <c r="AA312" i="1" s="1"/>
  <c r="AB314" i="1"/>
  <c r="Y314" i="1" s="1"/>
  <c r="AB268" i="1"/>
  <c r="Y268" i="1" s="1"/>
  <c r="AB310" i="1"/>
  <c r="Y310" i="1" s="1"/>
  <c r="AB140" i="1"/>
  <c r="Y140" i="1" s="1"/>
  <c r="AB214" i="1"/>
  <c r="Y214" i="1" s="1"/>
  <c r="Q147" i="1"/>
  <c r="S147" i="1" s="1"/>
  <c r="AB147" i="1"/>
  <c r="Y147" i="1" s="1"/>
  <c r="AB199" i="1"/>
  <c r="Y199" i="1" s="1"/>
  <c r="AB299" i="1"/>
  <c r="Y299" i="1" s="1"/>
  <c r="AB142" i="1"/>
  <c r="Y142" i="1" s="1"/>
  <c r="AB144" i="1"/>
  <c r="AA144" i="1" s="1"/>
  <c r="AB240" i="1"/>
  <c r="Y240" i="1" s="1"/>
  <c r="AB197" i="1"/>
  <c r="Y197" i="1" s="1"/>
  <c r="AB304" i="1"/>
  <c r="Y304" i="1" s="1"/>
  <c r="AB303" i="1"/>
  <c r="AA303" i="1" s="1"/>
  <c r="AB277" i="1"/>
  <c r="Y277" i="1" s="1"/>
  <c r="AB273" i="1"/>
  <c r="Y273" i="1" s="1"/>
  <c r="AB322" i="1"/>
  <c r="AA322" i="1" s="1"/>
  <c r="AB251" i="1"/>
  <c r="Y251" i="1" s="1"/>
  <c r="AB179" i="1"/>
  <c r="Y179" i="1" s="1"/>
  <c r="AB276" i="1"/>
  <c r="AA276" i="1" s="1"/>
  <c r="AB270" i="1"/>
  <c r="Y270" i="1" s="1"/>
  <c r="AB137" i="1"/>
  <c r="AA137" i="1" s="1"/>
  <c r="AB186" i="1"/>
  <c r="Y186" i="1" s="1"/>
  <c r="AB293" i="1"/>
  <c r="Y293" i="1" s="1"/>
  <c r="AB308" i="1"/>
  <c r="Y308" i="1" s="1"/>
  <c r="AB180" i="1"/>
  <c r="Y180" i="1" s="1"/>
  <c r="AB250" i="1"/>
  <c r="Y250" i="1" s="1"/>
  <c r="AB296" i="1"/>
  <c r="Y296" i="1" s="1"/>
  <c r="AB244" i="1"/>
  <c r="Y244" i="1" s="1"/>
  <c r="AB295" i="1"/>
  <c r="Y295" i="1" s="1"/>
  <c r="AB315" i="1"/>
  <c r="Y315" i="1" s="1"/>
  <c r="AB249" i="1"/>
  <c r="Y249" i="1" s="1"/>
  <c r="AB302" i="1"/>
  <c r="Y302" i="1" s="1"/>
  <c r="AB320" i="1"/>
  <c r="Y320" i="1" s="1"/>
  <c r="Q148" i="1"/>
  <c r="S148" i="1" s="1"/>
  <c r="AB148" i="1"/>
  <c r="AA148" i="1" s="1"/>
  <c r="AB196" i="1"/>
  <c r="Y196" i="1" s="1"/>
  <c r="AB265" i="1"/>
  <c r="Y265" i="1" s="1"/>
  <c r="AB182" i="1"/>
  <c r="AA182" i="1" s="1"/>
  <c r="AB213" i="1"/>
  <c r="Y213" i="1" s="1"/>
  <c r="AB289" i="1"/>
  <c r="Y289" i="1" s="1"/>
  <c r="AB297" i="1"/>
  <c r="Y297" i="1" s="1"/>
  <c r="AB252" i="1"/>
  <c r="Y252" i="1" s="1"/>
  <c r="AB198" i="1"/>
  <c r="AA198" i="1" s="1"/>
  <c r="AB139" i="1"/>
  <c r="Y139" i="1" s="1"/>
  <c r="AB150" i="1"/>
  <c r="Y150" i="1" s="1"/>
  <c r="AB181" i="1"/>
  <c r="Y181" i="1" s="1"/>
  <c r="AB160" i="1"/>
  <c r="Y160" i="1" s="1"/>
  <c r="AB215" i="1"/>
  <c r="Y215" i="1" s="1"/>
  <c r="AB283" i="1"/>
  <c r="Y283" i="1" s="1"/>
  <c r="AB285" i="1"/>
  <c r="Y285" i="1" s="1"/>
  <c r="AB216" i="1"/>
  <c r="Y216" i="1" s="1"/>
  <c r="AB264" i="1"/>
  <c r="AA264" i="1" s="1"/>
  <c r="AB224" i="1"/>
  <c r="Y224" i="1" s="1"/>
  <c r="AB162" i="1"/>
  <c r="Y162" i="1" s="1"/>
  <c r="AB298" i="1"/>
  <c r="Y298" i="1" s="1"/>
  <c r="AB292" i="1"/>
  <c r="Y292" i="1" s="1"/>
  <c r="AB184" i="1"/>
  <c r="Y184" i="1" s="1"/>
  <c r="AB228" i="1"/>
  <c r="Y228" i="1" s="1"/>
  <c r="AB280" i="1"/>
  <c r="Y280" i="1" s="1"/>
  <c r="AB149" i="1"/>
  <c r="Y149" i="1" s="1"/>
  <c r="AB217" i="1"/>
  <c r="Y217" i="1" s="1"/>
  <c r="AB141" i="1"/>
  <c r="Y141" i="1" s="1"/>
  <c r="AB321" i="1"/>
  <c r="Y321" i="1" s="1"/>
  <c r="AB275" i="1"/>
  <c r="AA275" i="1" s="1"/>
  <c r="AB143" i="1"/>
  <c r="Y143" i="1" s="1"/>
  <c r="AB222" i="1"/>
  <c r="Y222" i="1" s="1"/>
  <c r="AB158" i="1"/>
  <c r="Y158" i="1" s="1"/>
  <c r="AB165" i="1"/>
  <c r="Y165" i="1" s="1"/>
  <c r="AB166" i="1"/>
  <c r="Y166" i="1" s="1"/>
  <c r="AB187" i="1"/>
  <c r="Y187" i="1" s="1"/>
  <c r="AB282" i="1"/>
  <c r="Y282" i="1" s="1"/>
  <c r="AB168" i="1"/>
  <c r="Y168" i="1" s="1"/>
  <c r="AB208" i="1"/>
  <c r="Y208" i="1" s="1"/>
  <c r="AB170" i="1"/>
  <c r="Y170" i="1" s="1"/>
  <c r="AB290" i="1"/>
  <c r="Y290" i="1" s="1"/>
  <c r="AB195" i="1"/>
  <c r="AA195" i="1" s="1"/>
  <c r="AB272" i="1"/>
  <c r="AA272" i="1" s="1"/>
  <c r="AB319" i="1"/>
  <c r="Y319" i="1" s="1"/>
  <c r="AB172" i="1"/>
  <c r="Y172" i="1" s="1"/>
  <c r="AB211" i="1"/>
  <c r="Y211" i="1" s="1"/>
  <c r="AB318" i="1"/>
  <c r="Y318" i="1" s="1"/>
  <c r="AB193" i="1"/>
  <c r="Y193" i="1" s="1"/>
  <c r="AB286" i="1"/>
  <c r="Y286" i="1" s="1"/>
  <c r="AB253" i="1"/>
  <c r="Y253" i="1" s="1"/>
  <c r="AB220" i="1"/>
  <c r="Y220" i="1" s="1"/>
  <c r="AB223" i="1"/>
  <c r="Y223" i="1" s="1"/>
  <c r="Q233" i="1"/>
  <c r="S233" i="1" s="1"/>
  <c r="AB233" i="1"/>
  <c r="Y233" i="1" s="1"/>
  <c r="AB221" i="1"/>
  <c r="Y221" i="1" s="1"/>
  <c r="AB151" i="1"/>
  <c r="Y151" i="1" s="1"/>
  <c r="AB266" i="1"/>
  <c r="Y266" i="1" s="1"/>
  <c r="AB225" i="1"/>
  <c r="Y225" i="1" s="1"/>
  <c r="Q201" i="1"/>
  <c r="S201" i="1" s="1"/>
  <c r="AB201" i="1"/>
  <c r="AA201" i="1" s="1"/>
  <c r="AB218" i="1"/>
  <c r="Y218" i="1" s="1"/>
  <c r="AB238" i="1"/>
  <c r="AA238" i="1" s="1"/>
  <c r="AB164" i="1"/>
  <c r="Y164" i="1" s="1"/>
  <c r="AB269" i="1"/>
  <c r="Y269" i="1" s="1"/>
  <c r="AB311" i="1"/>
  <c r="Y311" i="1" s="1"/>
  <c r="AB153" i="1"/>
  <c r="Y153" i="1" s="1"/>
  <c r="AB241" i="1"/>
  <c r="AA241" i="1" s="1"/>
  <c r="AB271" i="1"/>
  <c r="Y271" i="1" s="1"/>
  <c r="AB232" i="1"/>
  <c r="AA232" i="1" s="1"/>
  <c r="AB152" i="1"/>
  <c r="Y152" i="1" s="1"/>
  <c r="AB307" i="1"/>
  <c r="AA307" i="1" s="1"/>
  <c r="Q136" i="1"/>
  <c r="S136" i="1" s="1"/>
  <c r="AB136" i="1"/>
  <c r="Y136" i="1" s="1"/>
  <c r="AB183" i="1"/>
  <c r="Y183" i="1" s="1"/>
  <c r="AB301" i="1"/>
  <c r="Y301" i="1" s="1"/>
  <c r="AB185" i="1"/>
  <c r="Y185" i="1" s="1"/>
  <c r="AB279" i="1"/>
  <c r="AA279" i="1" s="1"/>
  <c r="AB134" i="1"/>
  <c r="Y134" i="1" s="1"/>
  <c r="AB294" i="1"/>
  <c r="Y294" i="1" s="1"/>
  <c r="AB171" i="1"/>
  <c r="Y171" i="1" s="1"/>
  <c r="AB291" i="1"/>
  <c r="Y291" i="1" s="1"/>
  <c r="AB229" i="1"/>
  <c r="Y229" i="1" s="1"/>
  <c r="AB207" i="1"/>
  <c r="Y207" i="1" s="1"/>
  <c r="AB256" i="1"/>
  <c r="Y256" i="1" s="1"/>
  <c r="AB188" i="1"/>
  <c r="Y188" i="1" s="1"/>
  <c r="Q194" i="1"/>
  <c r="S194" i="1" s="1"/>
  <c r="AB194" i="1"/>
  <c r="Y194" i="1" s="1"/>
  <c r="AB263" i="1"/>
  <c r="Y263" i="1" s="1"/>
  <c r="AB236" i="1"/>
  <c r="Y236" i="1" s="1"/>
  <c r="AB257" i="1"/>
  <c r="Y257" i="1" s="1"/>
  <c r="AB239" i="1"/>
  <c r="Y239" i="1" s="1"/>
  <c r="AB254" i="1"/>
  <c r="Y254" i="1" s="1"/>
  <c r="AB284" i="1"/>
  <c r="Y284" i="1" s="1"/>
  <c r="AB226" i="1"/>
  <c r="Y226" i="1" s="1"/>
  <c r="AB163" i="1"/>
  <c r="Y163" i="1" s="1"/>
  <c r="AB155" i="1"/>
  <c r="Y155" i="1" s="1"/>
  <c r="AB154" i="1"/>
  <c r="Y154" i="1" s="1"/>
  <c r="AB281" i="1"/>
  <c r="Y281" i="1" s="1"/>
  <c r="AB175" i="1"/>
  <c r="Y175" i="1" s="1"/>
  <c r="AB237" i="1"/>
  <c r="Y237" i="1" s="1"/>
  <c r="AB145" i="1"/>
  <c r="Y145" i="1" s="1"/>
  <c r="AB169" i="1"/>
  <c r="Y169" i="1" s="1"/>
  <c r="AB316" i="1"/>
  <c r="Y316" i="1" s="1"/>
  <c r="AB135" i="1"/>
  <c r="Y135" i="1" s="1"/>
  <c r="Q192" i="1"/>
  <c r="S192" i="1" s="1"/>
  <c r="AB192" i="1"/>
  <c r="Y192" i="1" s="1"/>
  <c r="AB247" i="1"/>
  <c r="Y247" i="1" s="1"/>
  <c r="AB173" i="1"/>
  <c r="Y173" i="1" s="1"/>
  <c r="AB159" i="1"/>
  <c r="Y159" i="1" s="1"/>
  <c r="AB235" i="1"/>
  <c r="Y235" i="1" s="1"/>
  <c r="AB287" i="1"/>
  <c r="Y287" i="1" s="1"/>
  <c r="AB200" i="1"/>
  <c r="Y200" i="1" s="1"/>
  <c r="AB176" i="1"/>
  <c r="Y176" i="1" s="1"/>
  <c r="AB189" i="1"/>
  <c r="Y189" i="1" s="1"/>
  <c r="AB156" i="1"/>
  <c r="Y156" i="1" s="1"/>
  <c r="AB309" i="1"/>
  <c r="Y309" i="1" s="1"/>
  <c r="AB209" i="1"/>
  <c r="Y209" i="1" s="1"/>
  <c r="AB230" i="1"/>
  <c r="Y230" i="1" s="1"/>
  <c r="AB212" i="1"/>
  <c r="Y212" i="1" s="1"/>
  <c r="AB231" i="1"/>
  <c r="Y231" i="1" s="1"/>
  <c r="Q333" i="1"/>
  <c r="AB333" i="1"/>
  <c r="Y333" i="1" s="1"/>
  <c r="Q332" i="1"/>
  <c r="AB332" i="1"/>
  <c r="Y332" i="1" s="1"/>
  <c r="Q331" i="1"/>
  <c r="AB331" i="1"/>
  <c r="Y331" i="1" s="1"/>
  <c r="Q330" i="1"/>
  <c r="AB330" i="1"/>
  <c r="Y330" i="1" s="1"/>
  <c r="Q329" i="1"/>
  <c r="AB329" i="1"/>
  <c r="Y329" i="1" s="1"/>
  <c r="Q328" i="1"/>
  <c r="AB328" i="1"/>
  <c r="Y328" i="1" s="1"/>
  <c r="Q327" i="1"/>
  <c r="AB327" i="1"/>
  <c r="Y327" i="1" s="1"/>
  <c r="Q326" i="1"/>
  <c r="AB326" i="1"/>
  <c r="Y326" i="1" s="1"/>
  <c r="R124" i="1"/>
  <c r="R110" i="1"/>
  <c r="R121" i="1"/>
  <c r="R345" i="1"/>
  <c r="R114" i="1"/>
  <c r="R49" i="1"/>
  <c r="R52" i="1"/>
  <c r="R105" i="1"/>
  <c r="R12" i="1"/>
  <c r="Q23" i="1"/>
  <c r="S23" i="1" s="1"/>
  <c r="Q128" i="1"/>
  <c r="Q120" i="1"/>
  <c r="S120" i="1" s="1"/>
  <c r="Q48" i="1"/>
  <c r="S48" i="1" s="1"/>
  <c r="Q68" i="1"/>
  <c r="S68" i="1" s="1"/>
  <c r="Q122" i="1"/>
  <c r="S122" i="1" s="1"/>
  <c r="Q125" i="1"/>
  <c r="Q6" i="1"/>
  <c r="Q56" i="1"/>
  <c r="Q8" i="1"/>
  <c r="Q10" i="1"/>
  <c r="Q24" i="1"/>
  <c r="S24" i="1" s="1"/>
  <c r="Q28" i="1"/>
  <c r="S28" i="1" s="1"/>
  <c r="Q32" i="1"/>
  <c r="S32" i="1" s="1"/>
  <c r="Q242" i="1"/>
  <c r="S242" i="1" s="1"/>
  <c r="Y322" i="1" l="1"/>
  <c r="Y312" i="1"/>
  <c r="Y307" i="1"/>
  <c r="Y303" i="1"/>
  <c r="Y279" i="1"/>
  <c r="Y276" i="1"/>
  <c r="Y275" i="1"/>
  <c r="Y272" i="1"/>
  <c r="Y264" i="1"/>
  <c r="Y241" i="1"/>
  <c r="Y238" i="1"/>
  <c r="Y232" i="1"/>
  <c r="Y201" i="1"/>
  <c r="Y198" i="1"/>
  <c r="Y195" i="1"/>
  <c r="Y182" i="1"/>
  <c r="Y148" i="1"/>
  <c r="Y144" i="1"/>
  <c r="Y137" i="1"/>
  <c r="AA281" i="1"/>
  <c r="AA286" i="1"/>
  <c r="AA224" i="1"/>
  <c r="AA289" i="1"/>
  <c r="AA295" i="1"/>
  <c r="AA257" i="1"/>
  <c r="AA193" i="1"/>
  <c r="AA321" i="1"/>
  <c r="AA311" i="1"/>
  <c r="AA166" i="1"/>
  <c r="AA185" i="1"/>
  <c r="AA225" i="1"/>
  <c r="AA302" i="1"/>
  <c r="AA298" i="1"/>
  <c r="AA265" i="1"/>
  <c r="AA222" i="1"/>
  <c r="AA21" i="1"/>
  <c r="AA26" i="1"/>
  <c r="AA138" i="1"/>
  <c r="AA313" i="1"/>
  <c r="AA146" i="1"/>
  <c r="AA133" i="1"/>
  <c r="AA306" i="1"/>
  <c r="AA314" i="1"/>
  <c r="AA268" i="1"/>
  <c r="AA310" i="1"/>
  <c r="AA214" i="1"/>
  <c r="AA140" i="1"/>
  <c r="AA147" i="1"/>
  <c r="AA199" i="1"/>
  <c r="AA299" i="1"/>
  <c r="AA142" i="1"/>
  <c r="AA240" i="1"/>
  <c r="AA197" i="1"/>
  <c r="AA304" i="1"/>
  <c r="AA277" i="1"/>
  <c r="AA273" i="1"/>
  <c r="AA251" i="1"/>
  <c r="AA179" i="1"/>
  <c r="AA186" i="1"/>
  <c r="AA270" i="1"/>
  <c r="AA293" i="1"/>
  <c r="AA308" i="1"/>
  <c r="AA296" i="1"/>
  <c r="AA180" i="1"/>
  <c r="AA250" i="1"/>
  <c r="AA244" i="1"/>
  <c r="AA315" i="1"/>
  <c r="AA249" i="1"/>
  <c r="AA320" i="1"/>
  <c r="AA196" i="1"/>
  <c r="AA213" i="1"/>
  <c r="AA252" i="1"/>
  <c r="AA297" i="1"/>
  <c r="AA139" i="1"/>
  <c r="AA150" i="1"/>
  <c r="AA181" i="1"/>
  <c r="AA160" i="1"/>
  <c r="AA215" i="1"/>
  <c r="AA283" i="1"/>
  <c r="AA285" i="1"/>
  <c r="AA216" i="1"/>
  <c r="AA162" i="1"/>
  <c r="AA292" i="1"/>
  <c r="AA184" i="1"/>
  <c r="AA280" i="1"/>
  <c r="AA228" i="1"/>
  <c r="AA149" i="1"/>
  <c r="AA217" i="1"/>
  <c r="AA141" i="1"/>
  <c r="AA143" i="1"/>
  <c r="AA158" i="1"/>
  <c r="AA165" i="1"/>
  <c r="AA187" i="1"/>
  <c r="AA282" i="1"/>
  <c r="AA168" i="1"/>
  <c r="AA170" i="1"/>
  <c r="AA208" i="1"/>
  <c r="AA290" i="1"/>
  <c r="AA319" i="1"/>
  <c r="AA172" i="1"/>
  <c r="AA211" i="1"/>
  <c r="AA318" i="1"/>
  <c r="AA253" i="1"/>
  <c r="AA220" i="1"/>
  <c r="AA223" i="1"/>
  <c r="AA233" i="1"/>
  <c r="AA221" i="1"/>
  <c r="AA151" i="1"/>
  <c r="AA266" i="1"/>
  <c r="AA218" i="1"/>
  <c r="AA164" i="1"/>
  <c r="AA269" i="1"/>
  <c r="AA153" i="1"/>
  <c r="AA271" i="1"/>
  <c r="AA152" i="1"/>
  <c r="AA136" i="1"/>
  <c r="AA183" i="1"/>
  <c r="AA301" i="1"/>
  <c r="AA134" i="1"/>
  <c r="AA294" i="1"/>
  <c r="AA171" i="1"/>
  <c r="AA291" i="1"/>
  <c r="AA229" i="1"/>
  <c r="AA207" i="1"/>
  <c r="AA256" i="1"/>
  <c r="AA188" i="1"/>
  <c r="AA194" i="1"/>
  <c r="AA263" i="1"/>
  <c r="AA236" i="1"/>
  <c r="AA239" i="1"/>
  <c r="AA254" i="1"/>
  <c r="AA284" i="1"/>
  <c r="AA226" i="1"/>
  <c r="AA163" i="1"/>
  <c r="AA155" i="1"/>
  <c r="AA154" i="1"/>
  <c r="AA145" i="1"/>
  <c r="AA237" i="1"/>
  <c r="AA175" i="1"/>
  <c r="AA169" i="1"/>
  <c r="AA316" i="1"/>
  <c r="AA135" i="1"/>
  <c r="AA192" i="1"/>
  <c r="AA247" i="1"/>
  <c r="AA173" i="1"/>
  <c r="AA159" i="1"/>
  <c r="AA235" i="1"/>
  <c r="AA287" i="1"/>
  <c r="AA200" i="1"/>
  <c r="AA176" i="1"/>
  <c r="AA189" i="1"/>
  <c r="AA309" i="1"/>
  <c r="AA156" i="1"/>
  <c r="AA209" i="1"/>
  <c r="AA230" i="1"/>
  <c r="AA212" i="1"/>
  <c r="AA231" i="1"/>
  <c r="AA333" i="1"/>
  <c r="AA332" i="1"/>
  <c r="AA331" i="1"/>
  <c r="AA330" i="1"/>
  <c r="AA329" i="1"/>
  <c r="AA328" i="1"/>
  <c r="AA327" i="1"/>
  <c r="AA326" i="1"/>
  <c r="S114" i="1"/>
  <c r="S62" i="1"/>
  <c r="S110" i="1"/>
  <c r="S12" i="1"/>
  <c r="S124" i="1"/>
  <c r="S105" i="1"/>
  <c r="S49" i="1"/>
  <c r="R95" i="1"/>
  <c r="S95" i="1" s="1"/>
  <c r="R93" i="1"/>
  <c r="S93" i="1" s="1"/>
  <c r="R83" i="1"/>
  <c r="S83" i="1" s="1"/>
  <c r="R78" i="1"/>
  <c r="S78" i="1" s="1"/>
  <c r="R77" i="1"/>
  <c r="S77" i="1" s="1"/>
  <c r="R76" i="1"/>
  <c r="S76" i="1" s="1"/>
  <c r="R62" i="1"/>
  <c r="R61" i="1"/>
  <c r="S61" i="1" s="1"/>
  <c r="R59" i="1"/>
  <c r="S59" i="1" s="1"/>
  <c r="R58" i="1"/>
  <c r="S58" i="1" s="1"/>
  <c r="R57" i="1"/>
  <c r="S57" i="1" s="1"/>
  <c r="R56" i="1"/>
  <c r="S56" i="1" s="1"/>
  <c r="R54" i="1"/>
  <c r="S54" i="1" s="1"/>
  <c r="R103" i="1"/>
  <c r="S103" i="1" s="1"/>
  <c r="R348" i="1" l="1"/>
  <c r="S348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128" i="1"/>
  <c r="S128" i="1" s="1"/>
  <c r="R126" i="1"/>
  <c r="S126" i="1" s="1"/>
  <c r="R125" i="1"/>
  <c r="S125" i="1" s="1"/>
  <c r="R119" i="1"/>
  <c r="S119" i="1" s="1"/>
  <c r="R115" i="1"/>
  <c r="S115" i="1" s="1"/>
  <c r="R113" i="1"/>
  <c r="S113" i="1" s="1"/>
  <c r="R112" i="1"/>
  <c r="S112" i="1" s="1"/>
  <c r="R111" i="1"/>
  <c r="S111" i="1" s="1"/>
  <c r="R109" i="1"/>
  <c r="S109" i="1" s="1"/>
  <c r="R108" i="1"/>
  <c r="S108" i="1" s="1"/>
  <c r="R107" i="1"/>
  <c r="S107" i="1" s="1"/>
  <c r="R106" i="1"/>
  <c r="S106" i="1" s="1"/>
  <c r="R104" i="1"/>
  <c r="S104" i="1" s="1"/>
  <c r="R102" i="1"/>
  <c r="S102" i="1" s="1"/>
  <c r="R84" i="1"/>
  <c r="S84" i="1" s="1"/>
  <c r="R50" i="1"/>
  <c r="S50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4" i="1"/>
  <c r="S44" i="1" s="1"/>
  <c r="R45" i="1"/>
  <c r="S45" i="1" s="1"/>
  <c r="R46" i="1"/>
  <c r="S46" i="1" s="1"/>
  <c r="R47" i="1"/>
  <c r="S47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5" i="1" l="1"/>
  <c r="Y105" i="1" s="1"/>
  <c r="AB343" i="1"/>
  <c r="Y343" i="1" s="1"/>
  <c r="AB33" i="1"/>
  <c r="Y33" i="1" s="1"/>
  <c r="AB4" i="1"/>
  <c r="Y4" i="1" s="1"/>
  <c r="AB23" i="1"/>
  <c r="Y23" i="1" s="1"/>
  <c r="AB25" i="1"/>
  <c r="Y25" i="1" s="1"/>
  <c r="AB30" i="1"/>
  <c r="Y30" i="1" s="1"/>
  <c r="AB34" i="1"/>
  <c r="Y34" i="1" s="1"/>
  <c r="AB36" i="1"/>
  <c r="Y36" i="1" s="1"/>
  <c r="AB41" i="1"/>
  <c r="Y41" i="1" s="1"/>
  <c r="AB97" i="1"/>
  <c r="Y97" i="1" s="1"/>
  <c r="AB132" i="1"/>
  <c r="Y132" i="1" s="1"/>
  <c r="AB38" i="1"/>
  <c r="Y38" i="1" s="1"/>
  <c r="AB39" i="1"/>
  <c r="Y39" i="1" s="1"/>
  <c r="AB40" i="1"/>
  <c r="Y40" i="1" s="1"/>
  <c r="AB22" i="1"/>
  <c r="Y22" i="1" s="1"/>
  <c r="AB29" i="1"/>
  <c r="Y29" i="1" s="1"/>
  <c r="AB31" i="1"/>
  <c r="Y31" i="1" s="1"/>
  <c r="AB35" i="1"/>
  <c r="Y35" i="1" s="1"/>
  <c r="AB98" i="1"/>
  <c r="Y98" i="1" s="1"/>
  <c r="AB131" i="1"/>
  <c r="Y131" i="1" s="1"/>
  <c r="AB334" i="1"/>
  <c r="Y334" i="1" s="1"/>
  <c r="AB335" i="1"/>
  <c r="Y335" i="1" s="1"/>
  <c r="AB336" i="1"/>
  <c r="Y336" i="1" s="1"/>
  <c r="AB337" i="1"/>
  <c r="Y337" i="1" s="1"/>
  <c r="AB99" i="1"/>
  <c r="Y99" i="1" s="1"/>
  <c r="AB100" i="1"/>
  <c r="Y100" i="1" s="1"/>
  <c r="AB101" i="1"/>
  <c r="Y101" i="1" s="1"/>
  <c r="AB157" i="1"/>
  <c r="Y157" i="1" s="1"/>
  <c r="AB161" i="1"/>
  <c r="Y161" i="1" s="1"/>
  <c r="AB167" i="1"/>
  <c r="Y167" i="1" s="1"/>
  <c r="AB174" i="1"/>
  <c r="Y174" i="1" s="1"/>
  <c r="AB177" i="1"/>
  <c r="Y177" i="1" s="1"/>
  <c r="AB178" i="1"/>
  <c r="Y178" i="1" s="1"/>
  <c r="AB190" i="1"/>
  <c r="Y190" i="1" s="1"/>
  <c r="AB191" i="1"/>
  <c r="Y191" i="1" s="1"/>
  <c r="AB202" i="1"/>
  <c r="Y202" i="1" s="1"/>
  <c r="AB203" i="1"/>
  <c r="Y203" i="1" s="1"/>
  <c r="AB204" i="1"/>
  <c r="Y204" i="1" s="1"/>
  <c r="AB205" i="1"/>
  <c r="Y205" i="1" s="1"/>
  <c r="AB206" i="1"/>
  <c r="Y206" i="1" s="1"/>
  <c r="AB210" i="1"/>
  <c r="Y210" i="1" s="1"/>
  <c r="AB219" i="1"/>
  <c r="Y219" i="1" s="1"/>
  <c r="AB227" i="1"/>
  <c r="Y227" i="1" s="1"/>
  <c r="AB234" i="1"/>
  <c r="Y234" i="1" s="1"/>
  <c r="AB242" i="1"/>
  <c r="Y242" i="1" s="1"/>
  <c r="AB243" i="1"/>
  <c r="Y243" i="1" s="1"/>
  <c r="AB245" i="1"/>
  <c r="Y245" i="1" s="1"/>
  <c r="AB246" i="1"/>
  <c r="Y246" i="1" s="1"/>
  <c r="AB248" i="1"/>
  <c r="Y248" i="1" s="1"/>
  <c r="AB255" i="1"/>
  <c r="Y255" i="1" s="1"/>
  <c r="AB258" i="1"/>
  <c r="Y258" i="1" s="1"/>
  <c r="AB259" i="1"/>
  <c r="Y259" i="1" s="1"/>
  <c r="AB260" i="1"/>
  <c r="Y260" i="1" s="1"/>
  <c r="AB261" i="1"/>
  <c r="Y261" i="1" s="1"/>
  <c r="AB262" i="1"/>
  <c r="Y262" i="1" s="1"/>
  <c r="AB267" i="1"/>
  <c r="Y267" i="1" s="1"/>
  <c r="AB274" i="1"/>
  <c r="Y274" i="1" s="1"/>
  <c r="AB278" i="1"/>
  <c r="Y278" i="1" s="1"/>
  <c r="AB288" i="1"/>
  <c r="Y288" i="1" s="1"/>
  <c r="AB300" i="1"/>
  <c r="Y300" i="1" s="1"/>
  <c r="AB305" i="1"/>
  <c r="Y305" i="1" s="1"/>
  <c r="AB317" i="1"/>
  <c r="Y317" i="1" s="1"/>
  <c r="AB2" i="1"/>
  <c r="Y2" i="1" s="1"/>
  <c r="AB3" i="1"/>
  <c r="Y3" i="1" s="1"/>
  <c r="AB24" i="1"/>
  <c r="Y24" i="1" s="1"/>
  <c r="AB27" i="1"/>
  <c r="Y27" i="1" s="1"/>
  <c r="AB28" i="1"/>
  <c r="Y28" i="1" s="1"/>
  <c r="AB32" i="1"/>
  <c r="Y32" i="1" s="1"/>
  <c r="AB37" i="1"/>
  <c r="Y37" i="1" s="1"/>
  <c r="AB42" i="1"/>
  <c r="Y42" i="1" s="1"/>
  <c r="AB43" i="1"/>
  <c r="Y43" i="1" s="1"/>
  <c r="AB55" i="1"/>
  <c r="Y55" i="1" s="1"/>
  <c r="AB129" i="1"/>
  <c r="Y129" i="1" s="1"/>
  <c r="AB130" i="1"/>
  <c r="Y130" i="1" s="1"/>
  <c r="AB323" i="1"/>
  <c r="Y323" i="1" s="1"/>
  <c r="AB324" i="1"/>
  <c r="Y324" i="1" s="1"/>
  <c r="AB325" i="1"/>
  <c r="Y325" i="1" s="1"/>
  <c r="AB362" i="1"/>
  <c r="Y362" i="1" s="1"/>
  <c r="AB48" i="1"/>
  <c r="Y48" i="1" s="1"/>
  <c r="AB51" i="1"/>
  <c r="Y51" i="1" s="1"/>
  <c r="AB52" i="1"/>
  <c r="Y52" i="1" s="1"/>
  <c r="AB53" i="1"/>
  <c r="Y53" i="1" s="1"/>
  <c r="AB54" i="1"/>
  <c r="Y54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Y77" i="1" s="1"/>
  <c r="AB78" i="1"/>
  <c r="Y78" i="1" s="1"/>
  <c r="AB79" i="1"/>
  <c r="Y79" i="1" s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95" i="1"/>
  <c r="Y95" i="1" s="1"/>
  <c r="AB96" i="1"/>
  <c r="Y96" i="1" s="1"/>
  <c r="AB110" i="1"/>
  <c r="Y110" i="1" s="1"/>
  <c r="AB111" i="1"/>
  <c r="Y111" i="1" s="1"/>
  <c r="AB116" i="1"/>
  <c r="Y116" i="1" s="1"/>
  <c r="AB117" i="1"/>
  <c r="Y117" i="1" s="1"/>
  <c r="AB118" i="1"/>
  <c r="Y118" i="1" s="1"/>
  <c r="AB120" i="1"/>
  <c r="Y120" i="1" s="1"/>
  <c r="AB121" i="1"/>
  <c r="Y121" i="1" s="1"/>
  <c r="AB122" i="1"/>
  <c r="Y122" i="1" s="1"/>
  <c r="AB123" i="1"/>
  <c r="Y123" i="1" s="1"/>
  <c r="AB127" i="1"/>
  <c r="Y127" i="1" s="1"/>
  <c r="AB345" i="1"/>
  <c r="Y345" i="1" s="1"/>
  <c r="AB346" i="1"/>
  <c r="Y346" i="1" s="1"/>
  <c r="AB347" i="1"/>
  <c r="Y347" i="1" s="1"/>
  <c r="AB349" i="1"/>
  <c r="Y349" i="1" s="1"/>
  <c r="AB350" i="1"/>
  <c r="Y350" i="1" s="1"/>
  <c r="AB351" i="1"/>
  <c r="Y351" i="1" s="1"/>
  <c r="AB352" i="1"/>
  <c r="Y352" i="1" s="1"/>
  <c r="AB353" i="1"/>
  <c r="Y353" i="1" s="1"/>
  <c r="AB354" i="1"/>
  <c r="Y354" i="1" s="1"/>
  <c r="AB355" i="1"/>
  <c r="Y355" i="1" s="1"/>
  <c r="AB356" i="1"/>
  <c r="Y356" i="1" s="1"/>
  <c r="AB357" i="1"/>
  <c r="Y357" i="1" s="1"/>
  <c r="AB358" i="1"/>
  <c r="Y358" i="1" s="1"/>
  <c r="AB359" i="1"/>
  <c r="Y359" i="1" s="1"/>
  <c r="AB360" i="1"/>
  <c r="Y360" i="1" s="1"/>
  <c r="AB361" i="1"/>
  <c r="Y361" i="1" s="1"/>
  <c r="M358" i="1"/>
  <c r="Q358" i="1" s="1"/>
  <c r="S358" i="1" s="1"/>
  <c r="M355" i="1"/>
  <c r="Q355" i="1" s="1"/>
  <c r="S355" i="1" s="1"/>
  <c r="M354" i="1"/>
  <c r="Q354" i="1" s="1"/>
  <c r="S354" i="1" s="1"/>
  <c r="M352" i="1"/>
  <c r="Q352" i="1" s="1"/>
  <c r="S352" i="1" s="1"/>
  <c r="M325" i="1"/>
  <c r="Q325" i="1" s="1"/>
  <c r="S325" i="1" s="1"/>
  <c r="M43" i="1"/>
  <c r="Q43" i="1" s="1"/>
  <c r="S43" i="1" s="1"/>
  <c r="M37" i="1"/>
  <c r="Q37" i="1" s="1"/>
  <c r="S37" i="1" s="1"/>
  <c r="M3" i="1"/>
  <c r="Q3" i="1" s="1"/>
  <c r="S3" i="1" s="1"/>
  <c r="N99" i="1"/>
  <c r="M99" i="1"/>
  <c r="M132" i="1"/>
  <c r="Q132" i="1" s="1"/>
  <c r="S132" i="1" s="1"/>
  <c r="N41" i="1"/>
  <c r="M41" i="1"/>
  <c r="N34" i="1"/>
  <c r="M34" i="1"/>
  <c r="Q41" i="1" l="1"/>
  <c r="S41" i="1" s="1"/>
  <c r="Q34" i="1"/>
  <c r="S34" i="1" s="1"/>
  <c r="Q99" i="1"/>
  <c r="S99" i="1" s="1"/>
  <c r="AA105" i="1"/>
  <c r="AA3" i="1"/>
  <c r="AA361" i="1"/>
  <c r="AA353" i="1"/>
  <c r="AA116" i="1"/>
  <c r="AA91" i="1"/>
  <c r="AA83" i="1"/>
  <c r="AA75" i="1"/>
  <c r="AA67" i="1"/>
  <c r="AA59" i="1"/>
  <c r="AA48" i="1"/>
  <c r="AA43" i="1"/>
  <c r="AA2" i="1"/>
  <c r="AA262" i="1"/>
  <c r="AA245" i="1"/>
  <c r="AA205" i="1"/>
  <c r="AA174" i="1"/>
  <c r="AA336" i="1"/>
  <c r="AA22" i="1"/>
  <c r="AA34" i="1"/>
  <c r="AA92" i="1"/>
  <c r="AA246" i="1"/>
  <c r="AA360" i="1"/>
  <c r="AA352" i="1"/>
  <c r="AA127" i="1"/>
  <c r="AA90" i="1"/>
  <c r="AA82" i="1"/>
  <c r="AA74" i="1"/>
  <c r="AA66" i="1"/>
  <c r="AA58" i="1"/>
  <c r="AA362" i="1"/>
  <c r="AA42" i="1"/>
  <c r="AA317" i="1"/>
  <c r="AA261" i="1"/>
  <c r="AA243" i="1"/>
  <c r="AA204" i="1"/>
  <c r="AA167" i="1"/>
  <c r="AA335" i="1"/>
  <c r="AA40" i="1"/>
  <c r="AA30" i="1"/>
  <c r="AA345" i="1"/>
  <c r="AA60" i="1"/>
  <c r="AA29" i="1"/>
  <c r="AA359" i="1"/>
  <c r="AA351" i="1"/>
  <c r="AA123" i="1"/>
  <c r="AA89" i="1"/>
  <c r="AA81" i="1"/>
  <c r="AA73" i="1"/>
  <c r="AA65" i="1"/>
  <c r="AA57" i="1"/>
  <c r="AA325" i="1"/>
  <c r="AA37" i="1"/>
  <c r="AA305" i="1"/>
  <c r="AA260" i="1"/>
  <c r="AA242" i="1"/>
  <c r="AA203" i="1"/>
  <c r="AA161" i="1"/>
  <c r="AA334" i="1"/>
  <c r="AA39" i="1"/>
  <c r="AA25" i="1"/>
  <c r="AA117" i="1"/>
  <c r="AA76" i="1"/>
  <c r="AA267" i="1"/>
  <c r="AA177" i="1"/>
  <c r="AA358" i="1"/>
  <c r="AA350" i="1"/>
  <c r="AA122" i="1"/>
  <c r="AA96" i="1"/>
  <c r="AA88" i="1"/>
  <c r="AA80" i="1"/>
  <c r="AA72" i="1"/>
  <c r="AA64" i="1"/>
  <c r="AA56" i="1"/>
  <c r="AA324" i="1"/>
  <c r="AA32" i="1"/>
  <c r="AA300" i="1"/>
  <c r="AA259" i="1"/>
  <c r="AA234" i="1"/>
  <c r="AA202" i="1"/>
  <c r="AA157" i="1"/>
  <c r="AA131" i="1"/>
  <c r="AA38" i="1"/>
  <c r="AA23" i="1"/>
  <c r="AA51" i="1"/>
  <c r="AA206" i="1"/>
  <c r="AA36" i="1"/>
  <c r="AA357" i="1"/>
  <c r="AA349" i="1"/>
  <c r="AA121" i="1"/>
  <c r="AA95" i="1"/>
  <c r="AA87" i="1"/>
  <c r="AA79" i="1"/>
  <c r="AA71" i="1"/>
  <c r="AA63" i="1"/>
  <c r="AA54" i="1"/>
  <c r="AA323" i="1"/>
  <c r="AA28" i="1"/>
  <c r="AA288" i="1"/>
  <c r="AA258" i="1"/>
  <c r="AA227" i="1"/>
  <c r="AA191" i="1"/>
  <c r="AA101" i="1"/>
  <c r="AA98" i="1"/>
  <c r="AA132" i="1"/>
  <c r="AA4" i="1"/>
  <c r="AA343" i="1"/>
  <c r="AA354" i="1"/>
  <c r="AA55" i="1"/>
  <c r="AA356" i="1"/>
  <c r="AA347" i="1"/>
  <c r="AA120" i="1"/>
  <c r="AA94" i="1"/>
  <c r="AA86" i="1"/>
  <c r="AA78" i="1"/>
  <c r="AA70" i="1"/>
  <c r="AA62" i="1"/>
  <c r="AA53" i="1"/>
  <c r="AA130" i="1"/>
  <c r="AA27" i="1"/>
  <c r="AA278" i="1"/>
  <c r="AA255" i="1"/>
  <c r="AA219" i="1"/>
  <c r="AA190" i="1"/>
  <c r="AA100" i="1"/>
  <c r="AA35" i="1"/>
  <c r="AA97" i="1"/>
  <c r="AA33" i="1"/>
  <c r="AA110" i="1"/>
  <c r="AA68" i="1"/>
  <c r="AA337" i="1"/>
  <c r="AA355" i="1"/>
  <c r="AA346" i="1"/>
  <c r="AA118" i="1"/>
  <c r="AA93" i="1"/>
  <c r="AA85" i="1"/>
  <c r="AA77" i="1"/>
  <c r="AA69" i="1"/>
  <c r="AA61" i="1"/>
  <c r="AA52" i="1"/>
  <c r="AA129" i="1"/>
  <c r="AA24" i="1"/>
  <c r="AA274" i="1"/>
  <c r="AA248" i="1"/>
  <c r="AA210" i="1"/>
  <c r="AA178" i="1"/>
  <c r="AA99" i="1"/>
  <c r="AA31" i="1"/>
  <c r="AA41" i="1"/>
  <c r="AA84" i="1"/>
  <c r="AA111" i="1"/>
  <c r="AB8" i="1"/>
  <c r="Y8" i="1" s="1"/>
  <c r="AB128" i="1"/>
  <c r="Y128" i="1" s="1"/>
  <c r="AB49" i="1"/>
  <c r="Y49" i="1" s="1"/>
  <c r="AB109" i="1"/>
  <c r="Y109" i="1" s="1"/>
  <c r="AB341" i="1"/>
  <c r="Y341" i="1" s="1"/>
  <c r="AB45" i="1"/>
  <c r="Y45" i="1" s="1"/>
  <c r="AB104" i="1"/>
  <c r="Y104" i="1" s="1"/>
  <c r="AB106" i="1"/>
  <c r="Y106" i="1" s="1"/>
  <c r="AB108" i="1"/>
  <c r="Y108" i="1" s="1"/>
  <c r="AB18" i="1"/>
  <c r="Y18" i="1" s="1"/>
  <c r="AB10" i="1"/>
  <c r="Y10" i="1" s="1"/>
  <c r="AB15" i="1"/>
  <c r="Y15" i="1" s="1"/>
  <c r="AB107" i="1"/>
  <c r="Y107" i="1" s="1"/>
  <c r="AB342" i="1"/>
  <c r="Y342" i="1" s="1"/>
  <c r="AB119" i="1"/>
  <c r="Y119" i="1" s="1"/>
  <c r="AB6" i="1"/>
  <c r="Y6" i="1" s="1"/>
  <c r="AB20" i="1"/>
  <c r="Y20" i="1" s="1"/>
  <c r="AB114" i="1"/>
  <c r="Y114" i="1" s="1"/>
  <c r="AB340" i="1"/>
  <c r="Y340" i="1" s="1"/>
  <c r="AB12" i="1"/>
  <c r="Y12" i="1" s="1"/>
  <c r="AB9" i="1"/>
  <c r="Y9" i="1" s="1"/>
  <c r="AB339" i="1"/>
  <c r="Y339" i="1" s="1"/>
  <c r="AB44" i="1"/>
  <c r="Y44" i="1" s="1"/>
  <c r="AB103" i="1"/>
  <c r="Y103" i="1" s="1"/>
  <c r="AB113" i="1"/>
  <c r="Y113" i="1" s="1"/>
  <c r="AB344" i="1"/>
  <c r="Y344" i="1" s="1"/>
  <c r="AB112" i="1"/>
  <c r="Y112" i="1" s="1"/>
  <c r="AB338" i="1"/>
  <c r="Y338" i="1" s="1"/>
  <c r="AB126" i="1"/>
  <c r="Y126" i="1" s="1"/>
  <c r="AB7" i="1"/>
  <c r="Y7" i="1" s="1"/>
  <c r="AB16" i="1"/>
  <c r="Y16" i="1" s="1"/>
  <c r="AB19" i="1"/>
  <c r="Y19" i="1" s="1"/>
  <c r="AB50" i="1"/>
  <c r="Y50" i="1" s="1"/>
  <c r="AB348" i="1"/>
  <c r="Y348" i="1" s="1"/>
  <c r="AB47" i="1"/>
  <c r="Y47" i="1" s="1"/>
  <c r="AB14" i="1"/>
  <c r="Y14" i="1" s="1"/>
  <c r="AB124" i="1"/>
  <c r="Y124" i="1" s="1"/>
  <c r="AB125" i="1"/>
  <c r="Y125" i="1" s="1"/>
  <c r="AB115" i="1"/>
  <c r="Y115" i="1" s="1"/>
  <c r="AB5" i="1"/>
  <c r="Y5" i="1" s="1"/>
  <c r="AB46" i="1"/>
  <c r="Y46" i="1" s="1"/>
  <c r="AB102" i="1"/>
  <c r="Y102" i="1" s="1"/>
  <c r="AB17" i="1"/>
  <c r="Y17" i="1" s="1"/>
  <c r="AB13" i="1"/>
  <c r="Y13" i="1" s="1"/>
  <c r="AB11" i="1"/>
  <c r="Y11" i="1" s="1"/>
  <c r="AE100" i="1" l="1"/>
  <c r="AD100" i="1" s="1"/>
  <c r="AE125" i="1"/>
  <c r="AE102" i="1"/>
  <c r="AE18" i="1"/>
  <c r="AE348" i="1"/>
  <c r="AE128" i="1"/>
  <c r="AE36" i="1"/>
  <c r="AC36" i="1" s="1"/>
  <c r="AE70" i="1"/>
  <c r="AC70" i="1" s="1"/>
  <c r="AE81" i="1"/>
  <c r="AC81" i="1" s="1"/>
  <c r="AE11" i="1"/>
  <c r="AE126" i="1"/>
  <c r="AE29" i="1"/>
  <c r="AD29" i="1" s="1"/>
  <c r="AE129" i="1"/>
  <c r="AC129" i="1" s="1"/>
  <c r="AE227" i="1"/>
  <c r="AC227" i="1" s="1"/>
  <c r="AE131" i="1"/>
  <c r="AC131" i="1" s="1"/>
  <c r="AE302" i="1"/>
  <c r="AE279" i="1"/>
  <c r="AD279" i="1" s="1"/>
  <c r="AE297" i="1"/>
  <c r="AE17" i="1"/>
  <c r="AE47" i="1"/>
  <c r="AE112" i="1"/>
  <c r="AE340" i="1"/>
  <c r="AE10" i="1"/>
  <c r="AE104" i="1"/>
  <c r="AE177" i="1"/>
  <c r="AC177" i="1" s="1"/>
  <c r="AE68" i="1"/>
  <c r="AC68" i="1" s="1"/>
  <c r="AE41" i="1"/>
  <c r="AC41" i="1" s="1"/>
  <c r="AE93" i="1"/>
  <c r="AC93" i="1" s="1"/>
  <c r="AE255" i="1"/>
  <c r="AC255" i="1" s="1"/>
  <c r="AE357" i="1"/>
  <c r="AC357" i="1" s="1"/>
  <c r="AE288" i="1"/>
  <c r="AC288" i="1" s="1"/>
  <c r="AE95" i="1"/>
  <c r="AC95" i="1" s="1"/>
  <c r="AE243" i="1"/>
  <c r="AC243" i="1" s="1"/>
  <c r="AE202" i="1"/>
  <c r="AC202" i="1" s="1"/>
  <c r="AE72" i="1"/>
  <c r="AC72" i="1" s="1"/>
  <c r="AE223" i="1"/>
  <c r="AE289" i="1"/>
  <c r="AC289" i="1" s="1"/>
  <c r="AE201" i="1"/>
  <c r="AE332" i="1"/>
  <c r="AE273" i="1"/>
  <c r="AE181" i="1"/>
  <c r="AD181" i="1" s="1"/>
  <c r="AE168" i="1"/>
  <c r="AE254" i="1"/>
  <c r="AE326" i="1"/>
  <c r="AC326" i="1" s="1"/>
  <c r="AE249" i="1"/>
  <c r="AE294" i="1"/>
  <c r="AD294" i="1" s="1"/>
  <c r="AE159" i="1"/>
  <c r="AE282" i="1"/>
  <c r="AE183" i="1"/>
  <c r="AE330" i="1"/>
  <c r="AE296" i="1"/>
  <c r="AD296" i="1" s="1"/>
  <c r="AE284" i="1"/>
  <c r="AD284" i="1" s="1"/>
  <c r="AE228" i="1"/>
  <c r="AC228" i="1" s="1"/>
  <c r="AE216" i="1"/>
  <c r="AC216" i="1" s="1"/>
  <c r="AE331" i="1"/>
  <c r="AD331" i="1" s="1"/>
  <c r="AE171" i="1"/>
  <c r="AE203" i="1"/>
  <c r="AC203" i="1" s="1"/>
  <c r="AE123" i="1"/>
  <c r="AC123" i="1" s="1"/>
  <c r="AE204" i="1"/>
  <c r="AC204" i="1" s="1"/>
  <c r="AE66" i="1"/>
  <c r="AC66" i="1" s="1"/>
  <c r="AE262" i="1"/>
  <c r="AC262" i="1" s="1"/>
  <c r="AE91" i="1"/>
  <c r="AC91" i="1" s="1"/>
  <c r="AE85" i="1"/>
  <c r="AC85" i="1" s="1"/>
  <c r="AE45" i="1"/>
  <c r="AE31" i="1"/>
  <c r="AC31" i="1" s="1"/>
  <c r="AE4" i="1"/>
  <c r="AD4" i="1" s="1"/>
  <c r="AE121" i="1"/>
  <c r="AC121" i="1" s="1"/>
  <c r="AE80" i="1"/>
  <c r="AC80" i="1" s="1"/>
  <c r="AE311" i="1"/>
  <c r="AC311" i="1" s="1"/>
  <c r="AE151" i="1"/>
  <c r="AC151" i="1" s="1"/>
  <c r="AE263" i="1"/>
  <c r="AC263" i="1" s="1"/>
  <c r="AE319" i="1"/>
  <c r="AE283" i="1"/>
  <c r="AC283" i="1" s="1"/>
  <c r="AE218" i="1"/>
  <c r="AD218" i="1" s="1"/>
  <c r="AE222" i="1"/>
  <c r="AE182" i="1"/>
  <c r="AD182" i="1" s="1"/>
  <c r="AE186" i="1"/>
  <c r="AD186" i="1" s="1"/>
  <c r="AE214" i="1"/>
  <c r="AE310" i="1"/>
  <c r="AC310" i="1" s="1"/>
  <c r="AE266" i="1"/>
  <c r="AE169" i="1"/>
  <c r="AE251" i="1"/>
  <c r="AE207" i="1"/>
  <c r="AD207" i="1" s="1"/>
  <c r="AE264" i="1"/>
  <c r="AE244" i="1"/>
  <c r="AE304" i="1"/>
  <c r="AE208" i="1"/>
  <c r="AD208" i="1" s="1"/>
  <c r="AE315" i="1"/>
  <c r="AC315" i="1" s="1"/>
  <c r="AE163" i="1"/>
  <c r="AD163" i="1" s="1"/>
  <c r="AE242" i="1"/>
  <c r="AC242" i="1" s="1"/>
  <c r="AE360" i="1"/>
  <c r="AC360" i="1" s="1"/>
  <c r="AE362" i="1"/>
  <c r="AC362" i="1" s="1"/>
  <c r="AE111" i="1"/>
  <c r="AC111" i="1" s="1"/>
  <c r="AE2" i="1"/>
  <c r="AC2" i="1" s="1"/>
  <c r="AE116" i="1"/>
  <c r="AD116" i="1" s="1"/>
  <c r="AE118" i="1"/>
  <c r="AC118" i="1" s="1"/>
  <c r="AE76" i="1"/>
  <c r="AC76" i="1" s="1"/>
  <c r="AE28" i="1"/>
  <c r="AC28" i="1" s="1"/>
  <c r="AE46" i="1"/>
  <c r="AE20" i="1"/>
  <c r="AE246" i="1"/>
  <c r="AC246" i="1" s="1"/>
  <c r="AE35" i="1"/>
  <c r="AC35" i="1" s="1"/>
  <c r="AE323" i="1"/>
  <c r="AC323" i="1" s="1"/>
  <c r="AE259" i="1"/>
  <c r="AC259" i="1" s="1"/>
  <c r="AE149" i="1"/>
  <c r="AC149" i="1" s="1"/>
  <c r="AE301" i="1"/>
  <c r="AD301" i="1" s="1"/>
  <c r="AE175" i="1"/>
  <c r="AE226" i="1"/>
  <c r="AE281" i="1"/>
  <c r="AD281" i="1" s="1"/>
  <c r="AE306" i="1"/>
  <c r="AE189" i="1"/>
  <c r="AE179" i="1"/>
  <c r="AC179" i="1" s="1"/>
  <c r="AE155" i="1"/>
  <c r="AE140" i="1"/>
  <c r="AE180" i="1"/>
  <c r="AC180" i="1" s="1"/>
  <c r="AE272" i="1"/>
  <c r="AE192" i="1"/>
  <c r="AD192" i="1" s="1"/>
  <c r="AE307" i="1"/>
  <c r="AE147" i="1"/>
  <c r="AE260" i="1"/>
  <c r="AC260" i="1" s="1"/>
  <c r="AE167" i="1"/>
  <c r="AC167" i="1" s="1"/>
  <c r="AE82" i="1"/>
  <c r="AC82" i="1" s="1"/>
  <c r="AE34" i="1"/>
  <c r="AC34" i="1" s="1"/>
  <c r="AE43" i="1"/>
  <c r="AC43" i="1" s="1"/>
  <c r="AE345" i="1"/>
  <c r="AC345" i="1" s="1"/>
  <c r="AE356" i="1"/>
  <c r="AC356" i="1" s="1"/>
  <c r="AE344" i="1"/>
  <c r="AE62" i="1"/>
  <c r="AC62" i="1" s="1"/>
  <c r="AE234" i="1"/>
  <c r="AC234" i="1" s="1"/>
  <c r="AE113" i="1"/>
  <c r="AE341" i="1"/>
  <c r="AE84" i="1"/>
  <c r="AC84" i="1" s="1"/>
  <c r="AE94" i="1"/>
  <c r="AC94" i="1" s="1"/>
  <c r="AE350" i="1"/>
  <c r="AC350" i="1" s="1"/>
  <c r="AE88" i="1"/>
  <c r="AC88" i="1" s="1"/>
  <c r="AE209" i="1"/>
  <c r="AD209" i="1" s="1"/>
  <c r="AE313" i="1"/>
  <c r="AE231" i="1"/>
  <c r="AE5" i="1"/>
  <c r="AE19" i="1"/>
  <c r="AE103" i="1"/>
  <c r="AE6" i="1"/>
  <c r="AE109" i="1"/>
  <c r="AE267" i="1"/>
  <c r="AC267" i="1" s="1"/>
  <c r="AE92" i="1"/>
  <c r="AC92" i="1" s="1"/>
  <c r="AE178" i="1"/>
  <c r="AD178" i="1" s="1"/>
  <c r="AE219" i="1"/>
  <c r="AC219" i="1" s="1"/>
  <c r="AE33" i="1"/>
  <c r="AC33" i="1" s="1"/>
  <c r="AE98" i="1"/>
  <c r="AC98" i="1" s="1"/>
  <c r="AE54" i="1"/>
  <c r="AC54" i="1" s="1"/>
  <c r="AE358" i="1"/>
  <c r="AC358" i="1" s="1"/>
  <c r="AE127" i="1"/>
  <c r="AC127" i="1" s="1"/>
  <c r="AE300" i="1"/>
  <c r="AC300" i="1" s="1"/>
  <c r="AE96" i="1"/>
  <c r="AC96" i="1" s="1"/>
  <c r="AE215" i="1"/>
  <c r="AE217" i="1"/>
  <c r="AE225" i="1"/>
  <c r="AD225" i="1" s="1"/>
  <c r="AE162" i="1"/>
  <c r="AD162" i="1" s="1"/>
  <c r="AE250" i="1"/>
  <c r="AE170" i="1"/>
  <c r="AE280" i="1"/>
  <c r="AD280" i="1" s="1"/>
  <c r="AE197" i="1"/>
  <c r="AE134" i="1"/>
  <c r="AE200" i="1"/>
  <c r="AC200" i="1" s="1"/>
  <c r="AE322" i="1"/>
  <c r="AD322" i="1" s="1"/>
  <c r="AE265" i="1"/>
  <c r="AE158" i="1"/>
  <c r="AC158" i="1" s="1"/>
  <c r="AE211" i="1"/>
  <c r="AE237" i="1"/>
  <c r="AE196" i="1"/>
  <c r="AE312" i="1"/>
  <c r="AE220" i="1"/>
  <c r="AE184" i="1"/>
  <c r="AE299" i="1"/>
  <c r="AD299" i="1" s="1"/>
  <c r="AE139" i="1"/>
  <c r="AC139" i="1" s="1"/>
  <c r="AE305" i="1"/>
  <c r="AC305" i="1" s="1"/>
  <c r="AE317" i="1"/>
  <c r="AD317" i="1" s="1"/>
  <c r="AE353" i="1"/>
  <c r="AC353" i="1" s="1"/>
  <c r="AE22" i="1"/>
  <c r="AC22" i="1" s="1"/>
  <c r="AE48" i="1"/>
  <c r="AD48" i="1" s="1"/>
  <c r="AE354" i="1"/>
  <c r="AC354" i="1" s="1"/>
  <c r="AE114" i="1"/>
  <c r="AE206" i="1"/>
  <c r="AC206" i="1" s="1"/>
  <c r="AE347" i="1"/>
  <c r="AC347" i="1" s="1"/>
  <c r="AE42" i="1"/>
  <c r="AD42" i="1" s="1"/>
  <c r="AE50" i="1"/>
  <c r="AE108" i="1"/>
  <c r="AE99" i="1"/>
  <c r="AC99" i="1" s="1"/>
  <c r="AE132" i="1"/>
  <c r="AC132" i="1" s="1"/>
  <c r="AE74" i="1"/>
  <c r="AC74" i="1" s="1"/>
  <c r="AE269" i="1"/>
  <c r="AE176" i="1"/>
  <c r="AE141" i="1"/>
  <c r="AD141" i="1" s="1"/>
  <c r="AE115" i="1"/>
  <c r="AE16" i="1"/>
  <c r="AE44" i="1"/>
  <c r="AE119" i="1"/>
  <c r="AE106" i="1"/>
  <c r="AE49" i="1"/>
  <c r="AE105" i="1"/>
  <c r="AE3" i="1"/>
  <c r="AC3" i="1" s="1"/>
  <c r="AE117" i="1"/>
  <c r="AC117" i="1" s="1"/>
  <c r="AE248" i="1"/>
  <c r="AC248" i="1" s="1"/>
  <c r="AE27" i="1"/>
  <c r="AC27" i="1" s="1"/>
  <c r="AE97" i="1"/>
  <c r="AC97" i="1" s="1"/>
  <c r="AE101" i="1"/>
  <c r="AC101" i="1" s="1"/>
  <c r="AE63" i="1"/>
  <c r="AC63" i="1" s="1"/>
  <c r="AE65" i="1"/>
  <c r="AC65" i="1" s="1"/>
  <c r="AE23" i="1"/>
  <c r="AC23" i="1" s="1"/>
  <c r="AE32" i="1"/>
  <c r="AD32" i="1" s="1"/>
  <c r="AE122" i="1"/>
  <c r="AC122" i="1" s="1"/>
  <c r="AE271" i="1"/>
  <c r="AE154" i="1"/>
  <c r="AE290" i="1"/>
  <c r="AE309" i="1"/>
  <c r="AE285" i="1"/>
  <c r="AE333" i="1"/>
  <c r="AC333" i="1" s="1"/>
  <c r="AE229" i="1"/>
  <c r="AE173" i="1"/>
  <c r="AC173" i="1" s="1"/>
  <c r="AE318" i="1"/>
  <c r="AD318" i="1" s="1"/>
  <c r="AE21" i="1"/>
  <c r="AE150" i="1"/>
  <c r="AE165" i="1"/>
  <c r="AE143" i="1"/>
  <c r="AE193" i="1"/>
  <c r="AE138" i="1"/>
  <c r="AC138" i="1" s="1"/>
  <c r="AE320" i="1"/>
  <c r="AE236" i="1"/>
  <c r="AE156" i="1"/>
  <c r="AC156" i="1" s="1"/>
  <c r="AE160" i="1"/>
  <c r="AE291" i="1"/>
  <c r="AC291" i="1" s="1"/>
  <c r="AE25" i="1"/>
  <c r="AC25" i="1" s="1"/>
  <c r="AE37" i="1"/>
  <c r="AC37" i="1" s="1"/>
  <c r="AE58" i="1"/>
  <c r="AC58" i="1" s="1"/>
  <c r="AE30" i="1"/>
  <c r="AC30" i="1" s="1"/>
  <c r="AE336" i="1"/>
  <c r="AC336" i="1" s="1"/>
  <c r="AE59" i="1"/>
  <c r="AC59" i="1" s="1"/>
  <c r="AE210" i="1"/>
  <c r="AC210" i="1" s="1"/>
  <c r="AE278" i="1"/>
  <c r="AD278" i="1" s="1"/>
  <c r="AE339" i="1"/>
  <c r="AE346" i="1"/>
  <c r="AC346" i="1" s="1"/>
  <c r="AE191" i="1"/>
  <c r="AC191" i="1" s="1"/>
  <c r="AE71" i="1"/>
  <c r="AC71" i="1" s="1"/>
  <c r="AE324" i="1"/>
  <c r="AC324" i="1" s="1"/>
  <c r="AE194" i="1"/>
  <c r="AE293" i="1"/>
  <c r="AC293" i="1" s="1"/>
  <c r="AE26" i="1"/>
  <c r="AC26" i="1" s="1"/>
  <c r="AE238" i="1"/>
  <c r="AE185" i="1"/>
  <c r="AE270" i="1"/>
  <c r="AC270" i="1" s="1"/>
  <c r="AE321" i="1"/>
  <c r="AE146" i="1"/>
  <c r="AC146" i="1" s="1"/>
  <c r="AE303" i="1"/>
  <c r="AE199" i="1"/>
  <c r="AE135" i="1"/>
  <c r="AE133" i="1"/>
  <c r="AC133" i="1" s="1"/>
  <c r="AE137" i="1"/>
  <c r="AD137" i="1" s="1"/>
  <c r="AE295" i="1"/>
  <c r="AE268" i="1"/>
  <c r="AE252" i="1"/>
  <c r="AD252" i="1" s="1"/>
  <c r="AE172" i="1"/>
  <c r="AC172" i="1" s="1"/>
  <c r="AE256" i="1"/>
  <c r="AE144" i="1"/>
  <c r="AD144" i="1" s="1"/>
  <c r="AE275" i="1"/>
  <c r="AD275" i="1" s="1"/>
  <c r="AE39" i="1"/>
  <c r="AC39" i="1" s="1"/>
  <c r="AE57" i="1"/>
  <c r="AC57" i="1" s="1"/>
  <c r="AE90" i="1"/>
  <c r="AC90" i="1" s="1"/>
  <c r="AE40" i="1"/>
  <c r="AC40" i="1" s="1"/>
  <c r="AE174" i="1"/>
  <c r="AC174" i="1" s="1"/>
  <c r="AE67" i="1"/>
  <c r="AD67" i="1" s="1"/>
  <c r="AE274" i="1"/>
  <c r="AC274" i="1" s="1"/>
  <c r="AE53" i="1"/>
  <c r="AC53" i="1" s="1"/>
  <c r="AE342" i="1"/>
  <c r="AE55" i="1"/>
  <c r="AC55" i="1" s="1"/>
  <c r="AE190" i="1"/>
  <c r="AC190" i="1" s="1"/>
  <c r="AE351" i="1"/>
  <c r="AC351" i="1" s="1"/>
  <c r="AE9" i="1"/>
  <c r="AE51" i="1"/>
  <c r="AC51" i="1" s="1"/>
  <c r="AE120" i="1"/>
  <c r="AC120" i="1" s="1"/>
  <c r="AE79" i="1"/>
  <c r="AD79" i="1" s="1"/>
  <c r="AE56" i="1"/>
  <c r="AC56" i="1" s="1"/>
  <c r="AE230" i="1"/>
  <c r="AE213" i="1"/>
  <c r="AE314" i="1"/>
  <c r="AC314" i="1" s="1"/>
  <c r="AE198" i="1"/>
  <c r="AE327" i="1"/>
  <c r="AE166" i="1"/>
  <c r="AE253" i="1"/>
  <c r="AC253" i="1" s="1"/>
  <c r="AE286" i="1"/>
  <c r="AE212" i="1"/>
  <c r="AC212" i="1" s="1"/>
  <c r="AE188" i="1"/>
  <c r="AD188" i="1" s="1"/>
  <c r="AE308" i="1"/>
  <c r="AE240" i="1"/>
  <c r="AE136" i="1"/>
  <c r="AC136" i="1" s="1"/>
  <c r="AE195" i="1"/>
  <c r="AD195" i="1" s="1"/>
  <c r="AE334" i="1"/>
  <c r="AC334" i="1" s="1"/>
  <c r="AE73" i="1"/>
  <c r="AC73" i="1" s="1"/>
  <c r="AE361" i="1"/>
  <c r="AC361" i="1" s="1"/>
  <c r="AE335" i="1"/>
  <c r="AC335" i="1" s="1"/>
  <c r="AE205" i="1"/>
  <c r="AC205" i="1" s="1"/>
  <c r="AE75" i="1"/>
  <c r="AC75" i="1" s="1"/>
  <c r="AE52" i="1"/>
  <c r="AC52" i="1" s="1"/>
  <c r="AE78" i="1"/>
  <c r="AC78" i="1" s="1"/>
  <c r="AE7" i="1"/>
  <c r="AE24" i="1"/>
  <c r="AC24" i="1" s="1"/>
  <c r="AE38" i="1"/>
  <c r="AC38" i="1" s="1"/>
  <c r="AE124" i="1"/>
  <c r="AE107" i="1"/>
  <c r="AE355" i="1"/>
  <c r="AC355" i="1" s="1"/>
  <c r="AE130" i="1"/>
  <c r="AC130" i="1" s="1"/>
  <c r="AE110" i="1"/>
  <c r="AD110" i="1" s="1"/>
  <c r="AE145" i="1"/>
  <c r="AD145" i="1" s="1"/>
  <c r="AE247" i="1"/>
  <c r="AE287" i="1"/>
  <c r="AE277" i="1"/>
  <c r="AC277" i="1" s="1"/>
  <c r="AE13" i="1"/>
  <c r="AE14" i="1"/>
  <c r="AE338" i="1"/>
  <c r="AE12" i="1"/>
  <c r="AE15" i="1"/>
  <c r="AE8" i="1"/>
  <c r="AE337" i="1"/>
  <c r="AC337" i="1" s="1"/>
  <c r="AE60" i="1"/>
  <c r="AC60" i="1" s="1"/>
  <c r="AE343" i="1"/>
  <c r="AC343" i="1" s="1"/>
  <c r="AE61" i="1"/>
  <c r="AC61" i="1" s="1"/>
  <c r="AE77" i="1"/>
  <c r="AC77" i="1" s="1"/>
  <c r="AE86" i="1"/>
  <c r="AC86" i="1" s="1"/>
  <c r="AE258" i="1"/>
  <c r="AD258" i="1" s="1"/>
  <c r="AE87" i="1"/>
  <c r="AC87" i="1" s="1"/>
  <c r="AE352" i="1"/>
  <c r="AC352" i="1" s="1"/>
  <c r="AE157" i="1"/>
  <c r="AC157" i="1" s="1"/>
  <c r="AE64" i="1"/>
  <c r="AC64" i="1" s="1"/>
  <c r="AE298" i="1"/>
  <c r="AE221" i="1"/>
  <c r="AE239" i="1"/>
  <c r="AC239" i="1" s="1"/>
  <c r="AE257" i="1"/>
  <c r="AE233" i="1"/>
  <c r="AC233" i="1" s="1"/>
  <c r="AE292" i="1"/>
  <c r="AC292" i="1" s="1"/>
  <c r="AE241" i="1"/>
  <c r="AD241" i="1" s="1"/>
  <c r="AE328" i="1"/>
  <c r="AC328" i="1" s="1"/>
  <c r="AE153" i="1"/>
  <c r="AE164" i="1"/>
  <c r="AD164" i="1" s="1"/>
  <c r="AE224" i="1"/>
  <c r="AE329" i="1"/>
  <c r="AC329" i="1" s="1"/>
  <c r="AE152" i="1"/>
  <c r="AC152" i="1" s="1"/>
  <c r="AE235" i="1"/>
  <c r="AC235" i="1" s="1"/>
  <c r="AE142" i="1"/>
  <c r="AE148" i="1"/>
  <c r="AE316" i="1"/>
  <c r="AC316" i="1" s="1"/>
  <c r="AE276" i="1"/>
  <c r="AE232" i="1"/>
  <c r="AE359" i="1"/>
  <c r="AC359" i="1" s="1"/>
  <c r="AE187" i="1"/>
  <c r="AC187" i="1" s="1"/>
  <c r="AE161" i="1"/>
  <c r="AC161" i="1" s="1"/>
  <c r="AE89" i="1"/>
  <c r="AC89" i="1" s="1"/>
  <c r="AE325" i="1"/>
  <c r="AC325" i="1" s="1"/>
  <c r="AE261" i="1"/>
  <c r="AC261" i="1" s="1"/>
  <c r="AE245" i="1"/>
  <c r="AC245" i="1" s="1"/>
  <c r="AE83" i="1"/>
  <c r="AC83" i="1" s="1"/>
  <c r="AE69" i="1"/>
  <c r="AC69" i="1" s="1"/>
  <c r="AE349" i="1"/>
  <c r="AC349" i="1" s="1"/>
  <c r="AA114" i="1"/>
  <c r="AA45" i="1"/>
  <c r="AA6" i="1"/>
  <c r="AA106" i="1"/>
  <c r="AA341" i="1"/>
  <c r="AA19" i="1"/>
  <c r="AA339" i="1"/>
  <c r="AA128" i="1"/>
  <c r="AA50" i="1"/>
  <c r="AA107" i="1"/>
  <c r="AA109" i="1"/>
  <c r="AA124" i="1"/>
  <c r="AA14" i="1"/>
  <c r="AA340" i="1"/>
  <c r="AA113" i="1"/>
  <c r="AA115" i="1"/>
  <c r="AA344" i="1"/>
  <c r="AA18" i="1"/>
  <c r="AA102" i="1"/>
  <c r="AA49" i="1"/>
  <c r="AA119" i="1"/>
  <c r="AA7" i="1"/>
  <c r="AA5" i="1"/>
  <c r="AA8" i="1"/>
  <c r="AA10" i="1"/>
  <c r="AA17" i="1"/>
  <c r="AA108" i="1"/>
  <c r="AA11" i="1"/>
  <c r="AA9" i="1"/>
  <c r="AA47" i="1"/>
  <c r="AA16" i="1"/>
  <c r="AA348" i="1"/>
  <c r="AA125" i="1"/>
  <c r="AA20" i="1"/>
  <c r="AA103" i="1"/>
  <c r="AA338" i="1"/>
  <c r="AA126" i="1"/>
  <c r="AA46" i="1"/>
  <c r="AA104" i="1"/>
  <c r="AA112" i="1"/>
  <c r="AA44" i="1"/>
  <c r="AA12" i="1"/>
  <c r="AA342" i="1"/>
  <c r="AA15" i="1"/>
  <c r="AA13" i="1"/>
  <c r="AC125" i="1" l="1"/>
  <c r="AC18" i="1"/>
  <c r="AC10" i="1"/>
  <c r="AD107" i="1"/>
  <c r="AD339" i="1"/>
  <c r="AC7" i="1"/>
  <c r="AD26" i="1"/>
  <c r="AD21" i="1"/>
  <c r="AC21" i="1"/>
  <c r="AD138" i="1"/>
  <c r="AD146" i="1"/>
  <c r="AC313" i="1"/>
  <c r="AD313" i="1"/>
  <c r="AD133" i="1"/>
  <c r="AD306" i="1"/>
  <c r="AC306" i="1"/>
  <c r="AD314" i="1"/>
  <c r="AD312" i="1"/>
  <c r="AC312" i="1"/>
  <c r="AD310" i="1"/>
  <c r="AC299" i="1"/>
  <c r="AC268" i="1"/>
  <c r="AD268" i="1"/>
  <c r="AC140" i="1"/>
  <c r="AD140" i="1"/>
  <c r="AD214" i="1"/>
  <c r="AC214" i="1"/>
  <c r="AC147" i="1"/>
  <c r="AD147" i="1"/>
  <c r="AC199" i="1"/>
  <c r="AD199" i="1"/>
  <c r="AC144" i="1"/>
  <c r="AC142" i="1"/>
  <c r="AD142" i="1"/>
  <c r="AD277" i="1"/>
  <c r="AC240" i="1"/>
  <c r="AD240" i="1"/>
  <c r="AC197" i="1"/>
  <c r="AD197" i="1"/>
  <c r="AC304" i="1"/>
  <c r="AD304" i="1"/>
  <c r="AC303" i="1"/>
  <c r="AD303" i="1"/>
  <c r="AC322" i="1"/>
  <c r="AC273" i="1"/>
  <c r="AD273" i="1"/>
  <c r="AD179" i="1"/>
  <c r="AC251" i="1"/>
  <c r="AD251" i="1"/>
  <c r="AD270" i="1"/>
  <c r="AD276" i="1"/>
  <c r="AC276" i="1"/>
  <c r="AC137" i="1"/>
  <c r="AC186" i="1"/>
  <c r="AD293" i="1"/>
  <c r="AD180" i="1"/>
  <c r="AD308" i="1"/>
  <c r="AC308" i="1"/>
  <c r="AC296" i="1"/>
  <c r="AC250" i="1"/>
  <c r="AD250" i="1"/>
  <c r="AC182" i="1"/>
  <c r="AD315" i="1"/>
  <c r="AC244" i="1"/>
  <c r="AD244" i="1"/>
  <c r="AD295" i="1"/>
  <c r="AC295" i="1"/>
  <c r="AD249" i="1"/>
  <c r="AC249" i="1"/>
  <c r="AC302" i="1"/>
  <c r="AD302" i="1"/>
  <c r="AC320" i="1"/>
  <c r="AD320" i="1"/>
  <c r="AD148" i="1"/>
  <c r="AC148" i="1"/>
  <c r="AC196" i="1"/>
  <c r="AD196" i="1"/>
  <c r="AD265" i="1"/>
  <c r="AC265" i="1"/>
  <c r="AD289" i="1"/>
  <c r="AC213" i="1"/>
  <c r="AD213" i="1"/>
  <c r="AC252" i="1"/>
  <c r="AC297" i="1"/>
  <c r="AD297" i="1"/>
  <c r="AD139" i="1"/>
  <c r="AD198" i="1"/>
  <c r="AC198" i="1"/>
  <c r="AC181" i="1"/>
  <c r="AC150" i="1"/>
  <c r="AD150" i="1"/>
  <c r="AD283" i="1"/>
  <c r="AC160" i="1"/>
  <c r="AD160" i="1"/>
  <c r="AD215" i="1"/>
  <c r="AC215" i="1"/>
  <c r="AC280" i="1"/>
  <c r="AD216" i="1"/>
  <c r="AD285" i="1"/>
  <c r="AC285" i="1"/>
  <c r="AC162" i="1"/>
  <c r="AD264" i="1"/>
  <c r="AC264" i="1"/>
  <c r="AD224" i="1"/>
  <c r="AC224" i="1"/>
  <c r="AD292" i="1"/>
  <c r="AD298" i="1"/>
  <c r="AC298" i="1"/>
  <c r="AD228" i="1"/>
  <c r="AD184" i="1"/>
  <c r="AC184" i="1"/>
  <c r="AD149" i="1"/>
  <c r="AC141" i="1"/>
  <c r="AC217" i="1"/>
  <c r="AD217" i="1"/>
  <c r="AC275" i="1"/>
  <c r="AD321" i="1"/>
  <c r="AC321" i="1"/>
  <c r="AD158" i="1"/>
  <c r="AC143" i="1"/>
  <c r="AD143" i="1"/>
  <c r="AD222" i="1"/>
  <c r="AC222" i="1"/>
  <c r="AD187" i="1"/>
  <c r="AC165" i="1"/>
  <c r="AD165" i="1"/>
  <c r="AD166" i="1"/>
  <c r="AC166" i="1"/>
  <c r="AC208" i="1"/>
  <c r="AC282" i="1"/>
  <c r="AD282" i="1"/>
  <c r="AD168" i="1"/>
  <c r="AC168" i="1"/>
  <c r="AC195" i="1"/>
  <c r="AD170" i="1"/>
  <c r="AC170" i="1"/>
  <c r="AD290" i="1"/>
  <c r="AC290" i="1"/>
  <c r="AD172" i="1"/>
  <c r="AD272" i="1"/>
  <c r="AC272" i="1"/>
  <c r="AC319" i="1"/>
  <c r="AD319" i="1"/>
  <c r="AC318" i="1"/>
  <c r="AC211" i="1"/>
  <c r="AD211" i="1"/>
  <c r="AD253" i="1"/>
  <c r="AC193" i="1"/>
  <c r="AD193" i="1"/>
  <c r="AD286" i="1"/>
  <c r="AC286" i="1"/>
  <c r="AD233" i="1"/>
  <c r="AC220" i="1"/>
  <c r="AD220" i="1"/>
  <c r="AD223" i="1"/>
  <c r="AC223" i="1"/>
  <c r="AD151" i="1"/>
  <c r="AD221" i="1"/>
  <c r="AC221" i="1"/>
  <c r="AC225" i="1"/>
  <c r="AC266" i="1"/>
  <c r="AD266" i="1"/>
  <c r="AC218" i="1"/>
  <c r="AD201" i="1"/>
  <c r="AC201" i="1"/>
  <c r="AC164" i="1"/>
  <c r="AC238" i="1"/>
  <c r="AD238" i="1"/>
  <c r="AD311" i="1"/>
  <c r="AC269" i="1"/>
  <c r="AD269" i="1"/>
  <c r="AC241" i="1"/>
  <c r="AD153" i="1"/>
  <c r="AC153" i="1"/>
  <c r="AD152" i="1"/>
  <c r="AD271" i="1"/>
  <c r="AC271" i="1"/>
  <c r="AD232" i="1"/>
  <c r="AC232" i="1"/>
  <c r="AD136" i="1"/>
  <c r="AD307" i="1"/>
  <c r="AC307" i="1"/>
  <c r="AC301" i="1"/>
  <c r="AC183" i="1"/>
  <c r="AD183" i="1"/>
  <c r="AC279" i="1"/>
  <c r="AD185" i="1"/>
  <c r="AC185" i="1"/>
  <c r="AC294" i="1"/>
  <c r="AC134" i="1"/>
  <c r="AD134" i="1"/>
  <c r="AD291" i="1"/>
  <c r="AC171" i="1"/>
  <c r="AD171" i="1"/>
  <c r="AC207" i="1"/>
  <c r="AC229" i="1"/>
  <c r="AD229" i="1"/>
  <c r="AC188" i="1"/>
  <c r="AD256" i="1"/>
  <c r="AC256" i="1"/>
  <c r="AD263" i="1"/>
  <c r="AD194" i="1"/>
  <c r="AC194" i="1"/>
  <c r="AD239" i="1"/>
  <c r="AD236" i="1"/>
  <c r="AC236" i="1"/>
  <c r="AD257" i="1"/>
  <c r="AC257" i="1"/>
  <c r="AC284" i="1"/>
  <c r="AC254" i="1"/>
  <c r="AD254" i="1"/>
  <c r="AC163" i="1"/>
  <c r="AC226" i="1"/>
  <c r="AD226" i="1"/>
  <c r="AC281" i="1"/>
  <c r="AC155" i="1"/>
  <c r="AD155" i="1"/>
  <c r="AD154" i="1"/>
  <c r="AC154" i="1"/>
  <c r="AC145" i="1"/>
  <c r="AD175" i="1"/>
  <c r="AC175" i="1"/>
  <c r="AD237" i="1"/>
  <c r="AC237" i="1"/>
  <c r="AD316" i="1"/>
  <c r="AC169" i="1"/>
  <c r="AD169" i="1"/>
  <c r="AC192" i="1"/>
  <c r="AD135" i="1"/>
  <c r="AC135" i="1"/>
  <c r="AD173" i="1"/>
  <c r="AD247" i="1"/>
  <c r="AC247" i="1"/>
  <c r="AD235" i="1"/>
  <c r="AC159" i="1"/>
  <c r="AD159" i="1"/>
  <c r="AD200" i="1"/>
  <c r="AC287" i="1"/>
  <c r="AD287" i="1"/>
  <c r="AD156" i="1"/>
  <c r="AC176" i="1"/>
  <c r="AD176" i="1"/>
  <c r="AC189" i="1"/>
  <c r="AD189" i="1"/>
  <c r="AC209" i="1"/>
  <c r="AD309" i="1"/>
  <c r="AC309" i="1"/>
  <c r="AD128" i="1"/>
  <c r="AC15" i="1"/>
  <c r="AD212" i="1"/>
  <c r="AC102" i="1"/>
  <c r="AD341" i="1"/>
  <c r="AC230" i="1"/>
  <c r="AD230" i="1"/>
  <c r="AD333" i="1"/>
  <c r="AC231" i="1"/>
  <c r="AD231" i="1"/>
  <c r="AD124" i="1"/>
  <c r="AD50" i="1"/>
  <c r="AC331" i="1"/>
  <c r="AC332" i="1"/>
  <c r="AD332" i="1"/>
  <c r="AC47" i="1"/>
  <c r="AC17" i="1"/>
  <c r="AC338" i="1"/>
  <c r="AD329" i="1"/>
  <c r="AC330" i="1"/>
  <c r="AD330" i="1"/>
  <c r="AD328" i="1"/>
  <c r="AD326" i="1"/>
  <c r="AC327" i="1"/>
  <c r="AD327" i="1"/>
  <c r="AC112" i="1"/>
  <c r="AC49" i="1"/>
  <c r="AC12" i="1"/>
  <c r="AC108" i="1"/>
  <c r="AC5" i="1"/>
  <c r="AC8" i="1"/>
  <c r="AC340" i="1"/>
  <c r="AD109" i="1"/>
  <c r="AD19" i="1"/>
  <c r="AC348" i="1"/>
  <c r="AD6" i="1"/>
  <c r="AD106" i="1"/>
  <c r="AC45" i="1"/>
  <c r="AC9" i="1"/>
  <c r="AC11" i="1"/>
  <c r="AC113" i="1"/>
  <c r="AC13" i="1"/>
  <c r="AC103" i="1"/>
  <c r="AD114" i="1"/>
  <c r="AC20" i="1"/>
  <c r="AC115" i="1"/>
  <c r="AC16" i="1"/>
  <c r="AC126" i="1"/>
  <c r="AD14" i="1"/>
  <c r="AC44" i="1"/>
  <c r="AC344" i="1"/>
  <c r="AC104" i="1"/>
  <c r="AC119" i="1"/>
  <c r="AC342" i="1"/>
  <c r="AC46" i="1"/>
  <c r="AD46" i="1"/>
  <c r="AC105" i="1"/>
  <c r="AD105" i="1"/>
  <c r="AD10" i="1"/>
  <c r="AD102" i="1"/>
  <c r="AC100" i="1"/>
  <c r="AC178" i="1"/>
  <c r="AC4" i="1"/>
  <c r="AC128" i="1"/>
  <c r="AD127" i="1"/>
  <c r="AD177" i="1"/>
  <c r="AD323" i="1"/>
  <c r="AD111" i="1"/>
  <c r="AD246" i="1"/>
  <c r="AD255" i="1"/>
  <c r="AD161" i="1"/>
  <c r="AD121" i="1"/>
  <c r="AD274" i="1"/>
  <c r="AD360" i="1"/>
  <c r="AD130" i="1"/>
  <c r="AD89" i="1"/>
  <c r="AD234" i="1"/>
  <c r="AD85" i="1"/>
  <c r="AD34" i="1"/>
  <c r="AD70" i="1"/>
  <c r="AD81" i="1"/>
  <c r="AD202" i="1"/>
  <c r="AD346" i="1"/>
  <c r="AD13" i="1"/>
  <c r="AD126" i="1"/>
  <c r="AD16" i="1"/>
  <c r="AD18" i="1"/>
  <c r="AC339" i="1"/>
  <c r="AC6" i="1"/>
  <c r="AC110" i="1"/>
  <c r="AD66" i="1"/>
  <c r="AD45" i="1"/>
  <c r="AD96" i="1"/>
  <c r="AD227" i="1"/>
  <c r="AD90" i="1"/>
  <c r="AD35" i="1"/>
  <c r="AD117" i="1"/>
  <c r="AD71" i="1"/>
  <c r="AD99" i="1"/>
  <c r="AD82" i="1"/>
  <c r="AD219" i="1"/>
  <c r="AD57" i="1"/>
  <c r="AD38" i="1"/>
  <c r="AD52" i="1"/>
  <c r="AD352" i="1"/>
  <c r="AD27" i="1"/>
  <c r="AD325" i="1"/>
  <c r="AD23" i="1"/>
  <c r="AD77" i="1"/>
  <c r="AD15" i="1"/>
  <c r="AD338" i="1"/>
  <c r="AD47" i="1"/>
  <c r="AC42" i="1"/>
  <c r="AC48" i="1"/>
  <c r="AC317" i="1"/>
  <c r="AD345" i="1"/>
  <c r="AD64" i="1"/>
  <c r="AD132" i="1"/>
  <c r="AD58" i="1"/>
  <c r="AD84" i="1"/>
  <c r="AD358" i="1"/>
  <c r="AD28" i="1"/>
  <c r="AD362" i="1"/>
  <c r="AD97" i="1"/>
  <c r="AD260" i="1"/>
  <c r="AD36" i="1"/>
  <c r="AD248" i="1"/>
  <c r="AD74" i="1"/>
  <c r="AD190" i="1"/>
  <c r="AD242" i="1"/>
  <c r="AD357" i="1"/>
  <c r="AD129" i="1"/>
  <c r="AD342" i="1"/>
  <c r="AD103" i="1"/>
  <c r="AD9" i="1"/>
  <c r="AD8" i="1"/>
  <c r="AD115" i="1"/>
  <c r="AC32" i="1"/>
  <c r="AC116" i="1"/>
  <c r="AD167" i="1"/>
  <c r="AD351" i="1"/>
  <c r="AD300" i="1"/>
  <c r="AD68" i="1"/>
  <c r="AD3" i="1"/>
  <c r="AD261" i="1"/>
  <c r="AD88" i="1"/>
  <c r="AD191" i="1"/>
  <c r="AD361" i="1"/>
  <c r="AD243" i="1"/>
  <c r="AD334" i="1"/>
  <c r="AD95" i="1"/>
  <c r="AD31" i="1"/>
  <c r="AD33" i="1"/>
  <c r="AD39" i="1"/>
  <c r="AD87" i="1"/>
  <c r="AD210" i="1"/>
  <c r="AD12" i="1"/>
  <c r="AD20" i="1"/>
  <c r="AD11" i="1"/>
  <c r="AD5" i="1"/>
  <c r="AC14" i="1"/>
  <c r="AC258" i="1"/>
  <c r="AC67" i="1"/>
  <c r="AD55" i="1"/>
  <c r="AD73" i="1"/>
  <c r="AD157" i="1"/>
  <c r="AD118" i="1"/>
  <c r="AD91" i="1"/>
  <c r="AD335" i="1"/>
  <c r="AD60" i="1"/>
  <c r="AD56" i="1"/>
  <c r="AD83" i="1"/>
  <c r="AD40" i="1"/>
  <c r="AD76" i="1"/>
  <c r="AD63" i="1"/>
  <c r="AD353" i="1"/>
  <c r="AD204" i="1"/>
  <c r="AD267" i="1"/>
  <c r="AD54" i="1"/>
  <c r="AD41" i="1"/>
  <c r="AD44" i="1"/>
  <c r="AD125" i="1"/>
  <c r="AD7" i="1"/>
  <c r="AD344" i="1"/>
  <c r="AD113" i="1"/>
  <c r="AD2" i="1"/>
  <c r="AD94" i="1"/>
  <c r="AD37" i="1"/>
  <c r="AD51" i="1"/>
  <c r="AD69" i="1"/>
  <c r="AD59" i="1"/>
  <c r="AD356" i="1"/>
  <c r="AD123" i="1"/>
  <c r="AD259" i="1"/>
  <c r="AD337" i="1"/>
  <c r="AD343" i="1"/>
  <c r="AD350" i="1"/>
  <c r="AD288" i="1"/>
  <c r="AD75" i="1"/>
  <c r="AD30" i="1"/>
  <c r="AD122" i="1"/>
  <c r="AD112" i="1"/>
  <c r="AD348" i="1"/>
  <c r="AD108" i="1"/>
  <c r="AD119" i="1"/>
  <c r="AC29" i="1"/>
  <c r="AD174" i="1"/>
  <c r="AD62" i="1"/>
  <c r="AD203" i="1"/>
  <c r="AD349" i="1"/>
  <c r="AD24" i="1"/>
  <c r="AD262" i="1"/>
  <c r="AD86" i="1"/>
  <c r="AD65" i="1"/>
  <c r="AD131" i="1"/>
  <c r="AD93" i="1"/>
  <c r="AD245" i="1"/>
  <c r="AD347" i="1"/>
  <c r="AD80" i="1"/>
  <c r="AD101" i="1"/>
  <c r="AD43" i="1"/>
  <c r="AD354" i="1"/>
  <c r="AD340" i="1"/>
  <c r="AD72" i="1"/>
  <c r="AD98" i="1"/>
  <c r="AD104" i="1"/>
  <c r="AD17" i="1"/>
  <c r="AD49" i="1"/>
  <c r="AC278" i="1"/>
  <c r="AC79" i="1"/>
  <c r="AD92" i="1"/>
  <c r="AD25" i="1"/>
  <c r="AD336" i="1"/>
  <c r="AD53" i="1"/>
  <c r="AD305" i="1"/>
  <c r="AD206" i="1"/>
  <c r="AD61" i="1"/>
  <c r="AD22" i="1"/>
  <c r="AD78" i="1"/>
  <c r="AD324" i="1"/>
  <c r="AD355" i="1"/>
  <c r="AD205" i="1"/>
  <c r="AD120" i="1"/>
  <c r="AD359" i="1"/>
  <c r="AC106" i="1"/>
  <c r="AC107" i="1"/>
  <c r="AC109" i="1"/>
  <c r="AC341" i="1"/>
  <c r="AC50" i="1"/>
  <c r="AC114" i="1"/>
  <c r="AC19" i="1"/>
  <c r="AC124" i="1"/>
</calcChain>
</file>

<file path=xl/sharedStrings.xml><?xml version="1.0" encoding="utf-8"?>
<sst xmlns="http://schemas.openxmlformats.org/spreadsheetml/2006/main" count="3255" uniqueCount="426">
  <si>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</si>
  <si>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</si>
  <si>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</si>
  <si>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</si>
  <si>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</si>
  <si>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</si>
  <si>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</si>
  <si>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</si>
  <si>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</si>
  <si>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</si>
  <si>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</si>
  <si>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</si>
  <si>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</si>
  <si>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</si>
  <si>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</si>
  <si>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</si>
  <si>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</si>
  <si>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</si>
  <si>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</si>
  <si>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</si>
  <si>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</si>
  <si>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</si>
  <si>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</si>
  <si>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</si>
  <si>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</si>
  <si>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</si>
  <si>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</si>
  <si>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</si>
  <si>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</si>
  <si>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</si>
  <si>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</si>
  <si>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</si>
  <si>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</si>
  <si>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</si>
  <si>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</si>
  <si>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</si>
  <si>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</si>
  <si>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</si>
  <si>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</si>
  <si>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</si>
  <si>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</si>
  <si>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</si>
  <si>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</si>
  <si>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</si>
  <si>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</si>
  <si>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</si>
  <si>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</si>
  <si>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</si>
  <si>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</si>
  <si>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</si>
  <si>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</si>
  <si>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</si>
  <si>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</si>
  <si>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</si>
  <si>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</si>
  <si>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</si>
  <si>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</si>
  <si>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</si>
  <si>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</si>
  <si>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</si>
  <si>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</si>
  <si>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</si>
  <si>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</si>
  <si>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</si>
  <si>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</si>
  <si>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</si>
  <si>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</si>
  <si>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</si>
  <si>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</si>
  <si>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</si>
  <si>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</si>
  <si>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</si>
  <si>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</si>
  <si>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</si>
  <si>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</si>
  <si>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</si>
  <si>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</si>
  <si>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</si>
  <si>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</si>
  <si>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</si>
  <si>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</si>
  <si>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</si>
  <si>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</si>
  <si>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</si>
  <si>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</si>
  <si>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</si>
  <si>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</si>
  <si>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</si>
  <si>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</si>
  <si>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</si>
  <si>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</si>
  <si>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</si>
  <si>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</si>
  <si>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</si>
  <si>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</si>
  <si>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</si>
  <si>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</si>
  <si>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</si>
  <si>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</si>
  <si>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</si>
  <si>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</si>
  <si>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</si>
  <si>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</si>
  <si>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</si>
  <si>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</si>
  <si>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</si>
  <si>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</si>
  <si>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</si>
  <si>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</si>
  <si>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</si>
  <si>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</si>
  <si>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</si>
  <si>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</si>
  <si>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</si>
  <si>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</si>
  <si>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</si>
  <si>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</si>
  <si>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</si>
  <si>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</si>
  <si>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</si>
  <si>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</si>
  <si>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</si>
  <si>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</si>
  <si>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</si>
  <si>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</si>
  <si>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</si>
  <si>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</si>
  <si>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</si>
  <si>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</si>
  <si>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</si>
  <si>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</si>
  <si>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</si>
  <si>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</si>
  <si>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</si>
  <si>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</si>
  <si>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</si>
  <si>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</si>
  <si>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</si>
  <si>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</si>
  <si>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</si>
  <si>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</si>
  <si>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</si>
  <si>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</si>
  <si>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</si>
  <si>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</si>
  <si>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</si>
  <si>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</si>
  <si>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</si>
  <si>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</si>
  <si>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</si>
  <si>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</si>
  <si>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</si>
  <si>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</si>
  <si>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</si>
  <si>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</si>
  <si>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</si>
  <si>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</si>
  <si>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</si>
  <si>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</si>
  <si>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</si>
  <si>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</si>
  <si>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</si>
  <si>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</si>
  <si>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</si>
  <si>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</si>
  <si>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</si>
  <si>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</si>
  <si>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</si>
  <si>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</si>
  <si>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</si>
  <si>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</si>
  <si>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</si>
  <si>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</si>
  <si>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</si>
  <si>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</si>
  <si>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</si>
  <si>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</si>
  <si>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</si>
  <si>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</si>
  <si>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</si>
  <si>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</si>
  <si>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</si>
  <si>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</si>
  <si>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</si>
  <si>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</si>
  <si>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</si>
  <si>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</si>
  <si>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</si>
  <si>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</si>
  <si>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</si>
  <si>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</si>
  <si>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</si>
  <si>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</si>
  <si>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</si>
  <si>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</si>
  <si>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</si>
  <si>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</si>
  <si>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</si>
  <si>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</si>
  <si>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</si>
  <si>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</si>
  <si>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</si>
  <si>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</si>
  <si>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</si>
  <si>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</si>
  <si>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</si>
  <si>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</si>
  <si>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</si>
  <si>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</si>
  <si>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</si>
  <si>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</si>
  <si>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</si>
  <si>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</si>
  <si>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</si>
  <si>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</si>
  <si>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</si>
  <si>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</si>
  <si>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</si>
  <si>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</si>
  <si>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</si>
  <si>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</si>
  <si>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</si>
  <si>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</si>
  <si>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</si>
  <si>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</si>
  <si>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</si>
  <si>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</si>
  <si>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</si>
  <si>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</si>
  <si>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</si>
  <si>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</si>
  <si>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</si>
  <si>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</si>
  <si>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</si>
  <si>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</si>
  <si>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</si>
  <si>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</si>
  <si>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</si>
  <si>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</si>
  <si>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</si>
  <si>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</si>
  <si>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</si>
  <si>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</si>
  <si>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</si>
  <si>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</si>
  <si>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</si>
  <si>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</si>
  <si>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</si>
  <si>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</si>
  <si>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</si>
  <si>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</si>
  <si>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T_2L129</t>
  </si>
  <si>
    <t>T_5L003</t>
  </si>
  <si>
    <t>T_5L007</t>
  </si>
  <si>
    <t>T_5L013</t>
  </si>
  <si>
    <t>T_5L042</t>
  </si>
  <si>
    <t>T_5L061</t>
  </si>
  <si>
    <t>T_5L062</t>
  </si>
  <si>
    <t>T_5L063</t>
  </si>
  <si>
    <t>Transmission</t>
  </si>
  <si>
    <t>Solar66723</t>
  </si>
  <si>
    <t>Solar51483</t>
  </si>
  <si>
    <t>Solar66722</t>
  </si>
  <si>
    <t>Solar38464</t>
  </si>
  <si>
    <t>Solar79182</t>
  </si>
  <si>
    <t>Solar35273</t>
  </si>
  <si>
    <t>Solar36892</t>
  </si>
  <si>
    <t>Solar36072</t>
  </si>
  <si>
    <t>Solar37701</t>
  </si>
  <si>
    <t>Solar73987</t>
  </si>
  <si>
    <t>Solar68366</t>
  </si>
  <si>
    <t>Solar35276</t>
  </si>
  <si>
    <t>Solar36069</t>
  </si>
  <si>
    <t>Solar70166</t>
  </si>
  <si>
    <t>Solar36895</t>
  </si>
  <si>
    <t>Solar21118</t>
  </si>
  <si>
    <t>Solar79908</t>
  </si>
  <si>
    <t>Solar36065</t>
  </si>
  <si>
    <t>Solar27672</t>
  </si>
  <si>
    <t>Solar68377</t>
  </si>
  <si>
    <t>Solar36071</t>
  </si>
  <si>
    <t>Solar73257</t>
  </si>
  <si>
    <t>Solar35271</t>
  </si>
  <si>
    <t>Solar35272</t>
  </si>
  <si>
    <t>Solar36059</t>
  </si>
  <si>
    <t>Solar65976</t>
  </si>
  <si>
    <t>Solar73260</t>
  </si>
  <si>
    <t>Solar70981</t>
  </si>
  <si>
    <t>Solar68379</t>
  </si>
  <si>
    <t>Solar70984</t>
  </si>
  <si>
    <t>Solar68372</t>
  </si>
  <si>
    <t>Solar71006</t>
  </si>
  <si>
    <t>Solar36897</t>
  </si>
  <si>
    <t>Solar36891</t>
  </si>
  <si>
    <t>Solar70983</t>
  </si>
  <si>
    <t>Solar37709</t>
  </si>
  <si>
    <t>Solar66721</t>
  </si>
  <si>
    <t>Solar73997</t>
  </si>
  <si>
    <t>Solar36067</t>
  </si>
  <si>
    <t>Solar75466</t>
  </si>
  <si>
    <t>Solar20369</t>
  </si>
  <si>
    <t>Solar73255</t>
  </si>
  <si>
    <t>Solar36888</t>
  </si>
  <si>
    <t>Solar76981</t>
  </si>
  <si>
    <t>Solar36886</t>
  </si>
  <si>
    <t>Solar21844</t>
  </si>
  <si>
    <t>Solar78446</t>
  </si>
  <si>
    <t>Solar32665</t>
  </si>
  <si>
    <t>Solar66726</t>
  </si>
  <si>
    <t>Solar71783</t>
  </si>
  <si>
    <t>Solar68400</t>
  </si>
  <si>
    <t>Solar35270</t>
  </si>
  <si>
    <t>Solar79201</t>
  </si>
  <si>
    <t>Solar71781</t>
  </si>
  <si>
    <t>Solar36060</t>
  </si>
  <si>
    <t>Solar68378</t>
  </si>
  <si>
    <t>Solar62047</t>
  </si>
  <si>
    <t>Solar37702</t>
  </si>
  <si>
    <t>Solar65972</t>
  </si>
  <si>
    <t>Solar71769</t>
  </si>
  <si>
    <t>Solar32664</t>
  </si>
  <si>
    <t>Solar62881</t>
  </si>
  <si>
    <t>Solar67480</t>
  </si>
  <si>
    <t>Solar64496</t>
  </si>
  <si>
    <t>Solar62055</t>
  </si>
  <si>
    <t>Solar70980</t>
  </si>
  <si>
    <t>Solar73984</t>
  </si>
  <si>
    <t>Solar36896</t>
  </si>
  <si>
    <t>Solar79919</t>
  </si>
  <si>
    <t>Solar38468</t>
  </si>
  <si>
    <t>Solar36068</t>
  </si>
  <si>
    <t>Solar80640</t>
  </si>
  <si>
    <t>Solar72530</t>
  </si>
  <si>
    <t>Solar36898</t>
  </si>
  <si>
    <t>Solar73991</t>
  </si>
  <si>
    <t>Solar36066</t>
  </si>
  <si>
    <t>Solar37710</t>
  </si>
  <si>
    <t>Solar36064</t>
  </si>
  <si>
    <t>Solar73258</t>
  </si>
  <si>
    <t>Solar36890</t>
  </si>
  <si>
    <t>Solar36062</t>
  </si>
  <si>
    <t>Solar36061</t>
  </si>
  <si>
    <t>Solar35275</t>
  </si>
  <si>
    <t>Solar64495</t>
  </si>
  <si>
    <t>Solar27670</t>
  </si>
  <si>
    <t>Solar72536</t>
  </si>
  <si>
    <t>Solar81355</t>
  </si>
  <si>
    <t>Solar23940</t>
  </si>
  <si>
    <t>Solar62046</t>
  </si>
  <si>
    <t>Solar32661</t>
  </si>
  <si>
    <t>Solar73256</t>
  </si>
  <si>
    <t>Solar66720</t>
  </si>
  <si>
    <t>Solar36887</t>
  </si>
  <si>
    <t>Solar74711</t>
  </si>
  <si>
    <t>Solar76238</t>
  </si>
  <si>
    <t>Solar36056</t>
  </si>
  <si>
    <t>Solar65228</t>
  </si>
  <si>
    <t>Solar71767</t>
  </si>
  <si>
    <t>Solar60401</t>
  </si>
  <si>
    <t>Solar73982</t>
  </si>
  <si>
    <t>Solar73259</t>
  </si>
  <si>
    <t>Solar59571</t>
  </si>
  <si>
    <t>Solar35277</t>
  </si>
  <si>
    <t>Solar36884</t>
  </si>
  <si>
    <t>Solar32662</t>
  </si>
  <si>
    <t>Solar23229</t>
  </si>
  <si>
    <t>Solar37698</t>
  </si>
  <si>
    <t>Solar70974</t>
  </si>
  <si>
    <t>Solar76234</t>
  </si>
  <si>
    <t>Solar73989</t>
  </si>
  <si>
    <t>Solar58731</t>
  </si>
  <si>
    <t>Solar36885</t>
  </si>
  <si>
    <t>Solar71768</t>
  </si>
  <si>
    <t>Solar36899</t>
  </si>
  <si>
    <t>Solar31787</t>
  </si>
  <si>
    <t>Solar81353</t>
  </si>
  <si>
    <t>Solar77691</t>
  </si>
  <si>
    <t>Solar70181</t>
  </si>
  <si>
    <t>Solar79905</t>
  </si>
  <si>
    <t>Solar75468</t>
  </si>
  <si>
    <t>Solar69285</t>
  </si>
  <si>
    <t>Solar76231</t>
  </si>
  <si>
    <t>Solar70190</t>
  </si>
  <si>
    <t>Solar36883</t>
  </si>
  <si>
    <t>Solar79181</t>
  </si>
  <si>
    <t>Solar74712</t>
  </si>
  <si>
    <t>Solar36889</t>
  </si>
  <si>
    <t>Solar22545</t>
  </si>
  <si>
    <t>Solar71782</t>
  </si>
  <si>
    <t>Solar72538</t>
  </si>
  <si>
    <t>Solar36077</t>
  </si>
  <si>
    <t>Solar70973</t>
  </si>
  <si>
    <t>Solar81356</t>
  </si>
  <si>
    <t>Solar72533</t>
  </si>
  <si>
    <t>Solar72541</t>
  </si>
  <si>
    <t>Solar77693</t>
  </si>
  <si>
    <t>Solar77711</t>
  </si>
  <si>
    <t>Solar37697</t>
  </si>
  <si>
    <t>Solar68395</t>
  </si>
  <si>
    <t>Solar27671</t>
  </si>
  <si>
    <t>Solar26927</t>
  </si>
  <si>
    <t>Solar76239</t>
  </si>
  <si>
    <t>Solar37700</t>
  </si>
  <si>
    <t>Solar29217</t>
  </si>
  <si>
    <t>Solar59570</t>
  </si>
  <si>
    <t>Solar23231</t>
  </si>
  <si>
    <t>Solar79198</t>
  </si>
  <si>
    <t>Solar71777</t>
  </si>
  <si>
    <t>Solar79903</t>
  </si>
  <si>
    <t>Solar79890</t>
  </si>
  <si>
    <t>Solar20367</t>
  </si>
  <si>
    <t>Solar78434</t>
  </si>
  <si>
    <t>Solar28399</t>
  </si>
  <si>
    <t>Solar79893</t>
  </si>
  <si>
    <t>Solar23228</t>
  </si>
  <si>
    <t>Diana - storage for 16 hrs of generation</t>
  </si>
  <si>
    <t>Blinch - Stave</t>
  </si>
  <si>
    <t>ARN - Arnott -&gt; VIT - Vancouver Island</t>
  </si>
  <si>
    <t>PCN - Peace Canyon G.S. -&gt; KDY - Kennedy Capacitor STN</t>
  </si>
  <si>
    <t>KDY - Kennedy Capacitor STN -&gt; WSN - Williston Sub</t>
  </si>
  <si>
    <t>WSN - Williston -&gt; KLY - Kelly Lake</t>
  </si>
  <si>
    <t>KLY - Kelly Lake -&gt; CKY - Cheekye</t>
  </si>
  <si>
    <t>WSN - Williston -&gt; GLN - Glenannan</t>
  </si>
  <si>
    <t>GLN - Glenannan -&gt; TKW - Telkwa</t>
  </si>
  <si>
    <t>TKW - Telkwa Sub -&gt; SKA - Skeena Sub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</si>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</sst>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1"/>
      <color rgb="FF000000"/>
      <name val="Aptos"/>
      <family val="2"/>
    </font>
    <font>
      <sz val="11"/>
      <name val="Aptos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2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5" fillId="0" borderId="0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" fontId="5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projects'!$AC$2:$AC$362</c:f>
              <c:numCache>
                <c:formatCode>0.0000</c:formatCode>
                <c:ptCount val="361"/>
                <c:pt idx="0">
                  <c:v>2.333985063773495E-2</c:v>
                </c:pt>
                <c:pt idx="1">
                  <c:v>3.0879206972827609E-2</c:v>
                </c:pt>
                <c:pt idx="2">
                  <c:v>2.3489942781901064E-3</c:v>
                </c:pt>
                <c:pt idx="3">
                  <c:v>0.14851060180130235</c:v>
                </c:pt>
                <c:pt idx="4">
                  <c:v>0.17857053175748261</c:v>
                </c:pt>
                <c:pt idx="5">
                  <c:v>0.2591300013000204</c:v>
                </c:pt>
                <c:pt idx="6">
                  <c:v>0.16213767707248189</c:v>
                </c:pt>
                <c:pt idx="7">
                  <c:v>0.11319066408431998</c:v>
                </c:pt>
                <c:pt idx="8">
                  <c:v>0.14524071019940935</c:v>
                </c:pt>
                <c:pt idx="9">
                  <c:v>0.16079276544806345</c:v>
                </c:pt>
                <c:pt idx="10">
                  <c:v>3.6539374029131766E-2</c:v>
                </c:pt>
                <c:pt idx="11">
                  <c:v>0.10191755462481634</c:v>
                </c:pt>
                <c:pt idx="12">
                  <c:v>0.17205237583023753</c:v>
                </c:pt>
                <c:pt idx="13">
                  <c:v>9.8326131613669349E-2</c:v>
                </c:pt>
                <c:pt idx="14">
                  <c:v>3.5745206574220235E-2</c:v>
                </c:pt>
                <c:pt idx="15">
                  <c:v>6.9521419248706195E-2</c:v>
                </c:pt>
                <c:pt idx="16">
                  <c:v>0.30627924585056354</c:v>
                </c:pt>
                <c:pt idx="17">
                  <c:v>0.20015281997519396</c:v>
                </c:pt>
                <c:pt idx="18">
                  <c:v>0.11882500030104441</c:v>
                </c:pt>
                <c:pt idx="19">
                  <c:v>4.7210092385001658E-2</c:v>
                </c:pt>
                <c:pt idx="20">
                  <c:v>2.7390814876853176E-2</c:v>
                </c:pt>
                <c:pt idx="21">
                  <c:v>1.856061695182331E-2</c:v>
                </c:pt>
                <c:pt idx="22">
                  <c:v>6.5903377767489025E-4</c:v>
                </c:pt>
                <c:pt idx="23">
                  <c:v>0.16239404772524699</c:v>
                </c:pt>
                <c:pt idx="24">
                  <c:v>0.10230679890994891</c:v>
                </c:pt>
                <c:pt idx="25">
                  <c:v>3.9696675019727623E-2</c:v>
                </c:pt>
                <c:pt idx="26">
                  <c:v>1.2229044666881454E-2</c:v>
                </c:pt>
                <c:pt idx="27">
                  <c:v>7.4020100428416946E-2</c:v>
                </c:pt>
                <c:pt idx="28">
                  <c:v>0.14558225307538375</c:v>
                </c:pt>
                <c:pt idx="29">
                  <c:v>4.1983924473977106E-2</c:v>
                </c:pt>
                <c:pt idx="30">
                  <c:v>8.4835667840617024E-2</c:v>
                </c:pt>
                <c:pt idx="31">
                  <c:v>5.5846602019528825E-2</c:v>
                </c:pt>
                <c:pt idx="32">
                  <c:v>1.5120834313263627E-2</c:v>
                </c:pt>
                <c:pt idx="33">
                  <c:v>0.1227082717421035</c:v>
                </c:pt>
                <c:pt idx="34">
                  <c:v>0.10278029876876522</c:v>
                </c:pt>
                <c:pt idx="35">
                  <c:v>2.3260264324369097E-2</c:v>
                </c:pt>
                <c:pt idx="36">
                  <c:v>4.4993447061769656E-3</c:v>
                </c:pt>
                <c:pt idx="37">
                  <c:v>7.3213203095375545E-3</c:v>
                </c:pt>
                <c:pt idx="38">
                  <c:v>4.7891681516143245E-2</c:v>
                </c:pt>
                <c:pt idx="39">
                  <c:v>8.9384412092204629E-2</c:v>
                </c:pt>
                <c:pt idx="40">
                  <c:v>9.0580406260052745E-2</c:v>
                </c:pt>
                <c:pt idx="41">
                  <c:v>5.011100552029446E-2</c:v>
                </c:pt>
                <c:pt idx="42">
                  <c:v>0.17213981387345373</c:v>
                </c:pt>
                <c:pt idx="43">
                  <c:v>4.1551609948670083E-2</c:v>
                </c:pt>
                <c:pt idx="44">
                  <c:v>0.18147349568105711</c:v>
                </c:pt>
                <c:pt idx="45">
                  <c:v>0.23782999075732211</c:v>
                </c:pt>
                <c:pt idx="46">
                  <c:v>2.7501169158208549E-2</c:v>
                </c:pt>
                <c:pt idx="47">
                  <c:v>1.9381854197677319E-2</c:v>
                </c:pt>
                <c:pt idx="48">
                  <c:v>3.2259021318122361E-2</c:v>
                </c:pt>
                <c:pt idx="49">
                  <c:v>3.0904715879195917E-2</c:v>
                </c:pt>
                <c:pt idx="50">
                  <c:v>3.9256277759059786E-2</c:v>
                </c:pt>
                <c:pt idx="51">
                  <c:v>5.4701293901184195E-2</c:v>
                </c:pt>
                <c:pt idx="52">
                  <c:v>7.5873440436335007E-3</c:v>
                </c:pt>
                <c:pt idx="53">
                  <c:v>2.4953854191779304E-3</c:v>
                </c:pt>
                <c:pt idx="54">
                  <c:v>0.16084360754916183</c:v>
                </c:pt>
                <c:pt idx="55">
                  <c:v>0.14929591240664244</c:v>
                </c:pt>
                <c:pt idx="56">
                  <c:v>0.11636753910566955</c:v>
                </c:pt>
                <c:pt idx="57">
                  <c:v>0.10304294466164698</c:v>
                </c:pt>
                <c:pt idx="58">
                  <c:v>0.10076774927153398</c:v>
                </c:pt>
                <c:pt idx="59">
                  <c:v>0.10845940950568016</c:v>
                </c:pt>
                <c:pt idx="60">
                  <c:v>5.1294638435827287E-2</c:v>
                </c:pt>
                <c:pt idx="61">
                  <c:v>9.3009429202586189E-2</c:v>
                </c:pt>
                <c:pt idx="62">
                  <c:v>0.11536096945640227</c:v>
                </c:pt>
                <c:pt idx="63">
                  <c:v>0.15838524199178849</c:v>
                </c:pt>
                <c:pt idx="64">
                  <c:v>6.828708430988456E-2</c:v>
                </c:pt>
                <c:pt idx="65">
                  <c:v>0.12226829225735883</c:v>
                </c:pt>
                <c:pt idx="66">
                  <c:v>2.3341779779497869E-2</c:v>
                </c:pt>
                <c:pt idx="67">
                  <c:v>1.8889345165730483E-2</c:v>
                </c:pt>
                <c:pt idx="68">
                  <c:v>5.0491169322861421E-2</c:v>
                </c:pt>
                <c:pt idx="69">
                  <c:v>9.6479119682234729E-2</c:v>
                </c:pt>
                <c:pt idx="70">
                  <c:v>1.3229390683646066E-2</c:v>
                </c:pt>
                <c:pt idx="71">
                  <c:v>8.1537412939798271E-2</c:v>
                </c:pt>
                <c:pt idx="72">
                  <c:v>4.6991865902775688E-2</c:v>
                </c:pt>
                <c:pt idx="73">
                  <c:v>9.6083424445347176E-2</c:v>
                </c:pt>
                <c:pt idx="74">
                  <c:v>0.1741111878671974</c:v>
                </c:pt>
                <c:pt idx="75">
                  <c:v>7.3703647454134963E-2</c:v>
                </c:pt>
                <c:pt idx="76">
                  <c:v>7.0492486545772171E-2</c:v>
                </c:pt>
                <c:pt idx="77">
                  <c:v>4.0427684585076021E-2</c:v>
                </c:pt>
                <c:pt idx="78">
                  <c:v>8.0699907376620333E-2</c:v>
                </c:pt>
                <c:pt idx="79">
                  <c:v>2.1424581492968955E-2</c:v>
                </c:pt>
                <c:pt idx="80">
                  <c:v>7.487964981530619E-2</c:v>
                </c:pt>
                <c:pt idx="81">
                  <c:v>6.9804495612984189E-3</c:v>
                </c:pt>
                <c:pt idx="82">
                  <c:v>2.3563170299965575E-3</c:v>
                </c:pt>
                <c:pt idx="83">
                  <c:v>2.708295088405072E-2</c:v>
                </c:pt>
                <c:pt idx="84">
                  <c:v>7.6476155930685588E-2</c:v>
                </c:pt>
                <c:pt idx="85">
                  <c:v>6.3216955706167879E-2</c:v>
                </c:pt>
                <c:pt idx="86">
                  <c:v>2.2534255782571719E-2</c:v>
                </c:pt>
                <c:pt idx="87">
                  <c:v>6.6787231883085663E-2</c:v>
                </c:pt>
                <c:pt idx="88">
                  <c:v>4.6586402081802016E-2</c:v>
                </c:pt>
                <c:pt idx="89">
                  <c:v>3.451863735255889E-2</c:v>
                </c:pt>
                <c:pt idx="90">
                  <c:v>2.2053469420154057E-2</c:v>
                </c:pt>
                <c:pt idx="91">
                  <c:v>2.9110319139027726E-2</c:v>
                </c:pt>
                <c:pt idx="92">
                  <c:v>6.7073076627231073E-3</c:v>
                </c:pt>
                <c:pt idx="93">
                  <c:v>0.1281209397402466</c:v>
                </c:pt>
                <c:pt idx="94">
                  <c:v>3.8231928058003031E-2</c:v>
                </c:pt>
                <c:pt idx="95">
                  <c:v>0.1024190577580129</c:v>
                </c:pt>
                <c:pt idx="96">
                  <c:v>9.6272001124554502E-2</c:v>
                </c:pt>
                <c:pt idx="97">
                  <c:v>1.4191970985707887E-2</c:v>
                </c:pt>
                <c:pt idx="98">
                  <c:v>4.4715626072854724E-2</c:v>
                </c:pt>
                <c:pt idx="99">
                  <c:v>5.070696287471122E-3</c:v>
                </c:pt>
                <c:pt idx="100">
                  <c:v>8.8278336819304803E-2</c:v>
                </c:pt>
                <c:pt idx="101">
                  <c:v>8.7452715752388638E-2</c:v>
                </c:pt>
                <c:pt idx="102">
                  <c:v>8.6927066399585001E-2</c:v>
                </c:pt>
                <c:pt idx="103">
                  <c:v>4.2264030942942378E-2</c:v>
                </c:pt>
                <c:pt idx="104">
                  <c:v>1.7486097277403464E-2</c:v>
                </c:pt>
                <c:pt idx="105">
                  <c:v>3.2773430041087036E-2</c:v>
                </c:pt>
                <c:pt idx="106">
                  <c:v>4.2367627084363951E-2</c:v>
                </c:pt>
                <c:pt idx="107">
                  <c:v>5.3116368780145917E-2</c:v>
                </c:pt>
                <c:pt idx="108">
                  <c:v>6.412297652074736E-2</c:v>
                </c:pt>
                <c:pt idx="109">
                  <c:v>1.1188323064646894E-2</c:v>
                </c:pt>
                <c:pt idx="110">
                  <c:v>5.5243460147986069E-2</c:v>
                </c:pt>
                <c:pt idx="111">
                  <c:v>0.165593449470125</c:v>
                </c:pt>
                <c:pt idx="112">
                  <c:v>6.818217463181038E-2</c:v>
                </c:pt>
                <c:pt idx="113">
                  <c:v>0.11262992769773275</c:v>
                </c:pt>
                <c:pt idx="114">
                  <c:v>9.6442085075397491E-2</c:v>
                </c:pt>
                <c:pt idx="115">
                  <c:v>2.9532518571982917E-2</c:v>
                </c:pt>
                <c:pt idx="116">
                  <c:v>4.1106066671630824E-2</c:v>
                </c:pt>
                <c:pt idx="117">
                  <c:v>6.6935167566236535E-3</c:v>
                </c:pt>
                <c:pt idx="118">
                  <c:v>3.6568418057061805E-2</c:v>
                </c:pt>
                <c:pt idx="119">
                  <c:v>6.3532118490098849E-2</c:v>
                </c:pt>
                <c:pt idx="120">
                  <c:v>4.8240426111781608E-2</c:v>
                </c:pt>
                <c:pt idx="121">
                  <c:v>5.2464300432987887E-2</c:v>
                </c:pt>
                <c:pt idx="122">
                  <c:v>5.3979825600669627E-2</c:v>
                </c:pt>
                <c:pt idx="123">
                  <c:v>0.13491043129957558</c:v>
                </c:pt>
                <c:pt idx="124">
                  <c:v>0.11735416732712127</c:v>
                </c:pt>
                <c:pt idx="125">
                  <c:v>1.9121456553638623E-2</c:v>
                </c:pt>
                <c:pt idx="126">
                  <c:v>6.466276758855069E-2</c:v>
                </c:pt>
                <c:pt idx="127">
                  <c:v>2.6759567744454829E-2</c:v>
                </c:pt>
                <c:pt idx="128">
                  <c:v>3.2444859107527417E-2</c:v>
                </c:pt>
                <c:pt idx="129">
                  <c:v>0.10671723475590952</c:v>
                </c:pt>
                <c:pt idx="130">
                  <c:v>9.3096388032243467E-3</c:v>
                </c:pt>
                <c:pt idx="131">
                  <c:v>3.2769937925870338E-2</c:v>
                </c:pt>
                <c:pt idx="132">
                  <c:v>2.4442840512566826E-2</c:v>
                </c:pt>
                <c:pt idx="133">
                  <c:v>5.1283886849568971E-2</c:v>
                </c:pt>
                <c:pt idx="134">
                  <c:v>1.1561506323038598E-3</c:v>
                </c:pt>
                <c:pt idx="135">
                  <c:v>8.3179468918331452E-3</c:v>
                </c:pt>
                <c:pt idx="136">
                  <c:v>4.1169703774752923E-2</c:v>
                </c:pt>
                <c:pt idx="137">
                  <c:v>8.4434222041022161E-2</c:v>
                </c:pt>
                <c:pt idx="138">
                  <c:v>4.0549773454861895E-2</c:v>
                </c:pt>
                <c:pt idx="139">
                  <c:v>1.9248595597084122E-2</c:v>
                </c:pt>
                <c:pt idx="140">
                  <c:v>1.0607272938171375E-2</c:v>
                </c:pt>
                <c:pt idx="141">
                  <c:v>4.3744727114910743E-3</c:v>
                </c:pt>
                <c:pt idx="142">
                  <c:v>9.2736498649477906E-3</c:v>
                </c:pt>
                <c:pt idx="143">
                  <c:v>1.2891741725026279E-2</c:v>
                </c:pt>
                <c:pt idx="144">
                  <c:v>5.6172368939392267E-3</c:v>
                </c:pt>
                <c:pt idx="145">
                  <c:v>1.4214752061048368E-2</c:v>
                </c:pt>
                <c:pt idx="146">
                  <c:v>7.4421251327360122E-3</c:v>
                </c:pt>
                <c:pt idx="147">
                  <c:v>1.919730745875016E-3</c:v>
                </c:pt>
                <c:pt idx="148">
                  <c:v>1.438556097599337E-2</c:v>
                </c:pt>
                <c:pt idx="149">
                  <c:v>1.858380351555982E-2</c:v>
                </c:pt>
                <c:pt idx="150">
                  <c:v>1.2394477788697296E-2</c:v>
                </c:pt>
                <c:pt idx="151">
                  <c:v>1.7990279091519224E-2</c:v>
                </c:pt>
                <c:pt idx="152">
                  <c:v>2.7975148230583804E-2</c:v>
                </c:pt>
                <c:pt idx="153">
                  <c:v>3.3723794083653974E-2</c:v>
                </c:pt>
                <c:pt idx="154">
                  <c:v>3.7006578987787926E-2</c:v>
                </c:pt>
                <c:pt idx="155">
                  <c:v>2.6876999641449961E-2</c:v>
                </c:pt>
                <c:pt idx="156">
                  <c:v>1.5306179372829872E-2</c:v>
                </c:pt>
                <c:pt idx="157">
                  <c:v>1.6444225562627441E-2</c:v>
                </c:pt>
                <c:pt idx="158">
                  <c:v>1.0905109080064791E-2</c:v>
                </c:pt>
                <c:pt idx="159">
                  <c:v>2.0866076521312595E-2</c:v>
                </c:pt>
                <c:pt idx="160">
                  <c:v>3.1924642070477814E-2</c:v>
                </c:pt>
                <c:pt idx="161">
                  <c:v>6.2703300208617641E-2</c:v>
                </c:pt>
                <c:pt idx="162">
                  <c:v>1.2178804654613585E-2</c:v>
                </c:pt>
                <c:pt idx="163">
                  <c:v>5.055549452750404E-2</c:v>
                </c:pt>
                <c:pt idx="164">
                  <c:v>1.0224671290217384E-2</c:v>
                </c:pt>
                <c:pt idx="165">
                  <c:v>7.3714632503409191E-2</c:v>
                </c:pt>
                <c:pt idx="166">
                  <c:v>1.036222769918266E-2</c:v>
                </c:pt>
                <c:pt idx="167">
                  <c:v>4.9476575918363644E-2</c:v>
                </c:pt>
                <c:pt idx="168">
                  <c:v>3.776501431374038E-2</c:v>
                </c:pt>
                <c:pt idx="169">
                  <c:v>2.7203307212508122E-2</c:v>
                </c:pt>
                <c:pt idx="170">
                  <c:v>2.2191630375455226E-2</c:v>
                </c:pt>
                <c:pt idx="171">
                  <c:v>2.3209725725191425E-2</c:v>
                </c:pt>
                <c:pt idx="172">
                  <c:v>2.6461828674025915E-2</c:v>
                </c:pt>
                <c:pt idx="173">
                  <c:v>2.7781398502445345E-2</c:v>
                </c:pt>
                <c:pt idx="174">
                  <c:v>2.6830491351178268E-2</c:v>
                </c:pt>
                <c:pt idx="175">
                  <c:v>3.1792059652503819E-2</c:v>
                </c:pt>
                <c:pt idx="176">
                  <c:v>5.0809858627085112E-2</c:v>
                </c:pt>
                <c:pt idx="177">
                  <c:v>3.6561672204655157E-2</c:v>
                </c:pt>
                <c:pt idx="178">
                  <c:v>6.9376287579251492E-3</c:v>
                </c:pt>
                <c:pt idx="179">
                  <c:v>4.527650253725149E-2</c:v>
                </c:pt>
                <c:pt idx="180">
                  <c:v>5.1193893000705065E-2</c:v>
                </c:pt>
                <c:pt idx="181">
                  <c:v>4.2339451784603591E-2</c:v>
                </c:pt>
                <c:pt idx="182">
                  <c:v>5.1098689240328558E-2</c:v>
                </c:pt>
                <c:pt idx="183">
                  <c:v>3.2335586128561453E-2</c:v>
                </c:pt>
                <c:pt idx="184">
                  <c:v>4.5274991171411753E-2</c:v>
                </c:pt>
                <c:pt idx="185">
                  <c:v>3.155805598541422E-3</c:v>
                </c:pt>
                <c:pt idx="186">
                  <c:v>3.1435721365085288E-2</c:v>
                </c:pt>
                <c:pt idx="187">
                  <c:v>2.6807145049588779E-2</c:v>
                </c:pt>
                <c:pt idx="188">
                  <c:v>3.8081713038565397E-2</c:v>
                </c:pt>
                <c:pt idx="189">
                  <c:v>1.7024565470033549E-2</c:v>
                </c:pt>
                <c:pt idx="190">
                  <c:v>3.8193025747038645E-2</c:v>
                </c:pt>
                <c:pt idx="191">
                  <c:v>1.5468190418333779E-2</c:v>
                </c:pt>
                <c:pt idx="192">
                  <c:v>2.1519711528182554E-2</c:v>
                </c:pt>
                <c:pt idx="193">
                  <c:v>1.7690143953295601E-2</c:v>
                </c:pt>
                <c:pt idx="194">
                  <c:v>2.2263721297258138E-2</c:v>
                </c:pt>
                <c:pt idx="195">
                  <c:v>1.2983074914349794E-2</c:v>
                </c:pt>
                <c:pt idx="196">
                  <c:v>5.4449436457142217E-2</c:v>
                </c:pt>
                <c:pt idx="197">
                  <c:v>3.8746480545035385E-2</c:v>
                </c:pt>
                <c:pt idx="198">
                  <c:v>3.616165175820997E-2</c:v>
                </c:pt>
                <c:pt idx="199">
                  <c:v>2.9862217500535124E-2</c:v>
                </c:pt>
                <c:pt idx="200">
                  <c:v>2.9380054935076397E-2</c:v>
                </c:pt>
                <c:pt idx="201">
                  <c:v>2.0234411612991061E-2</c:v>
                </c:pt>
                <c:pt idx="202">
                  <c:v>3.2117556246769922E-2</c:v>
                </c:pt>
                <c:pt idx="203">
                  <c:v>0.11134901811599281</c:v>
                </c:pt>
                <c:pt idx="204">
                  <c:v>9.7975470163795209E-2</c:v>
                </c:pt>
                <c:pt idx="205">
                  <c:v>8.0390986656482775E-3</c:v>
                </c:pt>
                <c:pt idx="206">
                  <c:v>2.451544751051014E-2</c:v>
                </c:pt>
                <c:pt idx="207">
                  <c:v>3.5140484526685688E-2</c:v>
                </c:pt>
                <c:pt idx="208">
                  <c:v>4.227925518908416E-2</c:v>
                </c:pt>
                <c:pt idx="209">
                  <c:v>1.1468559781399979E-2</c:v>
                </c:pt>
                <c:pt idx="210">
                  <c:v>6.1535174152351092E-3</c:v>
                </c:pt>
                <c:pt idx="211">
                  <c:v>5.5012573826535016E-2</c:v>
                </c:pt>
                <c:pt idx="212">
                  <c:v>5.7571979719682205E-2</c:v>
                </c:pt>
                <c:pt idx="213">
                  <c:v>4.8749105160835138E-2</c:v>
                </c:pt>
                <c:pt idx="214">
                  <c:v>2.8467730619067738E-2</c:v>
                </c:pt>
                <c:pt idx="215">
                  <c:v>2.8735094922376008E-2</c:v>
                </c:pt>
                <c:pt idx="216">
                  <c:v>2.6311527641898213E-2</c:v>
                </c:pt>
                <c:pt idx="217">
                  <c:v>4.2586603105746218E-2</c:v>
                </c:pt>
                <c:pt idx="218">
                  <c:v>3.030184064699238E-2</c:v>
                </c:pt>
                <c:pt idx="219">
                  <c:v>1.3094879123909144E-2</c:v>
                </c:pt>
                <c:pt idx="220">
                  <c:v>3.2094701446266527E-2</c:v>
                </c:pt>
                <c:pt idx="221">
                  <c:v>2.9363614223746538E-2</c:v>
                </c:pt>
                <c:pt idx="222">
                  <c:v>4.0755343784120934E-2</c:v>
                </c:pt>
                <c:pt idx="223">
                  <c:v>2.5951331070953838E-2</c:v>
                </c:pt>
                <c:pt idx="224">
                  <c:v>4.8337399276068053E-2</c:v>
                </c:pt>
                <c:pt idx="225">
                  <c:v>6.5276664732609901E-2</c:v>
                </c:pt>
                <c:pt idx="226">
                  <c:v>1.821887624666179E-2</c:v>
                </c:pt>
                <c:pt idx="227">
                  <c:v>9.0884338244166443E-3</c:v>
                </c:pt>
                <c:pt idx="228">
                  <c:v>3.1414169042460041E-2</c:v>
                </c:pt>
                <c:pt idx="229">
                  <c:v>2.9720198261708117E-2</c:v>
                </c:pt>
                <c:pt idx="230">
                  <c:v>3.8175061382341897E-2</c:v>
                </c:pt>
                <c:pt idx="231">
                  <c:v>1.7285921172564309E-2</c:v>
                </c:pt>
                <c:pt idx="232">
                  <c:v>4.0310756476694132E-2</c:v>
                </c:pt>
                <c:pt idx="233">
                  <c:v>1.5967088595774028E-2</c:v>
                </c:pt>
                <c:pt idx="234">
                  <c:v>2.2875566424282911E-2</c:v>
                </c:pt>
                <c:pt idx="235">
                  <c:v>4.3105812565569321E-2</c:v>
                </c:pt>
                <c:pt idx="236">
                  <c:v>2.384029704359639E-2</c:v>
                </c:pt>
                <c:pt idx="237">
                  <c:v>1.8572695591014085E-2</c:v>
                </c:pt>
                <c:pt idx="238">
                  <c:v>7.6141677154071101E-3</c:v>
                </c:pt>
                <c:pt idx="239">
                  <c:v>5.6268531126886668E-3</c:v>
                </c:pt>
                <c:pt idx="240">
                  <c:v>4.359307445479628E-2</c:v>
                </c:pt>
                <c:pt idx="241">
                  <c:v>3.9391674020751673E-2</c:v>
                </c:pt>
                <c:pt idx="242">
                  <c:v>3.0013194346656214E-2</c:v>
                </c:pt>
                <c:pt idx="243">
                  <c:v>4.0835999112349045E-2</c:v>
                </c:pt>
                <c:pt idx="244">
                  <c:v>8.3778006653450213E-2</c:v>
                </c:pt>
                <c:pt idx="245">
                  <c:v>1.9311679761484356E-2</c:v>
                </c:pt>
                <c:pt idx="246">
                  <c:v>8.4900263370856988E-2</c:v>
                </c:pt>
                <c:pt idx="247">
                  <c:v>3.9278112694809526E-2</c:v>
                </c:pt>
                <c:pt idx="248">
                  <c:v>2.5412965356300197E-2</c:v>
                </c:pt>
                <c:pt idx="249">
                  <c:v>1.1846774782160577E-2</c:v>
                </c:pt>
                <c:pt idx="250">
                  <c:v>3.8850285574418548E-3</c:v>
                </c:pt>
                <c:pt idx="251">
                  <c:v>4.4425566706896034E-2</c:v>
                </c:pt>
                <c:pt idx="252">
                  <c:v>3.2536143146742323E-2</c:v>
                </c:pt>
                <c:pt idx="253">
                  <c:v>5.3851328785473801E-2</c:v>
                </c:pt>
                <c:pt idx="254">
                  <c:v>7.8516487526808315E-2</c:v>
                </c:pt>
                <c:pt idx="255">
                  <c:v>3.7849601650657254E-2</c:v>
                </c:pt>
                <c:pt idx="256">
                  <c:v>0.10966524598277731</c:v>
                </c:pt>
                <c:pt idx="257">
                  <c:v>8.6746132562266445E-2</c:v>
                </c:pt>
                <c:pt idx="258">
                  <c:v>0.10410510308375157</c:v>
                </c:pt>
                <c:pt idx="259">
                  <c:v>0.16551802862846376</c:v>
                </c:pt>
                <c:pt idx="260">
                  <c:v>3.8838735298895331E-2</c:v>
                </c:pt>
                <c:pt idx="261">
                  <c:v>1.6739445689990116E-2</c:v>
                </c:pt>
                <c:pt idx="262">
                  <c:v>5.2576755881486312E-3</c:v>
                </c:pt>
                <c:pt idx="263">
                  <c:v>1.6296517198728881E-2</c:v>
                </c:pt>
                <c:pt idx="264">
                  <c:v>2.6265916341108638E-2</c:v>
                </c:pt>
                <c:pt idx="265">
                  <c:v>6.6975882287455879E-2</c:v>
                </c:pt>
                <c:pt idx="266">
                  <c:v>6.1379908959253833E-2</c:v>
                </c:pt>
                <c:pt idx="267">
                  <c:v>4.1966230434877703E-2</c:v>
                </c:pt>
                <c:pt idx="268">
                  <c:v>3.5400427163593921E-2</c:v>
                </c:pt>
                <c:pt idx="269">
                  <c:v>6.6238470920461132E-2</c:v>
                </c:pt>
                <c:pt idx="270">
                  <c:v>2.6183086120574559E-2</c:v>
                </c:pt>
                <c:pt idx="271">
                  <c:v>8.0559964729882069E-2</c:v>
                </c:pt>
                <c:pt idx="272">
                  <c:v>5.9033224736168365E-2</c:v>
                </c:pt>
                <c:pt idx="273">
                  <c:v>7.4227587611911741E-2</c:v>
                </c:pt>
                <c:pt idx="274">
                  <c:v>6.0295116912134607E-2</c:v>
                </c:pt>
                <c:pt idx="275">
                  <c:v>6.8809095325898406E-2</c:v>
                </c:pt>
                <c:pt idx="276">
                  <c:v>8.3813271856377491E-2</c:v>
                </c:pt>
                <c:pt idx="277">
                  <c:v>1.1984536392829297E-2</c:v>
                </c:pt>
                <c:pt idx="278">
                  <c:v>4.8238791870670344E-2</c:v>
                </c:pt>
                <c:pt idx="279">
                  <c:v>7.0545654675760435E-3</c:v>
                </c:pt>
                <c:pt idx="280">
                  <c:v>5.2918742337190877E-2</c:v>
                </c:pt>
                <c:pt idx="281">
                  <c:v>8.7006271799609125E-2</c:v>
                </c:pt>
                <c:pt idx="282">
                  <c:v>5.6230685543257386E-2</c:v>
                </c:pt>
                <c:pt idx="283">
                  <c:v>3.6730330802348496E-3</c:v>
                </c:pt>
                <c:pt idx="284">
                  <c:v>2.4797532271346938E-3</c:v>
                </c:pt>
                <c:pt idx="285">
                  <c:v>1.4619257454904163E-2</c:v>
                </c:pt>
                <c:pt idx="286">
                  <c:v>4.3852845066324392E-2</c:v>
                </c:pt>
                <c:pt idx="287">
                  <c:v>0.14004254433401236</c:v>
                </c:pt>
                <c:pt idx="288">
                  <c:v>6.3503463976779542E-2</c:v>
                </c:pt>
                <c:pt idx="289">
                  <c:v>2.6659240085255782E-2</c:v>
                </c:pt>
                <c:pt idx="290">
                  <c:v>3.7870748484886475E-3</c:v>
                </c:pt>
                <c:pt idx="291">
                  <c:v>4.9072746338501231E-3</c:v>
                </c:pt>
                <c:pt idx="292">
                  <c:v>1.2713609443898468E-4</c:v>
                </c:pt>
                <c:pt idx="293">
                  <c:v>4.2086967676676825E-3</c:v>
                </c:pt>
                <c:pt idx="294">
                  <c:v>3.0953878275332522E-3</c:v>
                </c:pt>
                <c:pt idx="295">
                  <c:v>1.1263908559171941E-2</c:v>
                </c:pt>
                <c:pt idx="296">
                  <c:v>1.7160146044632722E-2</c:v>
                </c:pt>
                <c:pt idx="297">
                  <c:v>3.4335098559484044E-2</c:v>
                </c:pt>
                <c:pt idx="298">
                  <c:v>1.409433429495521E-2</c:v>
                </c:pt>
                <c:pt idx="299">
                  <c:v>1.4240420705269655E-2</c:v>
                </c:pt>
                <c:pt idx="300">
                  <c:v>2.0401595707426116E-2</c:v>
                </c:pt>
                <c:pt idx="301">
                  <c:v>4.8414331483569006E-3</c:v>
                </c:pt>
                <c:pt idx="302">
                  <c:v>7.5974615934907563E-2</c:v>
                </c:pt>
                <c:pt idx="303">
                  <c:v>2.8937323044249598E-2</c:v>
                </c:pt>
                <c:pt idx="304">
                  <c:v>5.7962661645491576E-2</c:v>
                </c:pt>
                <c:pt idx="305">
                  <c:v>4.6125324912936742E-2</c:v>
                </c:pt>
                <c:pt idx="306">
                  <c:v>7.0505339299173532E-5</c:v>
                </c:pt>
                <c:pt idx="307">
                  <c:v>2.3284765653510904E-2</c:v>
                </c:pt>
                <c:pt idx="308">
                  <c:v>4.8732418698962228E-2</c:v>
                </c:pt>
                <c:pt idx="309">
                  <c:v>2.2763811364832166E-2</c:v>
                </c:pt>
                <c:pt idx="310">
                  <c:v>8.0683454377763322E-2</c:v>
                </c:pt>
                <c:pt idx="311">
                  <c:v>8.1451584562638998E-2</c:v>
                </c:pt>
                <c:pt idx="312">
                  <c:v>6.7445941638669543E-2</c:v>
                </c:pt>
                <c:pt idx="313">
                  <c:v>4.3650272893690528E-2</c:v>
                </c:pt>
                <c:pt idx="314">
                  <c:v>1.9650950673688255E-2</c:v>
                </c:pt>
                <c:pt idx="315">
                  <c:v>5.4297157133142974E-2</c:v>
                </c:pt>
                <c:pt idx="316">
                  <c:v>1.7922279916258048E-2</c:v>
                </c:pt>
                <c:pt idx="317">
                  <c:v>2.9943696093082443E-2</c:v>
                </c:pt>
                <c:pt idx="318">
                  <c:v>2.9369856287539933E-2</c:v>
                </c:pt>
                <c:pt idx="319">
                  <c:v>3.321547137288787E-2</c:v>
                </c:pt>
                <c:pt idx="320">
                  <c:v>2.6551036121152071E-2</c:v>
                </c:pt>
                <c:pt idx="321">
                  <c:v>7.543926066440626E-2</c:v>
                </c:pt>
                <c:pt idx="322">
                  <c:v>1.5486216220666296E-3</c:v>
                </c:pt>
                <c:pt idx="323">
                  <c:v>3.7074946788863673E-2</c:v>
                </c:pt>
                <c:pt idx="324">
                  <c:v>0.11450347208654744</c:v>
                </c:pt>
                <c:pt idx="325">
                  <c:v>0.25241701802850558</c:v>
                </c:pt>
                <c:pt idx="326">
                  <c:v>0.11080472981325172</c:v>
                </c:pt>
                <c:pt idx="327">
                  <c:v>0.48742715646715906</c:v>
                </c:pt>
                <c:pt idx="328">
                  <c:v>0.32706743173725733</c:v>
                </c:pt>
                <c:pt idx="329">
                  <c:v>0.2227324413080122</c:v>
                </c:pt>
                <c:pt idx="330">
                  <c:v>7.6074759281199333E-2</c:v>
                </c:pt>
                <c:pt idx="331">
                  <c:v>0.15789718141329664</c:v>
                </c:pt>
                <c:pt idx="332">
                  <c:v>7.1579232309708613E-2</c:v>
                </c:pt>
                <c:pt idx="333">
                  <c:v>6.3589218628775868E-2</c:v>
                </c:pt>
                <c:pt idx="334">
                  <c:v>3.7088573656475644E-2</c:v>
                </c:pt>
                <c:pt idx="335">
                  <c:v>5.9758557463972364E-2</c:v>
                </c:pt>
                <c:pt idx="336">
                  <c:v>0.10722661050775259</c:v>
                </c:pt>
                <c:pt idx="337">
                  <c:v>7.4168756897910568E-2</c:v>
                </c:pt>
                <c:pt idx="338">
                  <c:v>0.10178537769523838</c:v>
                </c:pt>
                <c:pt idx="339">
                  <c:v>7.8589144903612962E-2</c:v>
                </c:pt>
                <c:pt idx="340">
                  <c:v>6.5280767537926068E-2</c:v>
                </c:pt>
                <c:pt idx="341">
                  <c:v>1.3664310164709389E-2</c:v>
                </c:pt>
                <c:pt idx="342">
                  <c:v>9.5254888776990482E-2</c:v>
                </c:pt>
                <c:pt idx="343">
                  <c:v>1.3843164952433758E-2</c:v>
                </c:pt>
                <c:pt idx="344">
                  <c:v>7.7200874282131971E-3</c:v>
                </c:pt>
                <c:pt idx="345">
                  <c:v>7.5709782862192695E-3</c:v>
                </c:pt>
                <c:pt idx="346">
                  <c:v>6.2741895331403221E-3</c:v>
                </c:pt>
                <c:pt idx="347">
                  <c:v>1.155313605954241E-2</c:v>
                </c:pt>
                <c:pt idx="348">
                  <c:v>2.7416901296997649E-2</c:v>
                </c:pt>
                <c:pt idx="349">
                  <c:v>7.3131368164540814E-2</c:v>
                </c:pt>
                <c:pt idx="350">
                  <c:v>1.1529344949470003E-2</c:v>
                </c:pt>
                <c:pt idx="351">
                  <c:v>1.1529344949470003E-2</c:v>
                </c:pt>
                <c:pt idx="352">
                  <c:v>1.1529344949470003E-2</c:v>
                </c:pt>
                <c:pt idx="353">
                  <c:v>0.1866356185430581</c:v>
                </c:pt>
                <c:pt idx="354">
                  <c:v>0.1866356185430581</c:v>
                </c:pt>
                <c:pt idx="355">
                  <c:v>0.1866356185430581</c:v>
                </c:pt>
                <c:pt idx="356">
                  <c:v>6.4881055508412416E-2</c:v>
                </c:pt>
                <c:pt idx="357">
                  <c:v>7.0552523403438593E-6</c:v>
                </c:pt>
                <c:pt idx="358">
                  <c:v>7.0552523403438593E-6</c:v>
                </c:pt>
                <c:pt idx="359">
                  <c:v>3.1495844235441806E-3</c:v>
                </c:pt>
                <c:pt idx="360">
                  <c:v>3.8193050322092954E-3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projects'!$A$2:$A$362</c:f>
              <c:strCache>
                <c:ptCount val="361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Blinch - Stave</c:v>
                </c:pt>
                <c:pt idx="20">
                  <c:v>Bookhout 2</c:v>
                </c:pt>
                <c:pt idx="21">
                  <c:v>Canoe Creek - Valemount</c:v>
                </c:pt>
                <c:pt idx="22">
                  <c:v>Chemainus_River-8hr</c:v>
                </c:pt>
                <c:pt idx="23">
                  <c:v>Clarke Lake</c:v>
                </c:pt>
                <c:pt idx="24">
                  <c:v>Diana - storage for 16 hrs of generation</c:v>
                </c:pt>
                <c:pt idx="25">
                  <c:v>Elaho_River-8hr</c:v>
                </c:pt>
                <c:pt idx="26">
                  <c:v>Freda_Creek-8hr</c:v>
                </c:pt>
                <c:pt idx="27">
                  <c:v>Hirsch - storage for 16 hrs of generation</c:v>
                </c:pt>
                <c:pt idx="28">
                  <c:v>Jedney Area</c:v>
                </c:pt>
                <c:pt idx="29">
                  <c:v>Kenyon - Stave</c:v>
                </c:pt>
                <c:pt idx="30">
                  <c:v>Kinskuch_River-8hr</c:v>
                </c:pt>
                <c:pt idx="31">
                  <c:v>Knight - Fourth</c:v>
                </c:pt>
                <c:pt idx="32">
                  <c:v>Lakelse Lake</c:v>
                </c:pt>
                <c:pt idx="33">
                  <c:v>Lower Falls - storage for 16 hrs of generation</c:v>
                </c:pt>
                <c:pt idx="34">
                  <c:v>Meager Creek</c:v>
                </c:pt>
                <c:pt idx="35">
                  <c:v>More_Creek-8hr</c:v>
                </c:pt>
                <c:pt idx="36">
                  <c:v>MSW 1</c:v>
                </c:pt>
                <c:pt idx="37">
                  <c:v>MSW 2</c:v>
                </c:pt>
                <c:pt idx="38">
                  <c:v>MSW 3</c:v>
                </c:pt>
                <c:pt idx="39">
                  <c:v>Mt. Cayley</c:v>
                </c:pt>
                <c:pt idx="40">
                  <c:v>Nahatlatch_River-8hr</c:v>
                </c:pt>
                <c:pt idx="41">
                  <c:v>Nass_River-8hr</c:v>
                </c:pt>
                <c:pt idx="42">
                  <c:v>NC01</c:v>
                </c:pt>
                <c:pt idx="43">
                  <c:v>NC02</c:v>
                </c:pt>
                <c:pt idx="44">
                  <c:v>NC05</c:v>
                </c:pt>
                <c:pt idx="45">
                  <c:v>NC06</c:v>
                </c:pt>
                <c:pt idx="46">
                  <c:v>NC07</c:v>
                </c:pt>
                <c:pt idx="47">
                  <c:v>NC08</c:v>
                </c:pt>
                <c:pt idx="48">
                  <c:v>NC09</c:v>
                </c:pt>
                <c:pt idx="49">
                  <c:v>NC10</c:v>
                </c:pt>
                <c:pt idx="50">
                  <c:v>NC11</c:v>
                </c:pt>
                <c:pt idx="51">
                  <c:v>NC12</c:v>
                </c:pt>
                <c:pt idx="52">
                  <c:v>NC13</c:v>
                </c:pt>
                <c:pt idx="53">
                  <c:v>Nimpkish_River_B-8hr</c:v>
                </c:pt>
                <c:pt idx="54">
                  <c:v>PC01</c:v>
                </c:pt>
                <c:pt idx="55">
                  <c:v>PC02</c:v>
                </c:pt>
                <c:pt idx="56">
                  <c:v>PC04</c:v>
                </c:pt>
                <c:pt idx="57">
                  <c:v>PC05</c:v>
                </c:pt>
                <c:pt idx="58">
                  <c:v>PC06</c:v>
                </c:pt>
                <c:pt idx="59">
                  <c:v>PC07</c:v>
                </c:pt>
                <c:pt idx="60">
                  <c:v>PC08</c:v>
                </c:pt>
                <c:pt idx="61">
                  <c:v>PC09</c:v>
                </c:pt>
                <c:pt idx="62">
                  <c:v>PC10</c:v>
                </c:pt>
                <c:pt idx="63">
                  <c:v>PC11</c:v>
                </c:pt>
                <c:pt idx="64">
                  <c:v>PC12</c:v>
                </c:pt>
                <c:pt idx="65">
                  <c:v>PC13</c:v>
                </c:pt>
                <c:pt idx="66">
                  <c:v>PC14</c:v>
                </c:pt>
                <c:pt idx="67">
                  <c:v>PC15</c:v>
                </c:pt>
                <c:pt idx="68">
                  <c:v>PC16</c:v>
                </c:pt>
                <c:pt idx="69">
                  <c:v>PC17</c:v>
                </c:pt>
                <c:pt idx="70">
                  <c:v>PC18</c:v>
                </c:pt>
                <c:pt idx="71">
                  <c:v>PC19</c:v>
                </c:pt>
                <c:pt idx="72">
                  <c:v>PC20</c:v>
                </c:pt>
                <c:pt idx="73">
                  <c:v>PC21</c:v>
                </c:pt>
                <c:pt idx="74">
                  <c:v>PC22</c:v>
                </c:pt>
                <c:pt idx="75">
                  <c:v>PC23</c:v>
                </c:pt>
                <c:pt idx="76">
                  <c:v>PC24</c:v>
                </c:pt>
                <c:pt idx="77">
                  <c:v>PC25</c:v>
                </c:pt>
                <c:pt idx="78">
                  <c:v>PC26</c:v>
                </c:pt>
                <c:pt idx="79">
                  <c:v>PC27</c:v>
                </c:pt>
                <c:pt idx="80">
                  <c:v>PC28</c:v>
                </c:pt>
                <c:pt idx="81">
                  <c:v>PC29</c:v>
                </c:pt>
                <c:pt idx="82">
                  <c:v>PC32</c:v>
                </c:pt>
                <c:pt idx="83">
                  <c:v>PC34</c:v>
                </c:pt>
                <c:pt idx="84">
                  <c:v>PC36</c:v>
                </c:pt>
                <c:pt idx="85">
                  <c:v>PC37</c:v>
                </c:pt>
                <c:pt idx="86">
                  <c:v>PC38</c:v>
                </c:pt>
                <c:pt idx="87">
                  <c:v>PC39</c:v>
                </c:pt>
                <c:pt idx="88">
                  <c:v>PC40</c:v>
                </c:pt>
                <c:pt idx="89">
                  <c:v>PC41</c:v>
                </c:pt>
                <c:pt idx="90">
                  <c:v>PC42</c:v>
                </c:pt>
                <c:pt idx="91">
                  <c:v>PC43</c:v>
                </c:pt>
                <c:pt idx="92">
                  <c:v>PC46</c:v>
                </c:pt>
                <c:pt idx="93">
                  <c:v>PC47</c:v>
                </c:pt>
                <c:pt idx="94">
                  <c:v>PC48</c:v>
                </c:pt>
                <c:pt idx="95">
                  <c:v>Pebble Creek</c:v>
                </c:pt>
                <c:pt idx="96">
                  <c:v>Quimper - Bulson</c:v>
                </c:pt>
                <c:pt idx="97">
                  <c:v>ROR_5018</c:v>
                </c:pt>
                <c:pt idx="98">
                  <c:v>ROR_5101</c:v>
                </c:pt>
                <c:pt idx="99">
                  <c:v>ROR_5332</c:v>
                </c:pt>
                <c:pt idx="100">
                  <c:v>SI01</c:v>
                </c:pt>
                <c:pt idx="101">
                  <c:v>SI02</c:v>
                </c:pt>
                <c:pt idx="102">
                  <c:v>SI03</c:v>
                </c:pt>
                <c:pt idx="103">
                  <c:v>SI04</c:v>
                </c:pt>
                <c:pt idx="104">
                  <c:v>SI05</c:v>
                </c:pt>
                <c:pt idx="105">
                  <c:v>SI06</c:v>
                </c:pt>
                <c:pt idx="106">
                  <c:v>SI08</c:v>
                </c:pt>
                <c:pt idx="107">
                  <c:v>SI09</c:v>
                </c:pt>
                <c:pt idx="108">
                  <c:v>SI10</c:v>
                </c:pt>
                <c:pt idx="109">
                  <c:v>SI11</c:v>
                </c:pt>
                <c:pt idx="110">
                  <c:v>SI12</c:v>
                </c:pt>
                <c:pt idx="111">
                  <c:v>SI13</c:v>
                </c:pt>
                <c:pt idx="112">
                  <c:v>SI14</c:v>
                </c:pt>
                <c:pt idx="113">
                  <c:v>SI15</c:v>
                </c:pt>
                <c:pt idx="114">
                  <c:v>SI18</c:v>
                </c:pt>
                <c:pt idx="115">
                  <c:v>SI19</c:v>
                </c:pt>
                <c:pt idx="116">
                  <c:v>SI20</c:v>
                </c:pt>
                <c:pt idx="117">
                  <c:v>SI22</c:v>
                </c:pt>
                <c:pt idx="118">
                  <c:v>SI23</c:v>
                </c:pt>
                <c:pt idx="119">
                  <c:v>SI27</c:v>
                </c:pt>
                <c:pt idx="120">
                  <c:v>SI28</c:v>
                </c:pt>
                <c:pt idx="121">
                  <c:v>SI29</c:v>
                </c:pt>
                <c:pt idx="122">
                  <c:v>SI30</c:v>
                </c:pt>
                <c:pt idx="123">
                  <c:v>SI31</c:v>
                </c:pt>
                <c:pt idx="124">
                  <c:v>SI33</c:v>
                </c:pt>
                <c:pt idx="125">
                  <c:v>SI37</c:v>
                </c:pt>
                <c:pt idx="126">
                  <c:v>SI38</c:v>
                </c:pt>
                <c:pt idx="127">
                  <c:v>Silverhope_Creek-8hr</c:v>
                </c:pt>
                <c:pt idx="128">
                  <c:v>Siwash_Creek-8hr</c:v>
                </c:pt>
                <c:pt idx="129">
                  <c:v>Sleeman - storage for 16 hrs of generation</c:v>
                </c:pt>
                <c:pt idx="130">
                  <c:v>Sloquet Creek</c:v>
                </c:pt>
                <c:pt idx="131">
                  <c:v>Solar20367</c:v>
                </c:pt>
                <c:pt idx="132">
                  <c:v>Solar20369</c:v>
                </c:pt>
                <c:pt idx="133">
                  <c:v>Solar21118</c:v>
                </c:pt>
                <c:pt idx="134">
                  <c:v>Solar21844</c:v>
                </c:pt>
                <c:pt idx="135">
                  <c:v>Solar22545</c:v>
                </c:pt>
                <c:pt idx="136">
                  <c:v>Solar23228</c:v>
                </c:pt>
                <c:pt idx="137">
                  <c:v>Solar23229</c:v>
                </c:pt>
                <c:pt idx="138">
                  <c:v>Solar23231</c:v>
                </c:pt>
                <c:pt idx="139">
                  <c:v>Solar23940</c:v>
                </c:pt>
                <c:pt idx="140">
                  <c:v>Solar26927</c:v>
                </c:pt>
                <c:pt idx="141">
                  <c:v>Solar27670</c:v>
                </c:pt>
                <c:pt idx="142">
                  <c:v>Solar27671</c:v>
                </c:pt>
                <c:pt idx="143">
                  <c:v>Solar27672</c:v>
                </c:pt>
                <c:pt idx="144">
                  <c:v>Solar28399</c:v>
                </c:pt>
                <c:pt idx="145">
                  <c:v>Solar29217</c:v>
                </c:pt>
                <c:pt idx="146">
                  <c:v>Solar31787</c:v>
                </c:pt>
                <c:pt idx="147">
                  <c:v>Solar32661</c:v>
                </c:pt>
                <c:pt idx="148">
                  <c:v>Solar32662</c:v>
                </c:pt>
                <c:pt idx="149">
                  <c:v>Solar32664</c:v>
                </c:pt>
                <c:pt idx="150">
                  <c:v>Solar32665</c:v>
                </c:pt>
                <c:pt idx="151">
                  <c:v>Solar35270</c:v>
                </c:pt>
                <c:pt idx="152">
                  <c:v>Solar35271</c:v>
                </c:pt>
                <c:pt idx="153">
                  <c:v>Solar35272</c:v>
                </c:pt>
                <c:pt idx="154">
                  <c:v>Solar35273</c:v>
                </c:pt>
                <c:pt idx="155">
                  <c:v>Solar35274</c:v>
                </c:pt>
                <c:pt idx="156">
                  <c:v>Solar35275</c:v>
                </c:pt>
                <c:pt idx="157">
                  <c:v>Solar35276</c:v>
                </c:pt>
                <c:pt idx="158">
                  <c:v>Solar35277</c:v>
                </c:pt>
                <c:pt idx="159">
                  <c:v>Solar35279</c:v>
                </c:pt>
                <c:pt idx="160">
                  <c:v>Solar36056</c:v>
                </c:pt>
                <c:pt idx="161">
                  <c:v>Solar36059</c:v>
                </c:pt>
                <c:pt idx="162">
                  <c:v>Solar36060</c:v>
                </c:pt>
                <c:pt idx="163">
                  <c:v>Solar36061</c:v>
                </c:pt>
                <c:pt idx="164">
                  <c:v>Solar36062</c:v>
                </c:pt>
                <c:pt idx="165">
                  <c:v>Solar36063</c:v>
                </c:pt>
                <c:pt idx="166">
                  <c:v>Solar36064</c:v>
                </c:pt>
                <c:pt idx="167">
                  <c:v>Solar36065</c:v>
                </c:pt>
                <c:pt idx="168">
                  <c:v>Solar36066</c:v>
                </c:pt>
                <c:pt idx="169">
                  <c:v>Solar36067</c:v>
                </c:pt>
                <c:pt idx="170">
                  <c:v>Solar36068</c:v>
                </c:pt>
                <c:pt idx="171">
                  <c:v>Solar36069</c:v>
                </c:pt>
                <c:pt idx="172">
                  <c:v>Solar36070</c:v>
                </c:pt>
                <c:pt idx="173">
                  <c:v>Solar36071</c:v>
                </c:pt>
                <c:pt idx="174">
                  <c:v>Solar36072</c:v>
                </c:pt>
                <c:pt idx="175">
                  <c:v>Solar36073</c:v>
                </c:pt>
                <c:pt idx="176">
                  <c:v>Solar36074</c:v>
                </c:pt>
                <c:pt idx="177">
                  <c:v>Solar36077</c:v>
                </c:pt>
                <c:pt idx="178">
                  <c:v>Solar36883</c:v>
                </c:pt>
                <c:pt idx="179">
                  <c:v>Solar36884</c:v>
                </c:pt>
                <c:pt idx="180">
                  <c:v>Solar36885</c:v>
                </c:pt>
                <c:pt idx="181">
                  <c:v>Solar36886</c:v>
                </c:pt>
                <c:pt idx="182">
                  <c:v>Solar36887</c:v>
                </c:pt>
                <c:pt idx="183">
                  <c:v>Solar36888</c:v>
                </c:pt>
                <c:pt idx="184">
                  <c:v>Solar36889</c:v>
                </c:pt>
                <c:pt idx="185">
                  <c:v>Solar36890</c:v>
                </c:pt>
                <c:pt idx="186">
                  <c:v>Solar36891</c:v>
                </c:pt>
                <c:pt idx="187">
                  <c:v>Solar36892</c:v>
                </c:pt>
                <c:pt idx="188">
                  <c:v>Solar36893</c:v>
                </c:pt>
                <c:pt idx="189">
                  <c:v>Solar36894</c:v>
                </c:pt>
                <c:pt idx="190">
                  <c:v>Solar36895</c:v>
                </c:pt>
                <c:pt idx="191">
                  <c:v>Solar36896</c:v>
                </c:pt>
                <c:pt idx="192">
                  <c:v>Solar36897</c:v>
                </c:pt>
                <c:pt idx="193">
                  <c:v>Solar36898</c:v>
                </c:pt>
                <c:pt idx="194">
                  <c:v>Solar36899</c:v>
                </c:pt>
                <c:pt idx="195">
                  <c:v>Solar37697</c:v>
                </c:pt>
                <c:pt idx="196">
                  <c:v>Solar37698</c:v>
                </c:pt>
                <c:pt idx="197">
                  <c:v>Solar37700</c:v>
                </c:pt>
                <c:pt idx="198">
                  <c:v>Solar37701</c:v>
                </c:pt>
                <c:pt idx="199">
                  <c:v>Solar37702</c:v>
                </c:pt>
                <c:pt idx="200">
                  <c:v>Solar37703</c:v>
                </c:pt>
                <c:pt idx="201">
                  <c:v>Solar37705</c:v>
                </c:pt>
                <c:pt idx="202">
                  <c:v>Solar37706</c:v>
                </c:pt>
                <c:pt idx="203">
                  <c:v>Solar37707</c:v>
                </c:pt>
                <c:pt idx="204">
                  <c:v>Solar37708</c:v>
                </c:pt>
                <c:pt idx="205">
                  <c:v>Solar37709</c:v>
                </c:pt>
                <c:pt idx="206">
                  <c:v>Solar37710</c:v>
                </c:pt>
                <c:pt idx="207">
                  <c:v>Solar38464</c:v>
                </c:pt>
                <c:pt idx="208">
                  <c:v>Solar38465</c:v>
                </c:pt>
                <c:pt idx="209">
                  <c:v>Solar38468</c:v>
                </c:pt>
                <c:pt idx="210">
                  <c:v>Solar51483</c:v>
                </c:pt>
                <c:pt idx="211">
                  <c:v>Solar58731</c:v>
                </c:pt>
                <c:pt idx="212">
                  <c:v>Solar59570</c:v>
                </c:pt>
                <c:pt idx="213">
                  <c:v>Solar59571</c:v>
                </c:pt>
                <c:pt idx="214">
                  <c:v>Solar60401</c:v>
                </c:pt>
                <c:pt idx="215">
                  <c:v>Solar62046</c:v>
                </c:pt>
                <c:pt idx="216">
                  <c:v>Solar62047</c:v>
                </c:pt>
                <c:pt idx="217">
                  <c:v>Solar62049</c:v>
                </c:pt>
                <c:pt idx="218">
                  <c:v>Solar62055</c:v>
                </c:pt>
                <c:pt idx="219">
                  <c:v>Solar62881</c:v>
                </c:pt>
                <c:pt idx="220">
                  <c:v>Solar64495</c:v>
                </c:pt>
                <c:pt idx="221">
                  <c:v>Solar64496</c:v>
                </c:pt>
                <c:pt idx="222">
                  <c:v>Solar65228</c:v>
                </c:pt>
                <c:pt idx="223">
                  <c:v>Solar65972</c:v>
                </c:pt>
                <c:pt idx="224">
                  <c:v>Solar65976</c:v>
                </c:pt>
                <c:pt idx="225">
                  <c:v>Solar65978</c:v>
                </c:pt>
                <c:pt idx="226">
                  <c:v>Solar66720</c:v>
                </c:pt>
                <c:pt idx="227">
                  <c:v>Solar66721</c:v>
                </c:pt>
                <c:pt idx="228">
                  <c:v>Solar66722</c:v>
                </c:pt>
                <c:pt idx="229">
                  <c:v>Solar66723</c:v>
                </c:pt>
                <c:pt idx="230">
                  <c:v>Solar66726</c:v>
                </c:pt>
                <c:pt idx="231">
                  <c:v>Solar67480</c:v>
                </c:pt>
                <c:pt idx="232">
                  <c:v>Solar67498</c:v>
                </c:pt>
                <c:pt idx="233">
                  <c:v>Solar68366</c:v>
                </c:pt>
                <c:pt idx="234">
                  <c:v>Solar68372</c:v>
                </c:pt>
                <c:pt idx="235">
                  <c:v>Solar68377</c:v>
                </c:pt>
                <c:pt idx="236">
                  <c:v>Solar68378</c:v>
                </c:pt>
                <c:pt idx="237">
                  <c:v>Solar68379</c:v>
                </c:pt>
                <c:pt idx="238">
                  <c:v>Solar68395</c:v>
                </c:pt>
                <c:pt idx="239">
                  <c:v>Solar68400</c:v>
                </c:pt>
                <c:pt idx="240">
                  <c:v>Solar69283</c:v>
                </c:pt>
                <c:pt idx="241">
                  <c:v>Solar69284</c:v>
                </c:pt>
                <c:pt idx="242">
                  <c:v>Solar69285</c:v>
                </c:pt>
                <c:pt idx="243">
                  <c:v>Solar70163</c:v>
                </c:pt>
                <c:pt idx="244">
                  <c:v>Solar70164</c:v>
                </c:pt>
                <c:pt idx="245">
                  <c:v>Solar70166</c:v>
                </c:pt>
                <c:pt idx="246">
                  <c:v>Solar70167</c:v>
                </c:pt>
                <c:pt idx="247">
                  <c:v>Solar70181</c:v>
                </c:pt>
                <c:pt idx="248">
                  <c:v>Solar70190</c:v>
                </c:pt>
                <c:pt idx="249">
                  <c:v>Solar70973</c:v>
                </c:pt>
                <c:pt idx="250">
                  <c:v>Solar70974</c:v>
                </c:pt>
                <c:pt idx="251">
                  <c:v>Solar70980</c:v>
                </c:pt>
                <c:pt idx="252">
                  <c:v>Solar70981</c:v>
                </c:pt>
                <c:pt idx="253">
                  <c:v>Solar70982</c:v>
                </c:pt>
                <c:pt idx="254">
                  <c:v>Solar70983</c:v>
                </c:pt>
                <c:pt idx="255">
                  <c:v>Solar70984</c:v>
                </c:pt>
                <c:pt idx="256">
                  <c:v>Solar70986</c:v>
                </c:pt>
                <c:pt idx="257">
                  <c:v>Solar70988</c:v>
                </c:pt>
                <c:pt idx="258">
                  <c:v>Solar70989</c:v>
                </c:pt>
                <c:pt idx="259">
                  <c:v>Solar70993</c:v>
                </c:pt>
                <c:pt idx="260">
                  <c:v>Solar71004</c:v>
                </c:pt>
                <c:pt idx="261">
                  <c:v>Solar71006</c:v>
                </c:pt>
                <c:pt idx="262">
                  <c:v>Solar71767</c:v>
                </c:pt>
                <c:pt idx="263">
                  <c:v>Solar71768</c:v>
                </c:pt>
                <c:pt idx="264">
                  <c:v>Solar71769</c:v>
                </c:pt>
                <c:pt idx="265">
                  <c:v>Solar71774</c:v>
                </c:pt>
                <c:pt idx="266">
                  <c:v>Solar71777</c:v>
                </c:pt>
                <c:pt idx="267">
                  <c:v>Solar71781</c:v>
                </c:pt>
                <c:pt idx="268">
                  <c:v>Solar71782</c:v>
                </c:pt>
                <c:pt idx="269">
                  <c:v>Solar71783</c:v>
                </c:pt>
                <c:pt idx="270">
                  <c:v>Solar72530</c:v>
                </c:pt>
                <c:pt idx="271">
                  <c:v>Solar72533</c:v>
                </c:pt>
                <c:pt idx="272">
                  <c:v>Solar72534</c:v>
                </c:pt>
                <c:pt idx="273">
                  <c:v>Solar72536</c:v>
                </c:pt>
                <c:pt idx="274">
                  <c:v>Solar72538</c:v>
                </c:pt>
                <c:pt idx="275">
                  <c:v>Solar72541</c:v>
                </c:pt>
                <c:pt idx="276">
                  <c:v>Solar72543</c:v>
                </c:pt>
                <c:pt idx="277">
                  <c:v>Solar73255</c:v>
                </c:pt>
                <c:pt idx="278">
                  <c:v>Solar73256</c:v>
                </c:pt>
                <c:pt idx="279">
                  <c:v>Solar73257</c:v>
                </c:pt>
                <c:pt idx="280">
                  <c:v>Solar73258</c:v>
                </c:pt>
                <c:pt idx="281">
                  <c:v>Solar73259</c:v>
                </c:pt>
                <c:pt idx="282">
                  <c:v>Solar73260</c:v>
                </c:pt>
                <c:pt idx="283">
                  <c:v>Solar73982</c:v>
                </c:pt>
                <c:pt idx="284">
                  <c:v>Solar73984</c:v>
                </c:pt>
                <c:pt idx="285">
                  <c:v>Solar73987</c:v>
                </c:pt>
                <c:pt idx="286">
                  <c:v>Solar73988</c:v>
                </c:pt>
                <c:pt idx="287">
                  <c:v>Solar73989</c:v>
                </c:pt>
                <c:pt idx="288">
                  <c:v>Solar73991</c:v>
                </c:pt>
                <c:pt idx="289">
                  <c:v>Solar73997</c:v>
                </c:pt>
                <c:pt idx="290">
                  <c:v>Solar74711</c:v>
                </c:pt>
                <c:pt idx="291">
                  <c:v>Solar74712</c:v>
                </c:pt>
                <c:pt idx="292">
                  <c:v>Solar75466</c:v>
                </c:pt>
                <c:pt idx="293">
                  <c:v>Solar75468</c:v>
                </c:pt>
                <c:pt idx="294">
                  <c:v>Solar76231</c:v>
                </c:pt>
                <c:pt idx="295">
                  <c:v>Solar76234</c:v>
                </c:pt>
                <c:pt idx="296">
                  <c:v>Solar76238</c:v>
                </c:pt>
                <c:pt idx="297">
                  <c:v>Solar76239</c:v>
                </c:pt>
                <c:pt idx="298">
                  <c:v>Solar76979</c:v>
                </c:pt>
                <c:pt idx="299">
                  <c:v>Solar76981</c:v>
                </c:pt>
                <c:pt idx="300">
                  <c:v>Solar77691</c:v>
                </c:pt>
                <c:pt idx="301">
                  <c:v>Solar77693</c:v>
                </c:pt>
                <c:pt idx="302">
                  <c:v>Solar77711</c:v>
                </c:pt>
                <c:pt idx="303">
                  <c:v>Solar78421</c:v>
                </c:pt>
                <c:pt idx="304">
                  <c:v>Solar78434</c:v>
                </c:pt>
                <c:pt idx="305">
                  <c:v>Solar78446</c:v>
                </c:pt>
                <c:pt idx="306">
                  <c:v>Solar79181</c:v>
                </c:pt>
                <c:pt idx="307">
                  <c:v>Solar79182</c:v>
                </c:pt>
                <c:pt idx="308">
                  <c:v>Solar79198</c:v>
                </c:pt>
                <c:pt idx="309">
                  <c:v>Solar79201</c:v>
                </c:pt>
                <c:pt idx="310">
                  <c:v>Solar79890</c:v>
                </c:pt>
                <c:pt idx="311">
                  <c:v>Solar79893</c:v>
                </c:pt>
                <c:pt idx="312">
                  <c:v>Solar79903</c:v>
                </c:pt>
                <c:pt idx="313">
                  <c:v>Solar79905</c:v>
                </c:pt>
                <c:pt idx="314">
                  <c:v>Solar79908</c:v>
                </c:pt>
                <c:pt idx="315">
                  <c:v>Solar79910</c:v>
                </c:pt>
                <c:pt idx="316">
                  <c:v>Solar79919</c:v>
                </c:pt>
                <c:pt idx="317">
                  <c:v>Solar80640</c:v>
                </c:pt>
                <c:pt idx="318">
                  <c:v>Solar81353</c:v>
                </c:pt>
                <c:pt idx="319">
                  <c:v>Solar81355</c:v>
                </c:pt>
                <c:pt idx="320">
                  <c:v>Solar81356</c:v>
                </c:pt>
                <c:pt idx="321">
                  <c:v>South_Creek-8hr</c:v>
                </c:pt>
                <c:pt idx="322">
                  <c:v>Spuzzum_Creek-8hr</c:v>
                </c:pt>
                <c:pt idx="323">
                  <c:v>Squamish_River_B-8hr</c:v>
                </c:pt>
                <c:pt idx="324">
                  <c:v>T_2L129</c:v>
                </c:pt>
                <c:pt idx="325">
                  <c:v>T_5L003</c:v>
                </c:pt>
                <c:pt idx="326">
                  <c:v>T_5L007</c:v>
                </c:pt>
                <c:pt idx="327">
                  <c:v>T_5L013</c:v>
                </c:pt>
                <c:pt idx="328">
                  <c:v>T_5L042</c:v>
                </c:pt>
                <c:pt idx="329">
                  <c:v>T_5L061</c:v>
                </c:pt>
                <c:pt idx="330">
                  <c:v>T_5L062</c:v>
                </c:pt>
                <c:pt idx="331">
                  <c:v>T_5L063</c:v>
                </c:pt>
                <c:pt idx="332">
                  <c:v>Upper Clore - Storage for 16 hrs of generation</c:v>
                </c:pt>
                <c:pt idx="333">
                  <c:v>Upper Deserted - Un-named</c:v>
                </c:pt>
                <c:pt idx="334">
                  <c:v>Upper Misery - Lower Misery</c:v>
                </c:pt>
                <c:pt idx="335">
                  <c:v>Upper Vancouver - Lower Vancouver</c:v>
                </c:pt>
                <c:pt idx="336">
                  <c:v>VI02</c:v>
                </c:pt>
                <c:pt idx="337">
                  <c:v>VI04</c:v>
                </c:pt>
                <c:pt idx="338">
                  <c:v>VI05</c:v>
                </c:pt>
                <c:pt idx="339">
                  <c:v>VI06</c:v>
                </c:pt>
                <c:pt idx="340">
                  <c:v>VI07</c:v>
                </c:pt>
                <c:pt idx="341">
                  <c:v>VI08</c:v>
                </c:pt>
                <c:pt idx="342">
                  <c:v>VI09</c:v>
                </c:pt>
                <c:pt idx="343">
                  <c:v>VI10</c:v>
                </c:pt>
                <c:pt idx="344">
                  <c:v>VI11</c:v>
                </c:pt>
                <c:pt idx="345">
                  <c:v>VI12</c:v>
                </c:pt>
                <c:pt idx="346">
                  <c:v>VI13</c:v>
                </c:pt>
                <c:pt idx="347">
                  <c:v>VI14</c:v>
                </c:pt>
                <c:pt idx="348">
                  <c:v>VI15</c:v>
                </c:pt>
                <c:pt idx="349">
                  <c:v>WBBio_CB_RR</c:v>
                </c:pt>
                <c:pt idx="350">
                  <c:v>WBBio_LM_RR</c:v>
                </c:pt>
                <c:pt idx="351">
                  <c:v>WBBio_LM_ST_1</c:v>
                </c:pt>
                <c:pt idx="352">
                  <c:v>WBBio_LM_ST_2</c:v>
                </c:pt>
                <c:pt idx="353">
                  <c:v>WBBio_NE_ST_1</c:v>
                </c:pt>
                <c:pt idx="354">
                  <c:v>WBBio_NE_ST_2</c:v>
                </c:pt>
                <c:pt idx="355">
                  <c:v>WBBio_NE_ST_3</c:v>
                </c:pt>
                <c:pt idx="356">
                  <c:v>WBBio_NW_ST</c:v>
                </c:pt>
                <c:pt idx="357">
                  <c:v>WBBio_SP_RR</c:v>
                </c:pt>
                <c:pt idx="358">
                  <c:v>WBBio_SP_ST</c:v>
                </c:pt>
                <c:pt idx="359">
                  <c:v>WBBio_WPR_PL</c:v>
                </c:pt>
                <c:pt idx="360">
                  <c:v>Zymoetz_River-8hr</c:v>
                </c:pt>
              </c:strCache>
            </c:strRef>
          </c:cat>
          <c:val>
            <c:numRef>
              <c:f>'All projects'!$AD$2:$AD$362</c:f>
              <c:numCache>
                <c:formatCode>0.0000</c:formatCode>
                <c:ptCount val="361"/>
                <c:pt idx="0">
                  <c:v>9.4491083801672454E-2</c:v>
                </c:pt>
                <c:pt idx="1">
                  <c:v>6.9255009686257668E-2</c:v>
                </c:pt>
                <c:pt idx="2">
                  <c:v>1.2287527152363127E-3</c:v>
                </c:pt>
                <c:pt idx="3">
                  <c:v>0.41289994979316408</c:v>
                </c:pt>
                <c:pt idx="4">
                  <c:v>0.41861251332275135</c:v>
                </c:pt>
                <c:pt idx="5">
                  <c:v>0.53650533635016706</c:v>
                </c:pt>
                <c:pt idx="6">
                  <c:v>0.41881353972446939</c:v>
                </c:pt>
                <c:pt idx="7">
                  <c:v>0.37835479104199959</c:v>
                </c:pt>
                <c:pt idx="8">
                  <c:v>0.49045821909004966</c:v>
                </c:pt>
                <c:pt idx="9">
                  <c:v>0.50050682363245358</c:v>
                </c:pt>
                <c:pt idx="10">
                  <c:v>0.13029891621553011</c:v>
                </c:pt>
                <c:pt idx="11">
                  <c:v>0.17479924023762114</c:v>
                </c:pt>
                <c:pt idx="12">
                  <c:v>0.18383246497378949</c:v>
                </c:pt>
                <c:pt idx="13">
                  <c:v>0.30432469348149149</c:v>
                </c:pt>
                <c:pt idx="14">
                  <c:v>0.24788475135082935</c:v>
                </c:pt>
                <c:pt idx="15">
                  <c:v>0.21777087300668665</c:v>
                </c:pt>
                <c:pt idx="16">
                  <c:v>0.33216562505298997</c:v>
                </c:pt>
                <c:pt idx="17">
                  <c:v>0.22116046109682896</c:v>
                </c:pt>
                <c:pt idx="18">
                  <c:v>0.21712150177173858</c:v>
                </c:pt>
                <c:pt idx="19">
                  <c:v>0.10396948564657092</c:v>
                </c:pt>
                <c:pt idx="20">
                  <c:v>5.1449448990419915E-2</c:v>
                </c:pt>
                <c:pt idx="21">
                  <c:v>5.8008260658754E-3</c:v>
                </c:pt>
                <c:pt idx="22">
                  <c:v>3.686258145708938E-3</c:v>
                </c:pt>
                <c:pt idx="23">
                  <c:v>0.30399219299674846</c:v>
                </c:pt>
                <c:pt idx="24">
                  <c:v>0.29648131914959502</c:v>
                </c:pt>
                <c:pt idx="25">
                  <c:v>0.11230799817259897</c:v>
                </c:pt>
                <c:pt idx="26">
                  <c:v>3.7564051807163483E-2</c:v>
                </c:pt>
                <c:pt idx="27">
                  <c:v>0.10708830578838373</c:v>
                </c:pt>
                <c:pt idx="28">
                  <c:v>0.16108677771150709</c:v>
                </c:pt>
                <c:pt idx="29">
                  <c:v>9.6814212835206817E-2</c:v>
                </c:pt>
                <c:pt idx="30">
                  <c:v>0.1376711744688778</c:v>
                </c:pt>
                <c:pt idx="31">
                  <c:v>0.12257008621174803</c:v>
                </c:pt>
                <c:pt idx="32">
                  <c:v>3.4775618695423414E-2</c:v>
                </c:pt>
                <c:pt idx="33">
                  <c:v>0.16150135887762779</c:v>
                </c:pt>
                <c:pt idx="34">
                  <c:v>0.1353474802090944</c:v>
                </c:pt>
                <c:pt idx="35">
                  <c:v>6.2447695068794183E-2</c:v>
                </c:pt>
                <c:pt idx="36">
                  <c:v>1.9537168172257372E-2</c:v>
                </c:pt>
                <c:pt idx="37">
                  <c:v>7.372516291417875E-3</c:v>
                </c:pt>
                <c:pt idx="38">
                  <c:v>8.3555184636069264E-3</c:v>
                </c:pt>
                <c:pt idx="39">
                  <c:v>0.18921649074614044</c:v>
                </c:pt>
                <c:pt idx="40">
                  <c:v>9.7224358204025543E-2</c:v>
                </c:pt>
                <c:pt idx="41">
                  <c:v>0.11507728731703568</c:v>
                </c:pt>
                <c:pt idx="42">
                  <c:v>0.55747934405248056</c:v>
                </c:pt>
                <c:pt idx="43">
                  <c:v>0.22677820792314499</c:v>
                </c:pt>
                <c:pt idx="44">
                  <c:v>0.34435512231373155</c:v>
                </c:pt>
                <c:pt idx="45">
                  <c:v>0.38089282155291249</c:v>
                </c:pt>
                <c:pt idx="46">
                  <c:v>0.10351712033445667</c:v>
                </c:pt>
                <c:pt idx="47">
                  <c:v>0.11785437904121411</c:v>
                </c:pt>
                <c:pt idx="48">
                  <c:v>0.18297286643679159</c:v>
                </c:pt>
                <c:pt idx="49">
                  <c:v>6.4034776650847711E-2</c:v>
                </c:pt>
                <c:pt idx="50">
                  <c:v>5.7775670057286913E-2</c:v>
                </c:pt>
                <c:pt idx="51">
                  <c:v>0.13683046186111311</c:v>
                </c:pt>
                <c:pt idx="52">
                  <c:v>1.0887895483277043E-2</c:v>
                </c:pt>
                <c:pt idx="53">
                  <c:v>1.7116844798947799E-2</c:v>
                </c:pt>
                <c:pt idx="54">
                  <c:v>0.24364409226753292</c:v>
                </c:pt>
                <c:pt idx="55">
                  <c:v>0.2204199286979375</c:v>
                </c:pt>
                <c:pt idx="56">
                  <c:v>0.11486257506757526</c:v>
                </c:pt>
                <c:pt idx="57">
                  <c:v>9.5947548970096344E-2</c:v>
                </c:pt>
                <c:pt idx="58">
                  <c:v>8.616790610953054E-2</c:v>
                </c:pt>
                <c:pt idx="59">
                  <c:v>0.10378119158048811</c:v>
                </c:pt>
                <c:pt idx="60">
                  <c:v>5.3226766067846328E-2</c:v>
                </c:pt>
                <c:pt idx="61">
                  <c:v>9.9489416384237861E-2</c:v>
                </c:pt>
                <c:pt idx="62">
                  <c:v>0.11794851378672837</c:v>
                </c:pt>
                <c:pt idx="63">
                  <c:v>0.16543901982887407</c:v>
                </c:pt>
                <c:pt idx="64">
                  <c:v>7.215894555322995E-2</c:v>
                </c:pt>
                <c:pt idx="65">
                  <c:v>0.13834072182341009</c:v>
                </c:pt>
                <c:pt idx="66">
                  <c:v>6.4074133600316718E-2</c:v>
                </c:pt>
                <c:pt idx="67">
                  <c:v>5.0785959386773764E-2</c:v>
                </c:pt>
                <c:pt idx="68">
                  <c:v>8.0030519759941063E-2</c:v>
                </c:pt>
                <c:pt idx="69">
                  <c:v>0.10920421796402066</c:v>
                </c:pt>
                <c:pt idx="70">
                  <c:v>2.392947991566825E-2</c:v>
                </c:pt>
                <c:pt idx="71">
                  <c:v>0.11152212479851528</c:v>
                </c:pt>
                <c:pt idx="72">
                  <c:v>4.1006107638246365E-2</c:v>
                </c:pt>
                <c:pt idx="73">
                  <c:v>0.10995053778820091</c:v>
                </c:pt>
                <c:pt idx="74">
                  <c:v>0.17710332360406938</c:v>
                </c:pt>
                <c:pt idx="75">
                  <c:v>8.6433242970858665E-2</c:v>
                </c:pt>
                <c:pt idx="76">
                  <c:v>8.5009044848736864E-2</c:v>
                </c:pt>
                <c:pt idx="77">
                  <c:v>6.6008571287440407E-2</c:v>
                </c:pt>
                <c:pt idx="78">
                  <c:v>9.4308675461095615E-2</c:v>
                </c:pt>
                <c:pt idx="79">
                  <c:v>1.8062664913973795E-2</c:v>
                </c:pt>
                <c:pt idx="80">
                  <c:v>9.0268954309321803E-2</c:v>
                </c:pt>
                <c:pt idx="81">
                  <c:v>1.0251130022434569E-2</c:v>
                </c:pt>
                <c:pt idx="82">
                  <c:v>1.3886519034485437E-2</c:v>
                </c:pt>
                <c:pt idx="83">
                  <c:v>3.5947492447471439E-2</c:v>
                </c:pt>
                <c:pt idx="84">
                  <c:v>2.2180067812404849E-2</c:v>
                </c:pt>
                <c:pt idx="85">
                  <c:v>9.0468933813726518E-2</c:v>
                </c:pt>
                <c:pt idx="86">
                  <c:v>2.6705281449495688E-2</c:v>
                </c:pt>
                <c:pt idx="87">
                  <c:v>7.4550024611916885E-2</c:v>
                </c:pt>
                <c:pt idx="88">
                  <c:v>4.1605566937901552E-2</c:v>
                </c:pt>
                <c:pt idx="89">
                  <c:v>3.5879579284900327E-2</c:v>
                </c:pt>
                <c:pt idx="90">
                  <c:v>2.3866997840098481E-2</c:v>
                </c:pt>
                <c:pt idx="91">
                  <c:v>3.5412690115691994E-2</c:v>
                </c:pt>
                <c:pt idx="92">
                  <c:v>1.2951778582692725E-2</c:v>
                </c:pt>
                <c:pt idx="93">
                  <c:v>0.13467129758989987</c:v>
                </c:pt>
                <c:pt idx="94">
                  <c:v>2.0791540381606358E-2</c:v>
                </c:pt>
                <c:pt idx="95">
                  <c:v>0.23434980672948549</c:v>
                </c:pt>
                <c:pt idx="96">
                  <c:v>0.12556710009689948</c:v>
                </c:pt>
                <c:pt idx="97">
                  <c:v>9.7071464503668704E-3</c:v>
                </c:pt>
                <c:pt idx="98">
                  <c:v>0.17325413284832009</c:v>
                </c:pt>
                <c:pt idx="99">
                  <c:v>7.2128841111706648E-3</c:v>
                </c:pt>
                <c:pt idx="100">
                  <c:v>0.18382676356119079</c:v>
                </c:pt>
                <c:pt idx="101">
                  <c:v>0.12092532083347772</c:v>
                </c:pt>
                <c:pt idx="102">
                  <c:v>0.10954256731168813</c:v>
                </c:pt>
                <c:pt idx="103">
                  <c:v>5.3623518032068981E-2</c:v>
                </c:pt>
                <c:pt idx="104">
                  <c:v>2.5660780203909061E-2</c:v>
                </c:pt>
                <c:pt idx="105">
                  <c:v>6.2911782681811801E-2</c:v>
                </c:pt>
                <c:pt idx="106">
                  <c:v>4.9237644952885934E-2</c:v>
                </c:pt>
                <c:pt idx="107">
                  <c:v>5.0894157207113891E-2</c:v>
                </c:pt>
                <c:pt idx="108">
                  <c:v>8.2423122471994875E-2</c:v>
                </c:pt>
                <c:pt idx="109">
                  <c:v>6.9155271828361939E-2</c:v>
                </c:pt>
                <c:pt idx="110">
                  <c:v>4.0063838618567396E-2</c:v>
                </c:pt>
                <c:pt idx="111">
                  <c:v>0.1838840603003023</c:v>
                </c:pt>
                <c:pt idx="112">
                  <c:v>4.3326938904203249E-2</c:v>
                </c:pt>
                <c:pt idx="113">
                  <c:v>0.15051385209798471</c:v>
                </c:pt>
                <c:pt idx="114">
                  <c:v>0.16045200405881596</c:v>
                </c:pt>
                <c:pt idx="115">
                  <c:v>6.3651799004562859E-2</c:v>
                </c:pt>
                <c:pt idx="116">
                  <c:v>5.1617861837570195E-2</c:v>
                </c:pt>
                <c:pt idx="117">
                  <c:v>2.1572060080109767E-2</c:v>
                </c:pt>
                <c:pt idx="118">
                  <c:v>0.11640362757291604</c:v>
                </c:pt>
                <c:pt idx="119">
                  <c:v>9.8184333550331071E-2</c:v>
                </c:pt>
                <c:pt idx="120">
                  <c:v>0.10824638064743965</c:v>
                </c:pt>
                <c:pt idx="121">
                  <c:v>9.4555175543299175E-2</c:v>
                </c:pt>
                <c:pt idx="122">
                  <c:v>9.534110175374963E-2</c:v>
                </c:pt>
                <c:pt idx="123">
                  <c:v>5.1710323021886301E-2</c:v>
                </c:pt>
                <c:pt idx="124">
                  <c:v>6.2339187602769817E-2</c:v>
                </c:pt>
                <c:pt idx="125">
                  <c:v>2.2240424145777257E-2</c:v>
                </c:pt>
                <c:pt idx="126">
                  <c:v>2.8561201838115762E-2</c:v>
                </c:pt>
                <c:pt idx="127">
                  <c:v>3.8951461072991113E-2</c:v>
                </c:pt>
                <c:pt idx="128">
                  <c:v>3.612532982794759E-2</c:v>
                </c:pt>
                <c:pt idx="129">
                  <c:v>0.14571471261808625</c:v>
                </c:pt>
                <c:pt idx="130">
                  <c:v>1.7939789642450164E-2</c:v>
                </c:pt>
                <c:pt idx="131">
                  <c:v>2.4369582275684438E-2</c:v>
                </c:pt>
                <c:pt idx="132">
                  <c:v>8.6640619566609092E-3</c:v>
                </c:pt>
                <c:pt idx="133">
                  <c:v>5.2128961529472745E-2</c:v>
                </c:pt>
                <c:pt idx="134">
                  <c:v>8.417683520976162E-3</c:v>
                </c:pt>
                <c:pt idx="135">
                  <c:v>6.8736414602792173E-3</c:v>
                </c:pt>
                <c:pt idx="136">
                  <c:v>5.265637905743363E-2</c:v>
                </c:pt>
                <c:pt idx="137">
                  <c:v>8.5398313708923715E-2</c:v>
                </c:pt>
                <c:pt idx="138">
                  <c:v>3.8498383084302021E-2</c:v>
                </c:pt>
                <c:pt idx="139">
                  <c:v>1.3700850812955084E-2</c:v>
                </c:pt>
                <c:pt idx="140">
                  <c:v>2.2217876533452668E-2</c:v>
                </c:pt>
                <c:pt idx="141">
                  <c:v>1.5879994603318077E-2</c:v>
                </c:pt>
                <c:pt idx="142">
                  <c:v>2.2598753012594473E-2</c:v>
                </c:pt>
                <c:pt idx="143">
                  <c:v>1.9133055979270452E-2</c:v>
                </c:pt>
                <c:pt idx="144">
                  <c:v>1.3619003594593193E-2</c:v>
                </c:pt>
                <c:pt idx="145">
                  <c:v>3.024917630561734E-2</c:v>
                </c:pt>
                <c:pt idx="146">
                  <c:v>3.9083515127297561E-2</c:v>
                </c:pt>
                <c:pt idx="147">
                  <c:v>9.9528969934141332E-3</c:v>
                </c:pt>
                <c:pt idx="148">
                  <c:v>4.6078226821361722E-2</c:v>
                </c:pt>
                <c:pt idx="149">
                  <c:v>4.0548839602798321E-2</c:v>
                </c:pt>
                <c:pt idx="150">
                  <c:v>3.0537380254976022E-2</c:v>
                </c:pt>
                <c:pt idx="151">
                  <c:v>4.5464624577954166E-2</c:v>
                </c:pt>
                <c:pt idx="152">
                  <c:v>4.5199472029533332E-2</c:v>
                </c:pt>
                <c:pt idx="153">
                  <c:v>7.2918363881354586E-2</c:v>
                </c:pt>
                <c:pt idx="154">
                  <c:v>4.4555925082455462E-2</c:v>
                </c:pt>
                <c:pt idx="155">
                  <c:v>2.8363090037838219E-2</c:v>
                </c:pt>
                <c:pt idx="156">
                  <c:v>2.639924829823893E-2</c:v>
                </c:pt>
                <c:pt idx="157">
                  <c:v>1.6565700056055704E-2</c:v>
                </c:pt>
                <c:pt idx="158">
                  <c:v>3.1701820053096866E-2</c:v>
                </c:pt>
                <c:pt idx="159">
                  <c:v>3.4896577112711276E-2</c:v>
                </c:pt>
                <c:pt idx="160">
                  <c:v>7.488027647919096E-2</c:v>
                </c:pt>
                <c:pt idx="161">
                  <c:v>9.7340598210886906E-2</c:v>
                </c:pt>
                <c:pt idx="162">
                  <c:v>3.1253669362795881E-2</c:v>
                </c:pt>
                <c:pt idx="163">
                  <c:v>5.6627056594138317E-2</c:v>
                </c:pt>
                <c:pt idx="164">
                  <c:v>1.3736926992674424E-2</c:v>
                </c:pt>
                <c:pt idx="165">
                  <c:v>5.4502887200254993E-2</c:v>
                </c:pt>
                <c:pt idx="166">
                  <c:v>2.0595972099449345E-2</c:v>
                </c:pt>
                <c:pt idx="167">
                  <c:v>4.7667298982813924E-2</c:v>
                </c:pt>
                <c:pt idx="168">
                  <c:v>4.5087409781903766E-2</c:v>
                </c:pt>
                <c:pt idx="169">
                  <c:v>2.5021091540357036E-2</c:v>
                </c:pt>
                <c:pt idx="170">
                  <c:v>2.428349586045498E-2</c:v>
                </c:pt>
                <c:pt idx="171">
                  <c:v>1.8814034911813649E-2</c:v>
                </c:pt>
                <c:pt idx="172">
                  <c:v>4.2455642641356331E-2</c:v>
                </c:pt>
                <c:pt idx="173">
                  <c:v>3.1188299718345306E-2</c:v>
                </c:pt>
                <c:pt idx="174">
                  <c:v>2.3668406826261989E-2</c:v>
                </c:pt>
                <c:pt idx="175">
                  <c:v>3.1913755321420829E-2</c:v>
                </c:pt>
                <c:pt idx="176">
                  <c:v>4.6343760283124293E-2</c:v>
                </c:pt>
                <c:pt idx="177">
                  <c:v>2.6227186055524387E-2</c:v>
                </c:pt>
                <c:pt idx="178">
                  <c:v>2.3023483676143059E-2</c:v>
                </c:pt>
                <c:pt idx="179">
                  <c:v>4.7373639371399608E-2</c:v>
                </c:pt>
                <c:pt idx="180">
                  <c:v>6.4832863826920856E-2</c:v>
                </c:pt>
                <c:pt idx="181">
                  <c:v>4.5632005272823656E-2</c:v>
                </c:pt>
                <c:pt idx="182">
                  <c:v>5.6485246243272891E-2</c:v>
                </c:pt>
                <c:pt idx="183">
                  <c:v>3.7864322108185786E-2</c:v>
                </c:pt>
                <c:pt idx="184">
                  <c:v>5.9254019311569178E-2</c:v>
                </c:pt>
                <c:pt idx="185">
                  <c:v>1.0556935854439006E-2</c:v>
                </c:pt>
                <c:pt idx="186">
                  <c:v>4.2481458735903442E-2</c:v>
                </c:pt>
                <c:pt idx="187">
                  <c:v>2.9664769226723803E-2</c:v>
                </c:pt>
                <c:pt idx="188">
                  <c:v>2.4607493376408496E-2</c:v>
                </c:pt>
                <c:pt idx="189">
                  <c:v>2.4697929576249885E-2</c:v>
                </c:pt>
                <c:pt idx="190">
                  <c:v>3.5617412605577506E-2</c:v>
                </c:pt>
                <c:pt idx="191">
                  <c:v>1.6715681612477447E-2</c:v>
                </c:pt>
                <c:pt idx="192">
                  <c:v>1.6640666259212268E-2</c:v>
                </c:pt>
                <c:pt idx="193">
                  <c:v>2.4403852188912376E-2</c:v>
                </c:pt>
                <c:pt idx="194">
                  <c:v>1.9541726844830899E-2</c:v>
                </c:pt>
                <c:pt idx="195">
                  <c:v>1.8826973677905087E-2</c:v>
                </c:pt>
                <c:pt idx="196">
                  <c:v>6.3124086575950325E-2</c:v>
                </c:pt>
                <c:pt idx="197">
                  <c:v>4.0894082253198266E-2</c:v>
                </c:pt>
                <c:pt idx="198">
                  <c:v>3.8805202637296532E-2</c:v>
                </c:pt>
                <c:pt idx="199">
                  <c:v>2.602659217476206E-2</c:v>
                </c:pt>
                <c:pt idx="200">
                  <c:v>2.50742105202367E-2</c:v>
                </c:pt>
                <c:pt idx="201">
                  <c:v>2.4281861619343717E-2</c:v>
                </c:pt>
                <c:pt idx="202">
                  <c:v>1.732541328483201E-2</c:v>
                </c:pt>
                <c:pt idx="203">
                  <c:v>9.5447667790483914E-2</c:v>
                </c:pt>
                <c:pt idx="204">
                  <c:v>6.8201071619818018E-2</c:v>
                </c:pt>
                <c:pt idx="205">
                  <c:v>8.0366128989053549E-3</c:v>
                </c:pt>
                <c:pt idx="206">
                  <c:v>1.9515013760801662E-2</c:v>
                </c:pt>
                <c:pt idx="207">
                  <c:v>2.3006477738564186E-2</c:v>
                </c:pt>
                <c:pt idx="208">
                  <c:v>2.920112396468369E-2</c:v>
                </c:pt>
                <c:pt idx="209">
                  <c:v>1.2290107533065125E-2</c:v>
                </c:pt>
                <c:pt idx="210">
                  <c:v>8.8470195497014504E-3</c:v>
                </c:pt>
                <c:pt idx="211">
                  <c:v>5.8125840006074965E-2</c:v>
                </c:pt>
                <c:pt idx="212">
                  <c:v>5.0824615947195097E-2</c:v>
                </c:pt>
                <c:pt idx="213">
                  <c:v>5.5792192849298164E-2</c:v>
                </c:pt>
                <c:pt idx="214">
                  <c:v>2.8629938265006084E-2</c:v>
                </c:pt>
                <c:pt idx="215">
                  <c:v>3.8549572922418777E-2</c:v>
                </c:pt>
                <c:pt idx="216">
                  <c:v>3.5304092950719408E-2</c:v>
                </c:pt>
                <c:pt idx="217">
                  <c:v>7.0532150683419975E-2</c:v>
                </c:pt>
                <c:pt idx="218">
                  <c:v>3.878149999741963E-2</c:v>
                </c:pt>
                <c:pt idx="219">
                  <c:v>1.8678270024307185E-2</c:v>
                </c:pt>
                <c:pt idx="220">
                  <c:v>6.194501233299101E-2</c:v>
                </c:pt>
                <c:pt idx="221">
                  <c:v>5.0272279314169228E-2</c:v>
                </c:pt>
                <c:pt idx="222">
                  <c:v>4.0183728020993001E-2</c:v>
                </c:pt>
                <c:pt idx="223">
                  <c:v>2.8384187721958821E-2</c:v>
                </c:pt>
                <c:pt idx="224">
                  <c:v>4.4726598834601783E-2</c:v>
                </c:pt>
                <c:pt idx="225">
                  <c:v>7.6454566745478889E-2</c:v>
                </c:pt>
                <c:pt idx="226">
                  <c:v>1.462215731131212E-2</c:v>
                </c:pt>
                <c:pt idx="227">
                  <c:v>1.737483371903881E-2</c:v>
                </c:pt>
                <c:pt idx="228">
                  <c:v>2.758553531963668E-2</c:v>
                </c:pt>
                <c:pt idx="229">
                  <c:v>2.7499915830439012E-2</c:v>
                </c:pt>
                <c:pt idx="230">
                  <c:v>4.2297416154215353E-2</c:v>
                </c:pt>
                <c:pt idx="231">
                  <c:v>2.8261312450435189E-2</c:v>
                </c:pt>
                <c:pt idx="232">
                  <c:v>5.7012884946722513E-2</c:v>
                </c:pt>
                <c:pt idx="233">
                  <c:v>2.4553907470497037E-2</c:v>
                </c:pt>
                <c:pt idx="234">
                  <c:v>3.2690204162178646E-2</c:v>
                </c:pt>
                <c:pt idx="235">
                  <c:v>4.1879873694050898E-2</c:v>
                </c:pt>
                <c:pt idx="236">
                  <c:v>4.1091235626357928E-2</c:v>
                </c:pt>
                <c:pt idx="237">
                  <c:v>3.0104441523289657E-2</c:v>
                </c:pt>
                <c:pt idx="238">
                  <c:v>2.2314603947196077E-2</c:v>
                </c:pt>
                <c:pt idx="239">
                  <c:v>1.3884905682170334E-2</c:v>
                </c:pt>
                <c:pt idx="240">
                  <c:v>2.4060010316607802E-2</c:v>
                </c:pt>
                <c:pt idx="241">
                  <c:v>2.5806227662811581E-2</c:v>
                </c:pt>
                <c:pt idx="242">
                  <c:v>5.3207241187201229E-2</c:v>
                </c:pt>
                <c:pt idx="243">
                  <c:v>2.6971871638593357E-2</c:v>
                </c:pt>
                <c:pt idx="244">
                  <c:v>6.5162230992239945E-2</c:v>
                </c:pt>
                <c:pt idx="245">
                  <c:v>1.1427400251697709E-2</c:v>
                </c:pt>
                <c:pt idx="246">
                  <c:v>5.3815977569856441E-2</c:v>
                </c:pt>
                <c:pt idx="247">
                  <c:v>1.2165107748096848E-2</c:v>
                </c:pt>
                <c:pt idx="248">
                  <c:v>6.1191885218768373E-2</c:v>
                </c:pt>
                <c:pt idx="249">
                  <c:v>1.4130656225217596E-2</c:v>
                </c:pt>
                <c:pt idx="250">
                  <c:v>1.0813023894079551E-2</c:v>
                </c:pt>
                <c:pt idx="251">
                  <c:v>5.369649365582687E-2</c:v>
                </c:pt>
                <c:pt idx="252">
                  <c:v>4.1531841774987366E-2</c:v>
                </c:pt>
                <c:pt idx="253">
                  <c:v>8.4783937351305586E-2</c:v>
                </c:pt>
                <c:pt idx="254">
                  <c:v>0.11181649708650446</c:v>
                </c:pt>
                <c:pt idx="255">
                  <c:v>3.8214209443849324E-2</c:v>
                </c:pt>
                <c:pt idx="256">
                  <c:v>7.7187542315171651E-2</c:v>
                </c:pt>
                <c:pt idx="257">
                  <c:v>5.9340204027015862E-2</c:v>
                </c:pt>
                <c:pt idx="258">
                  <c:v>7.7658510943394571E-2</c:v>
                </c:pt>
                <c:pt idx="259">
                  <c:v>0.11619727084191925</c:v>
                </c:pt>
                <c:pt idx="260">
                  <c:v>4.91501086094525E-3</c:v>
                </c:pt>
                <c:pt idx="261">
                  <c:v>5.7022592093172878E-3</c:v>
                </c:pt>
                <c:pt idx="262">
                  <c:v>7.0779388017252684E-3</c:v>
                </c:pt>
                <c:pt idx="263">
                  <c:v>1.441675900743322E-2</c:v>
                </c:pt>
                <c:pt idx="264">
                  <c:v>1.6909996566864916E-2</c:v>
                </c:pt>
                <c:pt idx="265">
                  <c:v>7.377679510327298E-2</c:v>
                </c:pt>
                <c:pt idx="266">
                  <c:v>4.5009764897827993E-2</c:v>
                </c:pt>
                <c:pt idx="267">
                  <c:v>2.7724802152381562E-2</c:v>
                </c:pt>
                <c:pt idx="268">
                  <c:v>2.8854136485428099E-2</c:v>
                </c:pt>
                <c:pt idx="269">
                  <c:v>7.9748926500190359E-2</c:v>
                </c:pt>
                <c:pt idx="270">
                  <c:v>1.7694039099402904E-2</c:v>
                </c:pt>
                <c:pt idx="271">
                  <c:v>4.8796535015643253E-2</c:v>
                </c:pt>
                <c:pt idx="272">
                  <c:v>4.8944550567720617E-2</c:v>
                </c:pt>
                <c:pt idx="273">
                  <c:v>6.4426662754318034E-2</c:v>
                </c:pt>
                <c:pt idx="274">
                  <c:v>4.9978447677374763E-2</c:v>
                </c:pt>
                <c:pt idx="275">
                  <c:v>2.732975815443308E-2</c:v>
                </c:pt>
                <c:pt idx="276">
                  <c:v>1.5938262057074583E-2</c:v>
                </c:pt>
                <c:pt idx="277">
                  <c:v>3.6993050420393173E-3</c:v>
                </c:pt>
                <c:pt idx="278">
                  <c:v>1.6199691484768266E-2</c:v>
                </c:pt>
                <c:pt idx="279">
                  <c:v>1.2287527152363127E-3</c:v>
                </c:pt>
                <c:pt idx="280">
                  <c:v>1.0321522807985024E-2</c:v>
                </c:pt>
                <c:pt idx="281">
                  <c:v>3.6008979233341863E-2</c:v>
                </c:pt>
                <c:pt idx="282">
                  <c:v>1.1304524980174075E-2</c:v>
                </c:pt>
                <c:pt idx="283">
                  <c:v>1.1427400251697709E-2</c:v>
                </c:pt>
                <c:pt idx="284">
                  <c:v>6.5123893907524568E-3</c:v>
                </c:pt>
                <c:pt idx="285">
                  <c:v>4.5463850463743566E-3</c:v>
                </c:pt>
                <c:pt idx="286">
                  <c:v>1.5298401368142428E-2</c:v>
                </c:pt>
                <c:pt idx="287">
                  <c:v>4.3339988258039058E-2</c:v>
                </c:pt>
                <c:pt idx="288">
                  <c:v>1.3024778781504914E-2</c:v>
                </c:pt>
                <c:pt idx="289">
                  <c:v>2.3471708091606962E-2</c:v>
                </c:pt>
                <c:pt idx="290">
                  <c:v>8.4971604753503634E-3</c:v>
                </c:pt>
                <c:pt idx="291">
                  <c:v>6.7014538847877236E-3</c:v>
                </c:pt>
                <c:pt idx="292">
                  <c:v>1.1181649708650444E-2</c:v>
                </c:pt>
                <c:pt idx="293">
                  <c:v>1.3910623476500229E-2</c:v>
                </c:pt>
                <c:pt idx="294">
                  <c:v>1.6060744127729336E-2</c:v>
                </c:pt>
                <c:pt idx="295">
                  <c:v>2.7462647760585896E-2</c:v>
                </c:pt>
                <c:pt idx="296">
                  <c:v>1.3270529324552176E-2</c:v>
                </c:pt>
                <c:pt idx="297">
                  <c:v>3.1333194238525972E-2</c:v>
                </c:pt>
                <c:pt idx="298">
                  <c:v>1.6895841335585391E-2</c:v>
                </c:pt>
                <c:pt idx="299">
                  <c:v>1.3884905682170332E-2</c:v>
                </c:pt>
                <c:pt idx="300">
                  <c:v>4.2272939400127843E-2</c:v>
                </c:pt>
                <c:pt idx="301">
                  <c:v>1.0567273351032289E-2</c:v>
                </c:pt>
                <c:pt idx="302">
                  <c:v>5.2453364533822273E-2</c:v>
                </c:pt>
                <c:pt idx="303">
                  <c:v>2.049654142973243E-2</c:v>
                </c:pt>
                <c:pt idx="304">
                  <c:v>3.4447910346269886E-2</c:v>
                </c:pt>
                <c:pt idx="305">
                  <c:v>1.7402222617061432E-2</c:v>
                </c:pt>
                <c:pt idx="306">
                  <c:v>4.1293156560052724E-3</c:v>
                </c:pt>
                <c:pt idx="307">
                  <c:v>1.8382656696075635E-2</c:v>
                </c:pt>
                <c:pt idx="308">
                  <c:v>2.1579183159599988E-2</c:v>
                </c:pt>
                <c:pt idx="309">
                  <c:v>1.1698663387371421E-2</c:v>
                </c:pt>
                <c:pt idx="310">
                  <c:v>1.2743947348437654E-2</c:v>
                </c:pt>
                <c:pt idx="311">
                  <c:v>1.4820183098899606E-2</c:v>
                </c:pt>
                <c:pt idx="312">
                  <c:v>3.0007775547182019E-2</c:v>
                </c:pt>
                <c:pt idx="313">
                  <c:v>1.9244589863232454E-2</c:v>
                </c:pt>
                <c:pt idx="314">
                  <c:v>4.6847340008409587E-3</c:v>
                </c:pt>
                <c:pt idx="315">
                  <c:v>1.9188190113603103E-2</c:v>
                </c:pt>
                <c:pt idx="316">
                  <c:v>7.9156974879625256E-3</c:v>
                </c:pt>
                <c:pt idx="317">
                  <c:v>7.6307509620519394E-3</c:v>
                </c:pt>
                <c:pt idx="318">
                  <c:v>9.3166783275299338E-3</c:v>
                </c:pt>
                <c:pt idx="319">
                  <c:v>1.3457152286942269E-2</c:v>
                </c:pt>
                <c:pt idx="320">
                  <c:v>8.6019177880878334E-3</c:v>
                </c:pt>
                <c:pt idx="321">
                  <c:v>0.132215143787414</c:v>
                </c:pt>
                <c:pt idx="322">
                  <c:v>3.3176323311380445E-3</c:v>
                </c:pt>
                <c:pt idx="323">
                  <c:v>0.11501125414611887</c:v>
                </c:pt>
                <c:pt idx="324">
                  <c:v>6.5341137387578352E-2</c:v>
                </c:pt>
                <c:pt idx="325">
                  <c:v>0.21516873109410356</c:v>
                </c:pt>
                <c:pt idx="326">
                  <c:v>0.1150688949359906</c:v>
                </c:pt>
                <c:pt idx="327">
                  <c:v>0.51257284353284105</c:v>
                </c:pt>
                <c:pt idx="328">
                  <c:v>0.4000372803573804</c:v>
                </c:pt>
                <c:pt idx="329">
                  <c:v>0.28514177471703672</c:v>
                </c:pt>
                <c:pt idx="330">
                  <c:v>0.27362098925898104</c:v>
                </c:pt>
                <c:pt idx="331">
                  <c:v>0.25251064898540665</c:v>
                </c:pt>
                <c:pt idx="332">
                  <c:v>9.2310404070415394E-2</c:v>
                </c:pt>
                <c:pt idx="333">
                  <c:v>0.15310258831844456</c:v>
                </c:pt>
                <c:pt idx="334">
                  <c:v>7.2908410984361169E-2</c:v>
                </c:pt>
                <c:pt idx="335">
                  <c:v>8.7248889023232537E-2</c:v>
                </c:pt>
                <c:pt idx="336">
                  <c:v>0.37707508686667324</c:v>
                </c:pt>
                <c:pt idx="337">
                  <c:v>0.3049587126800154</c:v>
                </c:pt>
                <c:pt idx="338">
                  <c:v>0.32934163183767101</c:v>
                </c:pt>
                <c:pt idx="339">
                  <c:v>0.29317999236698816</c:v>
                </c:pt>
                <c:pt idx="340">
                  <c:v>0.2339197555666799</c:v>
                </c:pt>
                <c:pt idx="341">
                  <c:v>4.4051706405758236E-2</c:v>
                </c:pt>
                <c:pt idx="342">
                  <c:v>0.3095258808498153</c:v>
                </c:pt>
                <c:pt idx="343">
                  <c:v>9.535121070233786E-2</c:v>
                </c:pt>
                <c:pt idx="344">
                  <c:v>2.6616405765602646E-2</c:v>
                </c:pt>
                <c:pt idx="345">
                  <c:v>2.1798122318400795E-2</c:v>
                </c:pt>
                <c:pt idx="346">
                  <c:v>2.7972126727657042E-2</c:v>
                </c:pt>
                <c:pt idx="347">
                  <c:v>2.3346301589489939E-2</c:v>
                </c:pt>
                <c:pt idx="348">
                  <c:v>5.3181572542979935E-2</c:v>
                </c:pt>
                <c:pt idx="349">
                  <c:v>8.848972037765962E-2</c:v>
                </c:pt>
                <c:pt idx="350">
                  <c:v>8.2954263120682929E-3</c:v>
                </c:pt>
                <c:pt idx="351">
                  <c:v>8.2954263120682929E-3</c:v>
                </c:pt>
                <c:pt idx="352">
                  <c:v>8.2954263120682929E-3</c:v>
                </c:pt>
                <c:pt idx="353">
                  <c:v>0.32818694833610912</c:v>
                </c:pt>
                <c:pt idx="354">
                  <c:v>0.32818694833610912</c:v>
                </c:pt>
                <c:pt idx="355">
                  <c:v>0.32818694833610912</c:v>
                </c:pt>
                <c:pt idx="356">
                  <c:v>0.35585587910252892</c:v>
                </c:pt>
                <c:pt idx="357">
                  <c:v>1.2287527152363126E-4</c:v>
                </c:pt>
                <c:pt idx="358">
                  <c:v>1.2287527152363126E-4</c:v>
                </c:pt>
                <c:pt idx="359">
                  <c:v>7.0038904768469816E-3</c:v>
                </c:pt>
                <c:pt idx="360">
                  <c:v>3.1851113507998081E-2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69</xdr:row>
      <xdr:rowOff>87086</xdr:rowOff>
    </xdr:from>
    <xdr:to>
      <xdr:col>39</xdr:col>
      <xdr:colOff>376518</xdr:colOff>
      <xdr:row>107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362" totalsRowShown="0" headerRowDxfId="51" dataDxfId="50" tableBorderDxfId="49">
  <autoFilter ref="A1:AE362" xr:uid="{7487D282-B447-4764-A9C5-BD326D24376D}"/>
  <sortState xmlns:xlrd2="http://schemas.microsoft.com/office/spreadsheetml/2017/richdata2" ref="A2:AE362">
    <sortCondition ref="A1:A362"/>
  </sortState>
  <tableColumns count="31">
    <tableColumn id="1" xr3:uid="{DAAD63E8-A842-434A-9E5F-23C179FCC6A5}" name="BC Hydro Names" dataDxfId="48"/>
    <tableColumn id="2" xr3:uid="{78DE7446-6DB5-4474-A9F0-6027A2E91A72}" name="Project Type" dataDxfId="47"/>
    <tableColumn id="3" xr3:uid="{86B5DED2-C44D-4900-80B0-72FD8A073162}" name="Region" dataDxfId="46"/>
    <tableColumn id="24" xr3:uid="{5C9A4829-A635-417D-99D7-5930371D2B0F}" name="In 2021?" dataDxfId="45"/>
    <tableColumn id="4" xr3:uid="{A5B63A59-D607-4B2C-9E2E-4BA726C588E8}" name="Latitude" dataDxfId="44"/>
    <tableColumn id="5" xr3:uid="{12B40F59-FA4D-42DB-BBAE-3C068151F3A7}" name="Longitude" dataDxfId="43"/>
    <tableColumn id="6" xr3:uid="{FB631301-F7A8-4F01-8A25-0AC44C05120D}" name="Installed Capacity (MW)" dataDxfId="42"/>
    <tableColumn id="7" xr3:uid="{450C8D47-6576-4DF4-8F8E-12D6EAECF3C4}" name="Dependable Generating Capacity (MW)" dataDxfId="41"/>
    <tableColumn id="8" xr3:uid="{ADB136BC-A8BF-4007-A88B-D80A12F0CF4E}" name="Effective Load-Carrying Capacity (MW)" dataDxfId="40"/>
    <tableColumn id="10" xr3:uid="{1BF6A5A1-CA05-4A0D-AB75-AC2A58D024E9}" name="Annual Firm Energy (GWh/yr)" dataDxfId="39"/>
    <tableColumn id="11" xr3:uid="{F80D1D4D-23A0-41B6-9E43-703178D7EC62}" name="UEC ($/MWh)" dataDxfId="38"/>
    <tableColumn id="12" xr3:uid="{F22D587B-9306-483E-ABFE-275918EDC782}" name="UCC ($/kW-yr)" dataDxfId="37"/>
    <tableColumn id="13" xr3:uid="{07A1EE1D-5689-45FA-A022-73422F5C8B88}" name="R1 Length (km)" dataDxfId="36"/>
    <tableColumn id="14" xr3:uid="{77106FD0-3E49-415B-8200-E55C32812EA9}" name="T1 Length (km)" dataDxfId="35"/>
    <tableColumn id="30" xr3:uid="{13D389FF-9114-433E-9443-8C05957BB7A0}" name="Linear Features (km)" dataDxfId="34">
      <calculatedColumnFormula>Table1[[#This Row],[R1 Length (km)]]+Table1[[#This Row],[T1 Length (km)]]</calculatedColumnFormula>
    </tableColumn>
    <tableColumn id="15" xr3:uid="{9C17B7DD-1C68-493A-ACF3-1F346727F440}" name="Line Voltage" dataDxfId="33"/>
    <tableColumn id="23" xr3:uid="{9523C191-202F-49D1-A00B-898F1C90B775}" name="Linear Area (ha)" dataDxfId="32">
      <calculatedColumnFormula>(Table1[[#This Row],[Linear Features (km)]]*0.4)*100</calculatedColumnFormula>
    </tableColumn>
    <tableColumn id="9" xr3:uid="{1AC91F17-0C60-405B-BFD1-C9F2FE6D06AD}" name="ATG (ha)" dataDxfId="31" dataCellStyle="Comma"/>
    <tableColumn id="31" xr3:uid="{7D3E405E-BA45-4E21-80D9-24E29B087A6E}" name="ATG/Linear Ratio" dataDxfId="30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9"/>
    <tableColumn id="16" xr3:uid="{F0179228-D88A-43CD-BCC3-D320BAD9A3EC}" name="Number of Turbines - WIND" dataDxfId="28" dataCellStyle="Comma"/>
    <tableColumn id="18" xr3:uid="{BD1F6288-65C7-49DD-AF15-5D96B4B6A259}" name="Footprint of Plant (ha) - SOLAR" dataDxfId="27" dataCellStyle="Comma"/>
    <tableColumn id="19" xr3:uid="{C270132B-9BD7-47D4-9629-60E0B9CD8CB5}" name="Footprint of Panels (ha) - SOLAR" dataDxfId="26" dataCellStyle="Comma"/>
    <tableColumn id="20" xr3:uid="{AD2CE6A5-4859-4EBD-A0CA-7B55EBCEEFD8}" name="Raw Terrestrial Score" dataDxfId="25"/>
    <tableColumn id="26" xr3:uid="{3EB508D6-4830-4E53-927E-AC9ED404856D}" name="Terrestrial % of Summed Score" dataDxfId="0">
      <calculatedColumnFormula>Table1[[#This Row],[Raw Terrestrial Score]]/Table1[[#This Row],[Summed Raw Scores]]</calculatedColumnFormula>
    </tableColumn>
    <tableColumn id="21" xr3:uid="{70D7E5C1-7F6D-4FDF-A711-BA80729BB28F}" name="Raw Freshwater Score" dataDxfId="24"/>
    <tableColumn id="27" xr3:uid="{5D2D2130-2F0B-42B9-A126-21C68F62BA79}" name="Freshwater % of Summed Score" dataDxfId="23">
      <calculatedColumnFormula>Table1[[#This Row],[Raw Freshwater Score]]/Table1[[#This Row],[Summed Raw Scores]]</calculatedColumnFormula>
    </tableColumn>
    <tableColumn id="22" xr3:uid="{663C1351-B6C8-4221-9ECD-FE5987E748FB}" name="Summed Raw Scores" dataDxfId="22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21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20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9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2"/>
  <sheetViews>
    <sheetView tabSelected="1" zoomScale="81" zoomScaleNormal="9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Z51" sqref="Z51"/>
    </sheetView>
  </sheetViews>
  <sheetFormatPr defaultRowHeight="14.4" x14ac:dyDescent="0.3"/>
  <cols>
    <col min="1" max="1" width="41.6640625" style="19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3" customWidth="1"/>
    <col min="8" max="8" width="20" customWidth="1"/>
    <col min="9" max="9" width="20.109375" style="20" customWidth="1"/>
    <col min="10" max="10" width="17.88671875" style="23" customWidth="1"/>
    <col min="11" max="11" width="14.6640625" style="23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19" customWidth="1"/>
    <col min="17" max="17" width="17.44140625" style="20" bestFit="1" customWidth="1"/>
    <col min="18" max="18" width="14.6640625" bestFit="1" customWidth="1"/>
    <col min="19" max="19" width="17.21875" style="21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2" bestFit="1" customWidth="1"/>
    <col min="25" max="25" width="20.5546875" style="22" customWidth="1"/>
    <col min="26" max="27" width="21.21875" style="22" customWidth="1"/>
    <col min="28" max="28" width="20.33203125" style="22" customWidth="1"/>
    <col min="29" max="30" width="20.33203125" style="21" customWidth="1"/>
    <col min="31" max="31" width="18" style="21" bestFit="1" customWidth="1"/>
    <col min="32" max="32" width="14.6640625" style="20" customWidth="1"/>
  </cols>
  <sheetData>
    <row r="1" spans="1:32" ht="43.2" x14ac:dyDescent="0.3">
      <c r="A1" s="4" t="s">
        <v>0</v>
      </c>
      <c r="B1" s="4" t="s">
        <v>1</v>
      </c>
      <c r="C1" s="4" t="s">
        <v>2</v>
      </c>
      <c r="D1" s="4" t="s">
        <v>249</v>
      </c>
      <c r="E1" s="5" t="s">
        <v>3</v>
      </c>
      <c r="F1" s="5" t="s">
        <v>4</v>
      </c>
      <c r="G1" s="5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244</v>
      </c>
      <c r="P1" s="4" t="s">
        <v>13</v>
      </c>
      <c r="Q1" s="5" t="s">
        <v>247</v>
      </c>
      <c r="R1" s="5" t="s">
        <v>239</v>
      </c>
      <c r="S1" s="6" t="s">
        <v>248</v>
      </c>
      <c r="T1" s="4" t="s">
        <v>14</v>
      </c>
      <c r="U1" s="4" t="s">
        <v>238</v>
      </c>
      <c r="V1" s="5" t="s">
        <v>15</v>
      </c>
      <c r="W1" s="5" t="s">
        <v>16</v>
      </c>
      <c r="X1" s="7" t="s">
        <v>17</v>
      </c>
      <c r="Y1" s="7" t="s">
        <v>241</v>
      </c>
      <c r="Z1" s="7" t="s">
        <v>18</v>
      </c>
      <c r="AA1" s="7" t="s">
        <v>242</v>
      </c>
      <c r="AB1" s="7" t="s">
        <v>19</v>
      </c>
      <c r="AC1" s="6" t="s">
        <v>245</v>
      </c>
      <c r="AD1" s="6" t="s">
        <v>246</v>
      </c>
      <c r="AE1" s="6" t="s">
        <v>243</v>
      </c>
      <c r="AF1" s="5" t="s">
        <v>240</v>
      </c>
    </row>
    <row r="2" spans="1:32" x14ac:dyDescent="0.3">
      <c r="A2" s="8" t="s">
        <v>96</v>
      </c>
      <c r="B2" s="8" t="s">
        <v>97</v>
      </c>
      <c r="C2" s="8" t="s">
        <v>30</v>
      </c>
      <c r="D2" s="8" t="s">
        <v>250</v>
      </c>
      <c r="E2" s="9">
        <v>55.12</v>
      </c>
      <c r="F2" s="9">
        <v>-129.53</v>
      </c>
      <c r="G2" s="9">
        <v>160</v>
      </c>
      <c r="H2" s="9">
        <v>40</v>
      </c>
      <c r="I2" s="9">
        <v>3</v>
      </c>
      <c r="J2" s="9">
        <v>345</v>
      </c>
      <c r="K2" s="9">
        <v>92.74</v>
      </c>
      <c r="L2" s="9" t="s">
        <v>22</v>
      </c>
      <c r="M2" s="9">
        <v>6.1449999999999996</v>
      </c>
      <c r="N2" s="9">
        <v>41.758800000000001</v>
      </c>
      <c r="O2" s="9">
        <f>Table1[[#This Row],[R1 Length (km)]]+Table1[[#This Row],[T1 Length (km)]]</f>
        <v>47.903800000000004</v>
      </c>
      <c r="P2" s="8">
        <v>69</v>
      </c>
      <c r="Q2" s="9">
        <f>(Table1[[#This Row],[Linear Features (km)]]*0.4)*100</f>
        <v>1916.1520000000003</v>
      </c>
      <c r="R2" s="1">
        <v>56.9</v>
      </c>
      <c r="S2" s="3">
        <f>Table1[[#This Row],[ATG (ha)]]/Table1[[#This Row],[Linear Area (ha)]]</f>
        <v>2.9694930256054838E-2</v>
      </c>
      <c r="T2" s="2" t="s">
        <v>22</v>
      </c>
      <c r="U2" s="2" t="s">
        <v>22</v>
      </c>
      <c r="V2" s="1" t="s">
        <v>22</v>
      </c>
      <c r="W2" s="1" t="s">
        <v>22</v>
      </c>
      <c r="X2" s="10">
        <v>189.94749999999999</v>
      </c>
      <c r="Y2" s="10">
        <f>Table1[[#This Row],[Raw Terrestrial Score]]/Table1[[#This Row],[Summed Raw Scores]]</f>
        <v>0.19807914406158836</v>
      </c>
      <c r="Z2" s="10">
        <v>769</v>
      </c>
      <c r="AA2" s="10">
        <f>Table1[[#This Row],[Raw Freshwater Score]]/Table1[[#This Row],[Summed Raw Scores]]</f>
        <v>0.80192085593841167</v>
      </c>
      <c r="AB2" s="10">
        <f>Table1[[#This Row],[Raw Terrestrial Score]]+Table1[[#This Row],[Raw Freshwater Score]]</f>
        <v>958.94749999999999</v>
      </c>
      <c r="AC2" s="11">
        <f>Table1[[#This Row],[Terrestrial % of Summed Score]]*Table1[[#This Row],[Scaled Summed Score]]</f>
        <v>2.333985063773495E-2</v>
      </c>
      <c r="AD2" s="11">
        <f>Table1[[#This Row],[Freshwater % of Summed Score]]*Table1[[#This Row],[Scaled Summed Score]]</f>
        <v>9.4491083801672454E-2</v>
      </c>
      <c r="AE2" s="11">
        <f>Table1[[#This Row],[Summed Raw Scores]]/MAX(Table1[Summed Raw Scores])</f>
        <v>0.1178309344394074</v>
      </c>
      <c r="AF2" s="1"/>
    </row>
    <row r="3" spans="1:32" x14ac:dyDescent="0.3">
      <c r="A3" s="8" t="s">
        <v>98</v>
      </c>
      <c r="B3" s="8" t="s">
        <v>97</v>
      </c>
      <c r="C3" s="8" t="s">
        <v>30</v>
      </c>
      <c r="D3" s="8" t="s">
        <v>250</v>
      </c>
      <c r="E3" s="9">
        <v>57.26</v>
      </c>
      <c r="F3" s="9">
        <v>-130.32</v>
      </c>
      <c r="G3" s="9">
        <v>43.2</v>
      </c>
      <c r="H3" s="9">
        <v>40</v>
      </c>
      <c r="I3" s="9">
        <v>2</v>
      </c>
      <c r="J3" s="9">
        <v>46</v>
      </c>
      <c r="K3" s="9">
        <v>363.72</v>
      </c>
      <c r="L3" s="9" t="s">
        <v>22</v>
      </c>
      <c r="M3" s="9">
        <f>3797.0562748453/1000</f>
        <v>3.7970562748452998</v>
      </c>
      <c r="N3" s="9">
        <v>36.497100000000003</v>
      </c>
      <c r="O3" s="9">
        <f>Table1[[#This Row],[R1 Length (km)]]+Table1[[#This Row],[T1 Length (km)]]</f>
        <v>40.294156274845307</v>
      </c>
      <c r="P3" s="8">
        <v>69</v>
      </c>
      <c r="Q3" s="9">
        <f>(Table1[[#This Row],[Linear Features (km)]]*0.4)*100</f>
        <v>1611.7662509938125</v>
      </c>
      <c r="R3" s="1">
        <v>139.30000000000001</v>
      </c>
      <c r="S3" s="3">
        <f>Table1[[#This Row],[ATG (ha)]]/Table1[[#This Row],[Linear Area (ha)]]</f>
        <v>8.6426924446462286E-2</v>
      </c>
      <c r="T3" s="2" t="s">
        <v>22</v>
      </c>
      <c r="U3" s="2" t="s">
        <v>22</v>
      </c>
      <c r="V3" s="1" t="s">
        <v>22</v>
      </c>
      <c r="W3" s="1" t="s">
        <v>22</v>
      </c>
      <c r="X3" s="10">
        <v>251.30529999999999</v>
      </c>
      <c r="Y3" s="10">
        <f>Table1[[#This Row],[Raw Terrestrial Score]]/Table1[[#This Row],[Summed Raw Scores]]</f>
        <v>0.30837817484465146</v>
      </c>
      <c r="Z3" s="10">
        <v>563.62040000000002</v>
      </c>
      <c r="AA3" s="10">
        <f>Table1[[#This Row],[Raw Freshwater Score]]/Table1[[#This Row],[Summed Raw Scores]]</f>
        <v>0.69162182515534854</v>
      </c>
      <c r="AB3" s="10">
        <f>Table1[[#This Row],[Raw Terrestrial Score]]+Table1[[#This Row],[Raw Freshwater Score]]</f>
        <v>814.92570000000001</v>
      </c>
      <c r="AC3" s="11">
        <f>Table1[[#This Row],[Terrestrial % of Summed Score]]*Table1[[#This Row],[Scaled Summed Score]]</f>
        <v>3.0879206972827609E-2</v>
      </c>
      <c r="AD3" s="11">
        <f>Table1[[#This Row],[Freshwater % of Summed Score]]*Table1[[#This Row],[Scaled Summed Score]]</f>
        <v>6.9255009686257668E-2</v>
      </c>
      <c r="AE3" s="11">
        <f>Table1[[#This Row],[Summed Raw Scores]]/MAX(Table1[Summed Raw Scores])</f>
        <v>0.10013421665908527</v>
      </c>
      <c r="AF3" s="1"/>
    </row>
    <row r="4" spans="1:32" x14ac:dyDescent="0.3">
      <c r="A4" s="8" t="s">
        <v>425</v>
      </c>
      <c r="B4" s="8" t="s">
        <v>20</v>
      </c>
      <c r="C4" s="8" t="s">
        <v>21</v>
      </c>
      <c r="D4" s="8" t="s">
        <v>250</v>
      </c>
      <c r="E4" s="12">
        <v>48.494855999999999</v>
      </c>
      <c r="F4" s="12">
        <v>-123.42505199999999</v>
      </c>
      <c r="G4" s="9">
        <v>50</v>
      </c>
      <c r="H4" s="9" t="s">
        <v>22</v>
      </c>
      <c r="I4" s="9">
        <v>40</v>
      </c>
      <c r="J4" s="8" t="s">
        <v>22</v>
      </c>
      <c r="K4" s="8" t="s">
        <v>22</v>
      </c>
      <c r="L4" s="13">
        <v>250.36602238805969</v>
      </c>
      <c r="M4" s="12">
        <v>0</v>
      </c>
      <c r="N4" s="1">
        <v>0.6</v>
      </c>
      <c r="O4" s="1">
        <f>Table1[[#This Row],[R1 Length (km)]]+Table1[[#This Row],[T1 Length (km)]]</f>
        <v>0.6</v>
      </c>
      <c r="P4" s="2">
        <v>69</v>
      </c>
      <c r="Q4" s="1">
        <f>(Table1[[#This Row],[Linear Features (km)]]*0.4)*100</f>
        <v>24</v>
      </c>
      <c r="R4" s="1">
        <v>0.3</v>
      </c>
      <c r="S4" s="3">
        <f>Table1[[#This Row],[ATG (ha)]]/Table1[[#This Row],[Linear Area (ha)]]</f>
        <v>1.2499999999999999E-2</v>
      </c>
      <c r="T4" s="2" t="s">
        <v>22</v>
      </c>
      <c r="U4" s="2" t="s">
        <v>22</v>
      </c>
      <c r="V4" s="2" t="s">
        <v>22</v>
      </c>
      <c r="W4" s="2" t="s">
        <v>22</v>
      </c>
      <c r="X4" s="10">
        <v>19.116900000000001</v>
      </c>
      <c r="Y4" s="10">
        <f>Table1[[#This Row],[Raw Terrestrial Score]]/Table1[[#This Row],[Summed Raw Scores]]</f>
        <v>0.65655684499380085</v>
      </c>
      <c r="Z4" s="10">
        <v>10</v>
      </c>
      <c r="AA4" s="10">
        <f>Table1[[#This Row],[Raw Freshwater Score]]/Table1[[#This Row],[Summed Raw Scores]]</f>
        <v>0.34344315500619915</v>
      </c>
      <c r="AB4" s="10">
        <f>Table1[[#This Row],[Raw Terrestrial Score]]+Table1[[#This Row],[Raw Freshwater Score]]</f>
        <v>29.116900000000001</v>
      </c>
      <c r="AC4" s="11">
        <f>Table1[[#This Row],[Terrestrial % of Summed Score]]*Table1[[#This Row],[Scaled Summed Score]]</f>
        <v>2.3489942781901064E-3</v>
      </c>
      <c r="AD4" s="11">
        <f>Table1[[#This Row],[Freshwater % of Summed Score]]*Table1[[#This Row],[Scaled Summed Score]]</f>
        <v>1.2287527152363127E-3</v>
      </c>
      <c r="AE4" s="11">
        <f>Table1[[#This Row],[Summed Raw Scores]]/MAX(Table1[Summed Raw Scores])</f>
        <v>3.5777469934264194E-3</v>
      </c>
      <c r="AF4" s="1"/>
    </row>
    <row r="5" spans="1:32" x14ac:dyDescent="0.3">
      <c r="A5" s="8" t="s">
        <v>113</v>
      </c>
      <c r="B5" s="8" t="s">
        <v>114</v>
      </c>
      <c r="C5" s="8" t="s">
        <v>30</v>
      </c>
      <c r="D5" s="8"/>
      <c r="E5" s="9">
        <v>58.373600000000003</v>
      </c>
      <c r="F5" s="9">
        <v>-131.53800000000001</v>
      </c>
      <c r="G5" s="9">
        <v>160</v>
      </c>
      <c r="H5" s="8" t="s">
        <v>22</v>
      </c>
      <c r="I5" s="9">
        <v>38.4</v>
      </c>
      <c r="J5" s="9">
        <v>526.72127999999998</v>
      </c>
      <c r="K5" s="9">
        <v>102.84130249951509</v>
      </c>
      <c r="L5" s="9" t="s">
        <v>22</v>
      </c>
      <c r="M5" s="9">
        <v>72.276757812499994</v>
      </c>
      <c r="N5" s="9">
        <v>192.94692187499999</v>
      </c>
      <c r="O5" s="9">
        <f>Table1[[#This Row],[R1 Length (km)]]+Table1[[#This Row],[T1 Length (km)]]</f>
        <v>265.22367968749995</v>
      </c>
      <c r="P5" s="8">
        <v>230</v>
      </c>
      <c r="Q5" s="9">
        <f>(Table1[[#This Row],[Linear Features (km)]]*0.4)*100</f>
        <v>10608.947187499998</v>
      </c>
      <c r="R5" s="1">
        <f>((PI()*(45^2))*Table1[[#This Row],[Number of Turbines - WIND]])/10000</f>
        <v>44.532075864635317</v>
      </c>
      <c r="S5" s="3">
        <f>Table1[[#This Row],[ATG (ha)]]/Table1[[#This Row],[Linear Area (ha)]]</f>
        <v>4.1975961495128635E-3</v>
      </c>
      <c r="T5" s="8" t="s">
        <v>115</v>
      </c>
      <c r="U5" s="8">
        <f>26+44</f>
        <v>70</v>
      </c>
      <c r="V5" s="1" t="s">
        <v>22</v>
      </c>
      <c r="W5" s="1" t="s">
        <v>22</v>
      </c>
      <c r="X5" s="10">
        <f>970.1557+85.18148+153.2917</f>
        <v>1208.62888</v>
      </c>
      <c r="Y5" s="10">
        <f>Table1[[#This Row],[Raw Terrestrial Score]]/Table1[[#This Row],[Summed Raw Scores]]</f>
        <v>0.26453119090746735</v>
      </c>
      <c r="Z5" s="10">
        <f>3097.564+102.7082+160.0455</f>
        <v>3360.3177000000001</v>
      </c>
      <c r="AA5" s="10">
        <f>Table1[[#This Row],[Raw Freshwater Score]]/Table1[[#This Row],[Summed Raw Scores]]</f>
        <v>0.73546880909253265</v>
      </c>
      <c r="AB5" s="10">
        <f>Table1[[#This Row],[Raw Terrestrial Score]]+Table1[[#This Row],[Raw Freshwater Score]]</f>
        <v>4568.9465799999998</v>
      </c>
      <c r="AC5" s="11">
        <f>Table1[[#This Row],[Terrestrial % of Summed Score]]*Table1[[#This Row],[Scaled Summed Score]]</f>
        <v>0.14851060180130235</v>
      </c>
      <c r="AD5" s="11">
        <f>Table1[[#This Row],[Freshwater % of Summed Score]]*Table1[[#This Row],[Scaled Summed Score]]</f>
        <v>0.41289994979316408</v>
      </c>
      <c r="AE5" s="39">
        <f>Table1[[#This Row],[Summed Raw Scores]]/MAX(Table1[Summed Raw Scores])</f>
        <v>0.5614105515944664</v>
      </c>
      <c r="AF5" s="1"/>
    </row>
    <row r="6" spans="1:32" x14ac:dyDescent="0.3">
      <c r="A6" s="8" t="s">
        <v>116</v>
      </c>
      <c r="B6" s="8" t="s">
        <v>114</v>
      </c>
      <c r="C6" s="8" t="s">
        <v>30</v>
      </c>
      <c r="D6" s="8"/>
      <c r="E6" s="9">
        <v>58.516399999999997</v>
      </c>
      <c r="F6" s="9">
        <v>-131.28</v>
      </c>
      <c r="G6" s="9">
        <v>145</v>
      </c>
      <c r="H6" s="8" t="s">
        <v>22</v>
      </c>
      <c r="I6" s="9">
        <v>34.799999999999997</v>
      </c>
      <c r="J6" s="9">
        <v>477.34116000000006</v>
      </c>
      <c r="K6" s="9">
        <v>110.96678109296646</v>
      </c>
      <c r="L6" s="9" t="s">
        <v>22</v>
      </c>
      <c r="M6" s="9">
        <v>72.276757812499994</v>
      </c>
      <c r="N6" s="9">
        <v>192.94692187499999</v>
      </c>
      <c r="O6" s="9">
        <f>Table1[[#This Row],[R1 Length (km)]]+Table1[[#This Row],[T1 Length (km)]]</f>
        <v>265.22367968749995</v>
      </c>
      <c r="P6" s="8">
        <v>230</v>
      </c>
      <c r="Q6" s="9">
        <f>(Table1[[#This Row],[Linear Features (km)]]*0.4)*100</f>
        <v>10608.947187499998</v>
      </c>
      <c r="R6" s="1">
        <f>((PI()*(45^2))*Table1[[#This Row],[Number of Turbines - WIND]])/10000</f>
        <v>40.078868278171782</v>
      </c>
      <c r="S6" s="3">
        <f>Table1[[#This Row],[ATG (ha)]]/Table1[[#This Row],[Linear Area (ha)]]</f>
        <v>3.777836534561577E-3</v>
      </c>
      <c r="T6" s="8" t="s">
        <v>115</v>
      </c>
      <c r="U6" s="8">
        <f>13+50</f>
        <v>63</v>
      </c>
      <c r="V6" s="1" t="s">
        <v>22</v>
      </c>
      <c r="W6" s="1" t="s">
        <v>22</v>
      </c>
      <c r="X6" s="10">
        <f>1256.146+24.13443+172.9862</f>
        <v>1453.2666300000001</v>
      </c>
      <c r="Y6" s="10">
        <f>Table1[[#This Row],[Raw Terrestrial Score]]/Table1[[#This Row],[Summed Raw Scores]]</f>
        <v>0.2990214361050571</v>
      </c>
      <c r="Z6" s="10">
        <f>3165.865+35.75715+205.1863</f>
        <v>3406.8084499999995</v>
      </c>
      <c r="AA6" s="10">
        <f>Table1[[#This Row],[Raw Freshwater Score]]/Table1[[#This Row],[Summed Raw Scores]]</f>
        <v>0.70097856389494295</v>
      </c>
      <c r="AB6" s="10">
        <f>Table1[[#This Row],[Raw Terrestrial Score]]+Table1[[#This Row],[Raw Freshwater Score]]</f>
        <v>4860.0750799999996</v>
      </c>
      <c r="AC6" s="11">
        <f>Table1[[#This Row],[Terrestrial % of Summed Score]]*Table1[[#This Row],[Scaled Summed Score]]</f>
        <v>0.17857053175748261</v>
      </c>
      <c r="AD6" s="11">
        <f>Table1[[#This Row],[Freshwater % of Summed Score]]*Table1[[#This Row],[Scaled Summed Score]]</f>
        <v>0.41861251332275135</v>
      </c>
      <c r="AE6" s="39">
        <f>Table1[[#This Row],[Summed Raw Scores]]/MAX(Table1[Summed Raw Scores])</f>
        <v>0.5971830450802339</v>
      </c>
      <c r="AF6" s="1"/>
    </row>
    <row r="7" spans="1:32" x14ac:dyDescent="0.3">
      <c r="A7" s="8" t="s">
        <v>117</v>
      </c>
      <c r="B7" s="8" t="s">
        <v>114</v>
      </c>
      <c r="C7" s="8" t="s">
        <v>30</v>
      </c>
      <c r="D7" s="8"/>
      <c r="E7" s="9">
        <v>59.016599999999997</v>
      </c>
      <c r="F7" s="9">
        <v>-131.26</v>
      </c>
      <c r="G7" s="9">
        <v>165</v>
      </c>
      <c r="H7" s="8" t="s">
        <v>22</v>
      </c>
      <c r="I7" s="9">
        <v>39.6</v>
      </c>
      <c r="J7" s="9">
        <v>507.91356000000002</v>
      </c>
      <c r="K7" s="9">
        <v>125.28558797417327</v>
      </c>
      <c r="L7" s="9" t="s">
        <v>22</v>
      </c>
      <c r="M7" s="9">
        <v>54.375484374999999</v>
      </c>
      <c r="N7" s="9">
        <v>203.42195312499999</v>
      </c>
      <c r="O7" s="9">
        <f>Table1[[#This Row],[R1 Length (km)]]+Table1[[#This Row],[T1 Length (km)]]</f>
        <v>257.7974375</v>
      </c>
      <c r="P7" s="8">
        <v>230</v>
      </c>
      <c r="Q7" s="9">
        <f>(Table1[[#This Row],[Linear Features (km)]]*0.4)*100</f>
        <v>10311.897500000001</v>
      </c>
      <c r="R7" s="1">
        <f>((PI()*(45^2))*Table1[[#This Row],[Number of Turbines - WIND]])/10000</f>
        <v>45.168248376987243</v>
      </c>
      <c r="S7" s="3">
        <f>Table1[[#This Row],[ATG (ha)]]/Table1[[#This Row],[Linear Area (ha)]]</f>
        <v>4.3802072680597572E-3</v>
      </c>
      <c r="T7" s="8" t="s">
        <v>115</v>
      </c>
      <c r="U7" s="8">
        <f>20+20+13+18</f>
        <v>71</v>
      </c>
      <c r="V7" s="1" t="s">
        <v>22</v>
      </c>
      <c r="W7" s="1" t="s">
        <v>22</v>
      </c>
      <c r="X7" s="10">
        <f>1930.525+47.79806+47.3175+31.52629+51.71965</f>
        <v>2108.8865000000001</v>
      </c>
      <c r="Y7" s="10">
        <f>Table1[[#This Row],[Raw Terrestrial Score]]/Table1[[#This Row],[Summed Raw Scores]]</f>
        <v>0.3256894069905561</v>
      </c>
      <c r="Z7" s="10">
        <f>4140.243+60.45201+32.53655+76.28+56.74806</f>
        <v>4366.2596199999998</v>
      </c>
      <c r="AA7" s="10">
        <f>Table1[[#This Row],[Raw Freshwater Score]]/Table1[[#This Row],[Summed Raw Scores]]</f>
        <v>0.67431059300944396</v>
      </c>
      <c r="AB7" s="10">
        <f>Table1[[#This Row],[Raw Terrestrial Score]]+Table1[[#This Row],[Raw Freshwater Score]]</f>
        <v>6475.1461199999994</v>
      </c>
      <c r="AC7" s="11">
        <f>Table1[[#This Row],[Terrestrial % of Summed Score]]*Table1[[#This Row],[Scaled Summed Score]]</f>
        <v>0.2591300013000204</v>
      </c>
      <c r="AD7" s="11">
        <f>Table1[[#This Row],[Freshwater % of Summed Score]]*Table1[[#This Row],[Scaled Summed Score]]</f>
        <v>0.53650533635016706</v>
      </c>
      <c r="AE7" s="39">
        <f>Table1[[#This Row],[Summed Raw Scores]]/MAX(Table1[Summed Raw Scores])</f>
        <v>0.79563533765018746</v>
      </c>
      <c r="AF7" s="1"/>
    </row>
    <row r="8" spans="1:32" x14ac:dyDescent="0.3">
      <c r="A8" s="8" t="s">
        <v>118</v>
      </c>
      <c r="B8" s="8" t="s">
        <v>114</v>
      </c>
      <c r="C8" s="8" t="s">
        <v>30</v>
      </c>
      <c r="D8" s="8"/>
      <c r="E8" s="9">
        <v>58.9375</v>
      </c>
      <c r="F8" s="9">
        <v>-130.54900000000001</v>
      </c>
      <c r="G8" s="9">
        <v>150</v>
      </c>
      <c r="H8" s="8" t="s">
        <v>22</v>
      </c>
      <c r="I8" s="9">
        <v>36</v>
      </c>
      <c r="J8" s="9">
        <v>424.94760000000002</v>
      </c>
      <c r="K8" s="9">
        <v>129.55618024565354</v>
      </c>
      <c r="L8" s="9" t="s">
        <v>22</v>
      </c>
      <c r="M8" s="9">
        <v>125.70841406300001</v>
      </c>
      <c r="N8" s="9">
        <v>260.41310937499998</v>
      </c>
      <c r="O8" s="9">
        <f>Table1[[#This Row],[R1 Length (km)]]+Table1[[#This Row],[T1 Length (km)]]</f>
        <v>386.121523438</v>
      </c>
      <c r="P8" s="8">
        <v>230</v>
      </c>
      <c r="Q8" s="9">
        <f>(Table1[[#This Row],[Linear Features (km)]]*0.4)*100</f>
        <v>15444.860937520003</v>
      </c>
      <c r="R8" s="1">
        <f>((PI()*(45^2))*Table1[[#This Row],[Number of Turbines - WIND]])/10000</f>
        <v>41.987385815227583</v>
      </c>
      <c r="S8" s="3">
        <f>Table1[[#This Row],[ATG (ha)]]/Table1[[#This Row],[Linear Area (ha)]]</f>
        <v>2.7185344034550783E-3</v>
      </c>
      <c r="T8" s="8" t="s">
        <v>115</v>
      </c>
      <c r="U8" s="8">
        <f>35+31</f>
        <v>66</v>
      </c>
      <c r="V8" s="1" t="s">
        <v>22</v>
      </c>
      <c r="W8" s="1" t="s">
        <v>22</v>
      </c>
      <c r="X8" s="10">
        <f>1204.215+85.10223+30.21334</f>
        <v>1319.5305699999999</v>
      </c>
      <c r="Y8" s="10">
        <f>Table1[[#This Row],[Raw Terrestrial Score]]/Table1[[#This Row],[Summed Raw Scores]]</f>
        <v>0.27909000340238682</v>
      </c>
      <c r="Z8" s="10">
        <f>3222.205+106.9203+79.31917</f>
        <v>3408.4444699999999</v>
      </c>
      <c r="AA8" s="10">
        <f>Table1[[#This Row],[Raw Freshwater Score]]/Table1[[#This Row],[Summed Raw Scores]]</f>
        <v>0.72090999659761323</v>
      </c>
      <c r="AB8" s="10">
        <f>Table1[[#This Row],[Raw Terrestrial Score]]+Table1[[#This Row],[Raw Freshwater Score]]</f>
        <v>4727.9750399999994</v>
      </c>
      <c r="AC8" s="11">
        <f>Table1[[#This Row],[Terrestrial % of Summed Score]]*Table1[[#This Row],[Scaled Summed Score]]</f>
        <v>0.16213767707248189</v>
      </c>
      <c r="AD8" s="11">
        <f>Table1[[#This Row],[Freshwater % of Summed Score]]*Table1[[#This Row],[Scaled Summed Score]]</f>
        <v>0.41881353972446939</v>
      </c>
      <c r="AE8" s="39">
        <f>Table1[[#This Row],[Summed Raw Scores]]/MAX(Table1[Summed Raw Scores])</f>
        <v>0.58095121679695128</v>
      </c>
      <c r="AF8" s="1"/>
    </row>
    <row r="9" spans="1:32" x14ac:dyDescent="0.3">
      <c r="A9" s="8" t="s">
        <v>119</v>
      </c>
      <c r="B9" s="8" t="s">
        <v>114</v>
      </c>
      <c r="C9" s="8" t="s">
        <v>30</v>
      </c>
      <c r="D9" s="8"/>
      <c r="E9" s="9">
        <v>58.5032</v>
      </c>
      <c r="F9" s="9">
        <v>-130.44200000000001</v>
      </c>
      <c r="G9" s="9">
        <v>160</v>
      </c>
      <c r="H9" s="8" t="s">
        <v>22</v>
      </c>
      <c r="I9" s="9">
        <v>38.4</v>
      </c>
      <c r="J9" s="9">
        <v>526.72127999999998</v>
      </c>
      <c r="K9" s="9">
        <v>97.630343521356849</v>
      </c>
      <c r="L9" s="9" t="s">
        <v>22</v>
      </c>
      <c r="M9" s="9">
        <v>43.094367187499998</v>
      </c>
      <c r="N9" s="9">
        <v>265.36450000000002</v>
      </c>
      <c r="O9" s="9">
        <f>Table1[[#This Row],[R1 Length (km)]]+Table1[[#This Row],[T1 Length (km)]]</f>
        <v>308.4588671875</v>
      </c>
      <c r="P9" s="8">
        <v>230</v>
      </c>
      <c r="Q9" s="9">
        <f>(Table1[[#This Row],[Linear Features (km)]]*0.4)*100</f>
        <v>12338.354687500001</v>
      </c>
      <c r="R9" s="1">
        <f>((PI()*(45^2))*Table1[[#This Row],[Number of Turbines - WIND]])/10000</f>
        <v>44.532075864635317</v>
      </c>
      <c r="S9" s="3">
        <f>Table1[[#This Row],[ATG (ha)]]/Table1[[#This Row],[Linear Area (ha)]]</f>
        <v>3.6092393996219616E-3</v>
      </c>
      <c r="T9" s="8" t="s">
        <v>115</v>
      </c>
      <c r="U9" s="8">
        <f>29+41</f>
        <v>70</v>
      </c>
      <c r="V9" s="1" t="s">
        <v>22</v>
      </c>
      <c r="W9" s="1" t="s">
        <v>22</v>
      </c>
      <c r="X9" s="10">
        <f>758.8937+97.43461+64.85512</f>
        <v>921.18343000000004</v>
      </c>
      <c r="Y9" s="10">
        <f>Table1[[#This Row],[Raw Terrestrial Score]]/Table1[[#This Row],[Summed Raw Scores]]</f>
        <v>0.23027506999374397</v>
      </c>
      <c r="Z9" s="10">
        <f>2917.067+71.75145+90.35921</f>
        <v>3079.1776600000003</v>
      </c>
      <c r="AA9" s="10">
        <f>Table1[[#This Row],[Raw Freshwater Score]]/Table1[[#This Row],[Summed Raw Scores]]</f>
        <v>0.76972493000625597</v>
      </c>
      <c r="AB9" s="10">
        <f>Table1[[#This Row],[Raw Terrestrial Score]]+Table1[[#This Row],[Raw Freshwater Score]]</f>
        <v>4000.3610900000003</v>
      </c>
      <c r="AC9" s="11">
        <f>Table1[[#This Row],[Terrestrial % of Summed Score]]*Table1[[#This Row],[Scaled Summed Score]]</f>
        <v>0.11319066408431998</v>
      </c>
      <c r="AD9" s="11">
        <f>Table1[[#This Row],[Freshwater % of Summed Score]]*Table1[[#This Row],[Scaled Summed Score]]</f>
        <v>0.37835479104199959</v>
      </c>
      <c r="AE9" s="39">
        <f>Table1[[#This Row],[Summed Raw Scores]]/MAX(Table1[Summed Raw Scores])</f>
        <v>0.49154545512631959</v>
      </c>
      <c r="AF9" s="1"/>
    </row>
    <row r="10" spans="1:32" x14ac:dyDescent="0.3">
      <c r="A10" s="8" t="s">
        <v>120</v>
      </c>
      <c r="B10" s="8" t="s">
        <v>114</v>
      </c>
      <c r="C10" s="8" t="s">
        <v>27</v>
      </c>
      <c r="D10" s="8"/>
      <c r="E10" s="9">
        <v>59.872</v>
      </c>
      <c r="F10" s="9">
        <v>-125.95399999999999</v>
      </c>
      <c r="G10" s="9">
        <v>230</v>
      </c>
      <c r="H10" s="8" t="s">
        <v>22</v>
      </c>
      <c r="I10" s="9">
        <v>55.199999999999996</v>
      </c>
      <c r="J10" s="9">
        <v>677.57723999999996</v>
      </c>
      <c r="K10" s="9">
        <v>133.41293737782709</v>
      </c>
      <c r="L10" s="9" t="s">
        <v>22</v>
      </c>
      <c r="M10" s="9">
        <v>18.295330078100001</v>
      </c>
      <c r="N10" s="9">
        <v>244.59537499999999</v>
      </c>
      <c r="O10" s="9">
        <f>Table1[[#This Row],[R1 Length (km)]]+Table1[[#This Row],[T1 Length (km)]]</f>
        <v>262.89070507809998</v>
      </c>
      <c r="P10" s="8">
        <v>130</v>
      </c>
      <c r="Q10" s="9">
        <f>(Table1[[#This Row],[Linear Features (km)]]*0.4)*100</f>
        <v>10515.628203123999</v>
      </c>
      <c r="R10" s="1">
        <f>((PI()*(45^2))*Table1[[#This Row],[Number of Turbines - WIND]])/10000</f>
        <v>64.253423747545241</v>
      </c>
      <c r="S10" s="3">
        <f>Table1[[#This Row],[ATG (ha)]]/Table1[[#This Row],[Linear Area (ha)]]</f>
        <v>6.1102791489391697E-3</v>
      </c>
      <c r="T10" s="8" t="s">
        <v>115</v>
      </c>
      <c r="U10" s="8">
        <v>101</v>
      </c>
      <c r="V10" s="1" t="s">
        <v>22</v>
      </c>
      <c r="W10" s="1" t="s">
        <v>22</v>
      </c>
      <c r="X10" s="10">
        <f>1103.739+78.27841</f>
        <v>1182.0174099999999</v>
      </c>
      <c r="Y10" s="10">
        <f>Table1[[#This Row],[Raw Terrestrial Score]]/Table1[[#This Row],[Summed Raw Scores]]</f>
        <v>0.22847405195687451</v>
      </c>
      <c r="Z10" s="10">
        <f>3493.634+256.4491+241.4297</f>
        <v>3991.5128</v>
      </c>
      <c r="AA10" s="10">
        <f>Table1[[#This Row],[Raw Freshwater Score]]/Table1[[#This Row],[Summed Raw Scores]]</f>
        <v>0.77152594804312546</v>
      </c>
      <c r="AB10" s="10">
        <f>Table1[[#This Row],[Raw Terrestrial Score]]+Table1[[#This Row],[Raw Freshwater Score]]</f>
        <v>5173.5302099999999</v>
      </c>
      <c r="AC10" s="11">
        <f>Table1[[#This Row],[Terrestrial % of Summed Score]]*Table1[[#This Row],[Scaled Summed Score]]</f>
        <v>0.14524071019940935</v>
      </c>
      <c r="AD10" s="11">
        <f>Table1[[#This Row],[Freshwater % of Summed Score]]*Table1[[#This Row],[Scaled Summed Score]]</f>
        <v>0.49045821909004966</v>
      </c>
      <c r="AE10" s="39">
        <f>Table1[[#This Row],[Summed Raw Scores]]/MAX(Table1[Summed Raw Scores])</f>
        <v>0.63569892928945904</v>
      </c>
      <c r="AF10" s="1"/>
    </row>
    <row r="11" spans="1:32" x14ac:dyDescent="0.3">
      <c r="A11" s="8" t="s">
        <v>121</v>
      </c>
      <c r="B11" s="8" t="s">
        <v>114</v>
      </c>
      <c r="C11" s="8" t="s">
        <v>27</v>
      </c>
      <c r="D11" s="8"/>
      <c r="E11" s="9">
        <v>59.7913</v>
      </c>
      <c r="F11" s="9">
        <v>-125.352</v>
      </c>
      <c r="G11" s="9">
        <v>290</v>
      </c>
      <c r="H11" s="8" t="s">
        <v>22</v>
      </c>
      <c r="I11" s="9">
        <v>69.599999999999994</v>
      </c>
      <c r="J11" s="9">
        <v>892.69655999999998</v>
      </c>
      <c r="K11" s="9">
        <v>112.49687077743719</v>
      </c>
      <c r="L11" s="9" t="s">
        <v>22</v>
      </c>
      <c r="M11" s="9">
        <v>30.673519531300002</v>
      </c>
      <c r="N11" s="9">
        <v>572.73781250000002</v>
      </c>
      <c r="O11" s="9">
        <f>Table1[[#This Row],[R1 Length (km)]]+Table1[[#This Row],[T1 Length (km)]]</f>
        <v>603.41133203130005</v>
      </c>
      <c r="P11" s="8">
        <v>230</v>
      </c>
      <c r="Q11" s="9">
        <f>(Table1[[#This Row],[Linear Features (km)]]*0.4)*100</f>
        <v>24136.453281252001</v>
      </c>
      <c r="R11" s="1">
        <f>((PI()*(45^2))*Table1[[#This Row],[Number of Turbines - WIND]])/10000</f>
        <v>80.157736556343565</v>
      </c>
      <c r="S11" s="3">
        <f>Table1[[#This Row],[ATG (ha)]]/Table1[[#This Row],[Linear Area (ha)]]</f>
        <v>3.3210238315588029E-3</v>
      </c>
      <c r="T11" s="8" t="s">
        <v>115</v>
      </c>
      <c r="U11" s="8">
        <v>126</v>
      </c>
      <c r="V11" s="1" t="s">
        <v>22</v>
      </c>
      <c r="W11" s="1" t="s">
        <v>22</v>
      </c>
      <c r="X11" s="10">
        <f>1212.649+95.93623</f>
        <v>1308.5852299999999</v>
      </c>
      <c r="Y11" s="10">
        <f>Table1[[#This Row],[Raw Terrestrial Score]]/Table1[[#This Row],[Summed Raw Scores]]</f>
        <v>0.2431466284012555</v>
      </c>
      <c r="Z11" s="10">
        <f>3831.862+241.4297</f>
        <v>4073.2917000000002</v>
      </c>
      <c r="AA11" s="10">
        <f>Table1[[#This Row],[Raw Freshwater Score]]/Table1[[#This Row],[Summed Raw Scores]]</f>
        <v>0.75685337159874444</v>
      </c>
      <c r="AB11" s="10">
        <f>Table1[[#This Row],[Raw Terrestrial Score]]+Table1[[#This Row],[Raw Freshwater Score]]</f>
        <v>5381.8769300000004</v>
      </c>
      <c r="AC11" s="11">
        <f>Table1[[#This Row],[Terrestrial % of Summed Score]]*Table1[[#This Row],[Scaled Summed Score]]</f>
        <v>0.16079276544806345</v>
      </c>
      <c r="AD11" s="11">
        <f>Table1[[#This Row],[Freshwater % of Summed Score]]*Table1[[#This Row],[Scaled Summed Score]]</f>
        <v>0.50050682363245358</v>
      </c>
      <c r="AE11" s="39">
        <f>Table1[[#This Row],[Summed Raw Scores]]/MAX(Table1[Summed Raw Scores])</f>
        <v>0.66129958908051711</v>
      </c>
      <c r="AF11" s="1"/>
    </row>
    <row r="12" spans="1:32" x14ac:dyDescent="0.3">
      <c r="A12" s="8" t="s">
        <v>122</v>
      </c>
      <c r="B12" s="8" t="s">
        <v>114</v>
      </c>
      <c r="C12" s="8" t="s">
        <v>30</v>
      </c>
      <c r="D12" s="8" t="s">
        <v>250</v>
      </c>
      <c r="E12" s="9">
        <v>54.712200000000003</v>
      </c>
      <c r="F12" s="9">
        <v>-126.67100000000001</v>
      </c>
      <c r="G12" s="9">
        <v>170</v>
      </c>
      <c r="H12" s="8" t="s">
        <v>22</v>
      </c>
      <c r="I12" s="9">
        <v>40.799999999999997</v>
      </c>
      <c r="J12" s="9">
        <v>481.60728</v>
      </c>
      <c r="K12" s="9">
        <v>78.565597635227192</v>
      </c>
      <c r="L12" s="9" t="s">
        <v>22</v>
      </c>
      <c r="M12" s="9">
        <v>94.627750000000006</v>
      </c>
      <c r="N12" s="9">
        <v>535.23418749999996</v>
      </c>
      <c r="O12" s="9">
        <f>Table1[[#This Row],[R1 Length (km)]]+Table1[[#This Row],[T1 Length (km)]]</f>
        <v>629.86193749999995</v>
      </c>
      <c r="P12" s="8">
        <v>230</v>
      </c>
      <c r="Q12" s="9">
        <f>(Table1[[#This Row],[Linear Features (km)]]*0.4)*100</f>
        <v>25194.477500000001</v>
      </c>
      <c r="R12" s="1">
        <f>((PI()*(45^2))*Table1[[#This Row],[Number of Turbines - WIND]])/10000</f>
        <v>46.44059340169111</v>
      </c>
      <c r="S12" s="3">
        <f>Table1[[#This Row],[ATG (ha)]]/Table1[[#This Row],[Linear Area (ha)]]</f>
        <v>1.8432846405205708E-3</v>
      </c>
      <c r="T12" s="8" t="s">
        <v>115</v>
      </c>
      <c r="U12" s="8">
        <v>73</v>
      </c>
      <c r="V12" s="1" t="s">
        <v>22</v>
      </c>
      <c r="W12" s="1" t="s">
        <v>22</v>
      </c>
      <c r="X12" s="10">
        <f>259.6796+37.69003</f>
        <v>297.36962999999997</v>
      </c>
      <c r="Y12" s="10">
        <f>Table1[[#This Row],[Raw Terrestrial Score]]/Table1[[#This Row],[Summed Raw Scores]]</f>
        <v>0.21901071975472891</v>
      </c>
      <c r="Z12" s="10">
        <f>658.6171+401.799</f>
        <v>1060.4160999999999</v>
      </c>
      <c r="AA12" s="10">
        <f>Table1[[#This Row],[Raw Freshwater Score]]/Table1[[#This Row],[Summed Raw Scores]]</f>
        <v>0.78098928024527114</v>
      </c>
      <c r="AB12" s="10">
        <f>Table1[[#This Row],[Raw Terrestrial Score]]+Table1[[#This Row],[Raw Freshwater Score]]</f>
        <v>1357.7857299999998</v>
      </c>
      <c r="AC12" s="11">
        <f>Table1[[#This Row],[Terrestrial % of Summed Score]]*Table1[[#This Row],[Scaled Summed Score]]</f>
        <v>3.6539374029131766E-2</v>
      </c>
      <c r="AD12" s="11">
        <f>Table1[[#This Row],[Freshwater % of Summed Score]]*Table1[[#This Row],[Scaled Summed Score]]</f>
        <v>0.13029891621553011</v>
      </c>
      <c r="AE12" s="11">
        <f>Table1[[#This Row],[Summed Raw Scores]]/MAX(Table1[Summed Raw Scores])</f>
        <v>0.16683829024466187</v>
      </c>
      <c r="AF12" s="1"/>
    </row>
    <row r="13" spans="1:32" x14ac:dyDescent="0.3">
      <c r="A13" s="8" t="s">
        <v>123</v>
      </c>
      <c r="B13" s="8" t="s">
        <v>114</v>
      </c>
      <c r="C13" s="8" t="s">
        <v>30</v>
      </c>
      <c r="D13" s="8" t="s">
        <v>250</v>
      </c>
      <c r="E13" s="9">
        <v>54.700099999999999</v>
      </c>
      <c r="F13" s="9">
        <v>-127.529</v>
      </c>
      <c r="G13" s="9">
        <v>105</v>
      </c>
      <c r="H13" s="8" t="s">
        <v>22</v>
      </c>
      <c r="I13" s="9">
        <v>25.2</v>
      </c>
      <c r="J13" s="9">
        <v>309.32873999999998</v>
      </c>
      <c r="K13" s="9">
        <v>79.891535204200608</v>
      </c>
      <c r="L13" s="9" t="s">
        <v>22</v>
      </c>
      <c r="M13" s="9">
        <v>1.0899495849600001</v>
      </c>
      <c r="N13" s="9">
        <v>24.509544921875001</v>
      </c>
      <c r="O13" s="9">
        <f>Table1[[#This Row],[R1 Length (km)]]+Table1[[#This Row],[T1 Length (km)]]</f>
        <v>25.599494506835001</v>
      </c>
      <c r="P13" s="8">
        <v>230</v>
      </c>
      <c r="Q13" s="9">
        <f>(Table1[[#This Row],[Linear Features (km)]]*0.4)*100</f>
        <v>1023.9797802734001</v>
      </c>
      <c r="R13" s="1">
        <f>((PI()*(45^2))*Table1[[#This Row],[Number of Turbines - WIND]])/10000</f>
        <v>28.627763055836986</v>
      </c>
      <c r="S13" s="3">
        <f>Table1[[#This Row],[ATG (ha)]]/Table1[[#This Row],[Linear Area (ha)]]</f>
        <v>2.7957351900243031E-2</v>
      </c>
      <c r="T13" s="8" t="s">
        <v>115</v>
      </c>
      <c r="U13" s="8">
        <v>45</v>
      </c>
      <c r="V13" s="1" t="s">
        <v>22</v>
      </c>
      <c r="W13" s="1" t="s">
        <v>22</v>
      </c>
      <c r="X13" s="10">
        <f>779.6591+49.78</f>
        <v>829.43909999999994</v>
      </c>
      <c r="Y13" s="10">
        <f>Table1[[#This Row],[Raw Terrestrial Score]]/Table1[[#This Row],[Summed Raw Scores]]</f>
        <v>0.36830997076083505</v>
      </c>
      <c r="Z13" s="10">
        <f>1169.618+252.9566</f>
        <v>1422.5745999999999</v>
      </c>
      <c r="AA13" s="10">
        <f>Table1[[#This Row],[Raw Freshwater Score]]/Table1[[#This Row],[Summed Raw Scores]]</f>
        <v>0.63169002923916495</v>
      </c>
      <c r="AB13" s="10">
        <f>Table1[[#This Row],[Raw Terrestrial Score]]+Table1[[#This Row],[Raw Freshwater Score]]</f>
        <v>2252.0137</v>
      </c>
      <c r="AC13" s="11">
        <f>Table1[[#This Row],[Terrestrial % of Summed Score]]*Table1[[#This Row],[Scaled Summed Score]]</f>
        <v>0.10191755462481634</v>
      </c>
      <c r="AD13" s="11">
        <f>Table1[[#This Row],[Freshwater % of Summed Score]]*Table1[[#This Row],[Scaled Summed Score]]</f>
        <v>0.17479924023762114</v>
      </c>
      <c r="AE13" s="11">
        <f>Table1[[#This Row],[Summed Raw Scores]]/MAX(Table1[Summed Raw Scores])</f>
        <v>0.2767167948624375</v>
      </c>
      <c r="AF13" s="1"/>
    </row>
    <row r="14" spans="1:32" x14ac:dyDescent="0.3">
      <c r="A14" s="8" t="s">
        <v>124</v>
      </c>
      <c r="B14" s="8" t="s">
        <v>114</v>
      </c>
      <c r="C14" s="8" t="s">
        <v>30</v>
      </c>
      <c r="D14" s="8" t="s">
        <v>250</v>
      </c>
      <c r="E14" s="9">
        <v>54.531500000000001</v>
      </c>
      <c r="F14" s="9">
        <v>-127.35899999999999</v>
      </c>
      <c r="G14" s="9">
        <v>105</v>
      </c>
      <c r="H14" s="8" t="s">
        <v>22</v>
      </c>
      <c r="I14" s="9">
        <v>25.2</v>
      </c>
      <c r="J14" s="9">
        <v>323.21771999999999</v>
      </c>
      <c r="K14" s="9">
        <v>76.87076421151724</v>
      </c>
      <c r="L14" s="9" t="s">
        <v>22</v>
      </c>
      <c r="M14" s="9">
        <v>1.80710681152</v>
      </c>
      <c r="N14" s="9">
        <v>27.706601562500001</v>
      </c>
      <c r="O14" s="9">
        <f>Table1[[#This Row],[R1 Length (km)]]+Table1[[#This Row],[T1 Length (km)]]</f>
        <v>29.513708374020002</v>
      </c>
      <c r="P14" s="8">
        <v>130</v>
      </c>
      <c r="Q14" s="9">
        <f>(Table1[[#This Row],[Linear Features (km)]]*0.4)*100</f>
        <v>1180.5483349608003</v>
      </c>
      <c r="R14" s="1">
        <f>((PI()*(45^2))*Table1[[#This Row],[Number of Turbines - WIND]])/10000</f>
        <v>28.627763055836986</v>
      </c>
      <c r="S14" s="3">
        <f>Table1[[#This Row],[ATG (ha)]]/Table1[[#This Row],[Linear Area (ha)]]</f>
        <v>2.4249547611100195E-2</v>
      </c>
      <c r="T14" s="8" t="s">
        <v>115</v>
      </c>
      <c r="U14" s="8">
        <v>45</v>
      </c>
      <c r="V14" s="1" t="s">
        <v>22</v>
      </c>
      <c r="W14" s="1" t="s">
        <v>22</v>
      </c>
      <c r="X14" s="10">
        <f>1051.761+348.4587</f>
        <v>1400.2197000000001</v>
      </c>
      <c r="Y14" s="10">
        <f>Table1[[#This Row],[Raw Terrestrial Score]]/Table1[[#This Row],[Summed Raw Scores]]</f>
        <v>0.48344957723271104</v>
      </c>
      <c r="Z14" s="10">
        <f>1115.81+380.28</f>
        <v>1496.09</v>
      </c>
      <c r="AA14" s="10">
        <f>Table1[[#This Row],[Raw Freshwater Score]]/Table1[[#This Row],[Summed Raw Scores]]</f>
        <v>0.51655042276728902</v>
      </c>
      <c r="AB14" s="10">
        <f>Table1[[#This Row],[Raw Terrestrial Score]]+Table1[[#This Row],[Raw Freshwater Score]]</f>
        <v>2896.3096999999998</v>
      </c>
      <c r="AC14" s="11">
        <f>Table1[[#This Row],[Terrestrial % of Summed Score]]*Table1[[#This Row],[Scaled Summed Score]]</f>
        <v>0.17205237583023753</v>
      </c>
      <c r="AD14" s="11">
        <f>Table1[[#This Row],[Freshwater % of Summed Score]]*Table1[[#This Row],[Scaled Summed Score]]</f>
        <v>0.18383246497378949</v>
      </c>
      <c r="AE14" s="11">
        <f>Table1[[#This Row],[Summed Raw Scores]]/MAX(Table1[Summed Raw Scores])</f>
        <v>0.35588484080402699</v>
      </c>
      <c r="AF14" s="1"/>
    </row>
    <row r="15" spans="1:32" x14ac:dyDescent="0.3">
      <c r="A15" s="8" t="s">
        <v>125</v>
      </c>
      <c r="B15" s="8" t="s">
        <v>114</v>
      </c>
      <c r="C15" s="8" t="s">
        <v>30</v>
      </c>
      <c r="D15" s="8" t="s">
        <v>250</v>
      </c>
      <c r="E15" s="9">
        <v>54.953699999999998</v>
      </c>
      <c r="F15" s="9">
        <v>-125.59099999999999</v>
      </c>
      <c r="G15" s="9">
        <v>220</v>
      </c>
      <c r="H15" s="8" t="s">
        <v>22</v>
      </c>
      <c r="I15" s="9">
        <v>52.8</v>
      </c>
      <c r="J15" s="9">
        <v>648.11735999999996</v>
      </c>
      <c r="K15" s="9">
        <v>83.829652025682037</v>
      </c>
      <c r="L15" s="9" t="s">
        <v>22</v>
      </c>
      <c r="M15" s="9">
        <v>0.241421356201</v>
      </c>
      <c r="N15" s="9">
        <v>32.540412109374998</v>
      </c>
      <c r="O15" s="9">
        <f>Table1[[#This Row],[R1 Length (km)]]+Table1[[#This Row],[T1 Length (km)]]</f>
        <v>32.781833465576</v>
      </c>
      <c r="P15" s="8">
        <v>130</v>
      </c>
      <c r="Q15" s="9">
        <f>(Table1[[#This Row],[Linear Features (km)]]*0.4)*100</f>
        <v>1311.27333862304</v>
      </c>
      <c r="R15" s="1">
        <f>((PI()*(45^2))*Table1[[#This Row],[Number of Turbines - WIND]])/10000</f>
        <v>60.43638867343364</v>
      </c>
      <c r="S15" s="3">
        <f>Table1[[#This Row],[ATG (ha)]]/Table1[[#This Row],[Linear Area (ha)]]</f>
        <v>4.6089847854984621E-2</v>
      </c>
      <c r="T15" s="8" t="s">
        <v>115</v>
      </c>
      <c r="U15" s="8">
        <v>95</v>
      </c>
      <c r="V15" s="1" t="s">
        <v>22</v>
      </c>
      <c r="W15" s="1" t="s">
        <v>22</v>
      </c>
      <c r="X15" s="10">
        <f>607.869+192.3419</f>
        <v>800.21090000000004</v>
      </c>
      <c r="Y15" s="10">
        <f>Table1[[#This Row],[Raw Terrestrial Score]]/Table1[[#This Row],[Summed Raw Scores]]</f>
        <v>0.24419702006181501</v>
      </c>
      <c r="Z15" s="10">
        <f>2096.416+380.28</f>
        <v>2476.6959999999999</v>
      </c>
      <c r="AA15" s="10">
        <f>Table1[[#This Row],[Raw Freshwater Score]]/Table1[[#This Row],[Summed Raw Scores]]</f>
        <v>0.75580297993818502</v>
      </c>
      <c r="AB15" s="10">
        <f>Table1[[#This Row],[Raw Terrestrial Score]]+Table1[[#This Row],[Raw Freshwater Score]]</f>
        <v>3276.9069</v>
      </c>
      <c r="AC15" s="11">
        <f>Table1[[#This Row],[Terrestrial % of Summed Score]]*Table1[[#This Row],[Scaled Summed Score]]</f>
        <v>9.8326131613669349E-2</v>
      </c>
      <c r="AD15" s="11">
        <f>Table1[[#This Row],[Freshwater % of Summed Score]]*Table1[[#This Row],[Scaled Summed Score]]</f>
        <v>0.30432469348149149</v>
      </c>
      <c r="AE15" s="11">
        <f>Table1[[#This Row],[Summed Raw Scores]]/MAX(Table1[Summed Raw Scores])</f>
        <v>0.40265082509516081</v>
      </c>
      <c r="AF15" s="1"/>
    </row>
    <row r="16" spans="1:32" x14ac:dyDescent="0.3">
      <c r="A16" s="8" t="s">
        <v>126</v>
      </c>
      <c r="B16" s="8" t="s">
        <v>114</v>
      </c>
      <c r="C16" s="8" t="s">
        <v>30</v>
      </c>
      <c r="D16" s="8" t="s">
        <v>250</v>
      </c>
      <c r="E16" s="9">
        <v>54.610999999999997</v>
      </c>
      <c r="F16" s="9">
        <v>-126.136</v>
      </c>
      <c r="G16" s="9">
        <v>260</v>
      </c>
      <c r="H16" s="8" t="s">
        <v>22</v>
      </c>
      <c r="I16" s="9">
        <v>62.4</v>
      </c>
      <c r="J16" s="9">
        <v>765.95687999999996</v>
      </c>
      <c r="K16" s="9">
        <v>74.242169125861622</v>
      </c>
      <c r="L16" s="9" t="s">
        <v>22</v>
      </c>
      <c r="M16" s="9">
        <v>3.5213208007799999</v>
      </c>
      <c r="N16" s="9">
        <v>98.315343749999997</v>
      </c>
      <c r="O16" s="9">
        <f>Table1[[#This Row],[R1 Length (km)]]+Table1[[#This Row],[T1 Length (km)]]</f>
        <v>101.83666455078</v>
      </c>
      <c r="P16" s="8">
        <v>230</v>
      </c>
      <c r="Q16" s="9">
        <f>(Table1[[#This Row],[Linear Features (km)]]*0.4)*100</f>
        <v>4073.4665820312002</v>
      </c>
      <c r="R16" s="1">
        <f>((PI()*(45^2))*Table1[[#This Row],[Number of Turbines - WIND]])/10000</f>
        <v>71.887493895768429</v>
      </c>
      <c r="S16" s="3">
        <f>Table1[[#This Row],[ATG (ha)]]/Table1[[#This Row],[Linear Area (ha)]]</f>
        <v>1.7647743622809426E-2</v>
      </c>
      <c r="T16" s="8" t="s">
        <v>115</v>
      </c>
      <c r="U16" s="8">
        <v>113</v>
      </c>
      <c r="V16" s="1" t="s">
        <v>22</v>
      </c>
      <c r="W16" s="1" t="s">
        <v>22</v>
      </c>
      <c r="X16" s="10">
        <f>246.7856+44.12083</f>
        <v>290.90643</v>
      </c>
      <c r="Y16" s="10">
        <f>Table1[[#This Row],[Raw Terrestrial Score]]/Table1[[#This Row],[Summed Raw Scores]]</f>
        <v>0.1260276130057674</v>
      </c>
      <c r="Z16" s="10">
        <f>1315.48+701.8889</f>
        <v>2017.3688999999999</v>
      </c>
      <c r="AA16" s="10">
        <f>Table1[[#This Row],[Raw Freshwater Score]]/Table1[[#This Row],[Summed Raw Scores]]</f>
        <v>0.87397238699423263</v>
      </c>
      <c r="AB16" s="10">
        <f>Table1[[#This Row],[Raw Terrestrial Score]]+Table1[[#This Row],[Raw Freshwater Score]]</f>
        <v>2308.2753299999999</v>
      </c>
      <c r="AC16" s="11">
        <f>Table1[[#This Row],[Terrestrial % of Summed Score]]*Table1[[#This Row],[Scaled Summed Score]]</f>
        <v>3.5745206574220235E-2</v>
      </c>
      <c r="AD16" s="11">
        <f>Table1[[#This Row],[Freshwater % of Summed Score]]*Table1[[#This Row],[Scaled Summed Score]]</f>
        <v>0.24788475135082935</v>
      </c>
      <c r="AE16" s="11">
        <f>Table1[[#This Row],[Summed Raw Scores]]/MAX(Table1[Summed Raw Scores])</f>
        <v>0.28362995792504958</v>
      </c>
      <c r="AF16" s="1"/>
    </row>
    <row r="17" spans="1:32" x14ac:dyDescent="0.3">
      <c r="A17" s="8" t="s">
        <v>127</v>
      </c>
      <c r="B17" s="8" t="s">
        <v>114</v>
      </c>
      <c r="C17" s="8" t="s">
        <v>30</v>
      </c>
      <c r="D17" s="8" t="s">
        <v>250</v>
      </c>
      <c r="E17" s="9">
        <v>55.331899999999997</v>
      </c>
      <c r="F17" s="9">
        <v>-126.911</v>
      </c>
      <c r="G17" s="9">
        <v>105</v>
      </c>
      <c r="H17" s="8" t="s">
        <v>22</v>
      </c>
      <c r="I17" s="9">
        <v>25.2</v>
      </c>
      <c r="J17" s="9">
        <v>309.32873999999998</v>
      </c>
      <c r="K17" s="9">
        <v>84.230430873324536</v>
      </c>
      <c r="L17" s="9" t="s">
        <v>22</v>
      </c>
      <c r="M17" s="9">
        <v>14.226689453100001</v>
      </c>
      <c r="N17" s="9">
        <v>45.149242187500001</v>
      </c>
      <c r="O17" s="9">
        <f>Table1[[#This Row],[R1 Length (km)]]+Table1[[#This Row],[T1 Length (km)]]</f>
        <v>59.375931640600001</v>
      </c>
      <c r="P17" s="8">
        <v>230</v>
      </c>
      <c r="Q17" s="9">
        <f>(Table1[[#This Row],[Linear Features (km)]]*0.4)*100</f>
        <v>2375.0372656240002</v>
      </c>
      <c r="R17" s="1">
        <f>((PI()*(45^2))*Table1[[#This Row],[Number of Turbines - WIND]])/10000</f>
        <v>28.627763055836986</v>
      </c>
      <c r="S17" s="3">
        <f>Table1[[#This Row],[ATG (ha)]]/Table1[[#This Row],[Linear Area (ha)]]</f>
        <v>1.2053605840292166E-2</v>
      </c>
      <c r="T17" s="8" t="s">
        <v>115</v>
      </c>
      <c r="U17" s="8">
        <v>45</v>
      </c>
      <c r="V17" s="1" t="s">
        <v>22</v>
      </c>
      <c r="W17" s="1" t="s">
        <v>22</v>
      </c>
      <c r="X17" s="10">
        <f>544.7608+21.02773</f>
        <v>565.78853000000004</v>
      </c>
      <c r="Y17" s="10">
        <f>Table1[[#This Row],[Raw Terrestrial Score]]/Table1[[#This Row],[Summed Raw Scores]]</f>
        <v>0.24198845956822282</v>
      </c>
      <c r="Z17" s="10">
        <f>1517.662+254.6301</f>
        <v>1772.2921000000001</v>
      </c>
      <c r="AA17" s="10">
        <f>Table1[[#This Row],[Raw Freshwater Score]]/Table1[[#This Row],[Summed Raw Scores]]</f>
        <v>0.7580115404317771</v>
      </c>
      <c r="AB17" s="10">
        <f>Table1[[#This Row],[Raw Terrestrial Score]]+Table1[[#This Row],[Raw Freshwater Score]]</f>
        <v>2338.0806300000004</v>
      </c>
      <c r="AC17" s="11">
        <f>Table1[[#This Row],[Terrestrial % of Summed Score]]*Table1[[#This Row],[Scaled Summed Score]]</f>
        <v>6.9521419248706195E-2</v>
      </c>
      <c r="AD17" s="11">
        <f>Table1[[#This Row],[Freshwater % of Summed Score]]*Table1[[#This Row],[Scaled Summed Score]]</f>
        <v>0.21777087300668665</v>
      </c>
      <c r="AE17" s="11">
        <f>Table1[[#This Row],[Summed Raw Scores]]/MAX(Table1[Summed Raw Scores])</f>
        <v>0.28729229225539288</v>
      </c>
      <c r="AF17" s="1"/>
    </row>
    <row r="18" spans="1:32" x14ac:dyDescent="0.3">
      <c r="A18" s="8" t="s">
        <v>128</v>
      </c>
      <c r="B18" s="8" t="s">
        <v>114</v>
      </c>
      <c r="C18" s="8" t="s">
        <v>59</v>
      </c>
      <c r="D18" s="8"/>
      <c r="E18" s="9">
        <v>51.829300000000003</v>
      </c>
      <c r="F18" s="9">
        <v>-124.224</v>
      </c>
      <c r="G18" s="9">
        <v>130</v>
      </c>
      <c r="H18" s="8" t="s">
        <v>22</v>
      </c>
      <c r="I18" s="9">
        <v>31.2</v>
      </c>
      <c r="J18" s="9">
        <v>342.32327999999995</v>
      </c>
      <c r="K18" s="9">
        <v>117.50848183458334</v>
      </c>
      <c r="L18" s="9" t="s">
        <v>22</v>
      </c>
      <c r="M18" s="9">
        <v>5.2455844726600001</v>
      </c>
      <c r="N18" s="9">
        <v>48.727921875</v>
      </c>
      <c r="O18" s="9">
        <f>Table1[[#This Row],[R1 Length (km)]]+Table1[[#This Row],[T1 Length (km)]]</f>
        <v>53.973506347659999</v>
      </c>
      <c r="P18" s="8">
        <v>130</v>
      </c>
      <c r="Q18" s="9">
        <f>(Table1[[#This Row],[Linear Features (km)]]*0.4)*100</f>
        <v>2158.9402539063999</v>
      </c>
      <c r="R18" s="1">
        <f>((PI()*(45^2))*Table1[[#This Row],[Number of Turbines - WIND]])/10000</f>
        <v>36.261833204060189</v>
      </c>
      <c r="S18" s="3">
        <f>Table1[[#This Row],[ATG (ha)]]/Table1[[#This Row],[Linear Area (ha)]]</f>
        <v>1.679612631171604E-2</v>
      </c>
      <c r="T18" s="8" t="s">
        <v>115</v>
      </c>
      <c r="U18" s="8">
        <v>57</v>
      </c>
      <c r="V18" s="1" t="s">
        <v>22</v>
      </c>
      <c r="W18" s="1" t="s">
        <v>22</v>
      </c>
      <c r="X18" s="10">
        <f>2144.679+347.9238</f>
        <v>2492.6028000000001</v>
      </c>
      <c r="Y18" s="10">
        <f>Table1[[#This Row],[Raw Terrestrial Score]]/Table1[[#This Row],[Summed Raw Scores]]</f>
        <v>0.47972700511651778</v>
      </c>
      <c r="Z18" s="10">
        <f>2435.526+267.7488</f>
        <v>2703.2747999999997</v>
      </c>
      <c r="AA18" s="10">
        <f>Table1[[#This Row],[Raw Freshwater Score]]/Table1[[#This Row],[Summed Raw Scores]]</f>
        <v>0.52027299488348222</v>
      </c>
      <c r="AB18" s="10">
        <f>Table1[[#This Row],[Raw Terrestrial Score]]+Table1[[#This Row],[Raw Freshwater Score]]</f>
        <v>5195.8775999999998</v>
      </c>
      <c r="AC18" s="11">
        <f>Table1[[#This Row],[Terrestrial % of Summed Score]]*Table1[[#This Row],[Scaled Summed Score]]</f>
        <v>0.30627924585056354</v>
      </c>
      <c r="AD18" s="11">
        <f>Table1[[#This Row],[Freshwater % of Summed Score]]*Table1[[#This Row],[Scaled Summed Score]]</f>
        <v>0.33216562505298997</v>
      </c>
      <c r="AE18" s="39">
        <f>Table1[[#This Row],[Summed Raw Scores]]/MAX(Table1[Summed Raw Scores])</f>
        <v>0.63844487090355351</v>
      </c>
      <c r="AF18" s="1"/>
    </row>
    <row r="19" spans="1:32" x14ac:dyDescent="0.3">
      <c r="A19" s="8" t="s">
        <v>129</v>
      </c>
      <c r="B19" s="8" t="s">
        <v>114</v>
      </c>
      <c r="C19" s="8" t="s">
        <v>59</v>
      </c>
      <c r="D19" s="8"/>
      <c r="E19" s="9">
        <v>51.5627</v>
      </c>
      <c r="F19" s="9">
        <v>-123.431</v>
      </c>
      <c r="G19" s="9">
        <v>160</v>
      </c>
      <c r="H19" s="8" t="s">
        <v>22</v>
      </c>
      <c r="I19" s="9">
        <v>38.4</v>
      </c>
      <c r="J19" s="9">
        <v>471.35807999999997</v>
      </c>
      <c r="K19" s="9">
        <v>92.683466422761668</v>
      </c>
      <c r="L19" s="9" t="s">
        <v>22</v>
      </c>
      <c r="M19" s="9">
        <v>3.57989916992</v>
      </c>
      <c r="N19" s="9">
        <v>159.10723437499999</v>
      </c>
      <c r="O19" s="9">
        <f>Table1[[#This Row],[R1 Length (km)]]+Table1[[#This Row],[T1 Length (km)]]</f>
        <v>162.68713354491999</v>
      </c>
      <c r="P19" s="8">
        <v>230</v>
      </c>
      <c r="Q19" s="9">
        <f>(Table1[[#This Row],[Linear Features (km)]]*0.4)*100</f>
        <v>6507.4853417967997</v>
      </c>
      <c r="R19" s="1">
        <f>((PI()*(45^2))*Table1[[#This Row],[Number of Turbines - WIND]])/10000</f>
        <v>43.895903352283383</v>
      </c>
      <c r="S19" s="3">
        <f>Table1[[#This Row],[ATG (ha)]]/Table1[[#This Row],[Linear Area (ha)]]</f>
        <v>6.7454479029472793E-3</v>
      </c>
      <c r="T19" s="8" t="s">
        <v>115</v>
      </c>
      <c r="U19" s="8">
        <v>69</v>
      </c>
      <c r="V19" s="1" t="s">
        <v>22</v>
      </c>
      <c r="W19" s="1" t="s">
        <v>22</v>
      </c>
      <c r="X19" s="10">
        <f>1293.737+335.1735</f>
        <v>1628.9105</v>
      </c>
      <c r="Y19" s="10">
        <f>Table1[[#This Row],[Raw Terrestrial Score]]/Table1[[#This Row],[Summed Raw Scores]]</f>
        <v>0.47506885960468481</v>
      </c>
      <c r="Z19" s="10">
        <f>1517.662+282.2157</f>
        <v>1799.8777</v>
      </c>
      <c r="AA19" s="10">
        <f>Table1[[#This Row],[Raw Freshwater Score]]/Table1[[#This Row],[Summed Raw Scores]]</f>
        <v>0.52493114039531519</v>
      </c>
      <c r="AB19" s="10">
        <f>Table1[[#This Row],[Raw Terrestrial Score]]+Table1[[#This Row],[Raw Freshwater Score]]</f>
        <v>3428.7882</v>
      </c>
      <c r="AC19" s="11">
        <f>Table1[[#This Row],[Terrestrial % of Summed Score]]*Table1[[#This Row],[Scaled Summed Score]]</f>
        <v>0.20015281997519396</v>
      </c>
      <c r="AD19" s="11">
        <f>Table1[[#This Row],[Freshwater % of Summed Score]]*Table1[[#This Row],[Scaled Summed Score]]</f>
        <v>0.22116046109682896</v>
      </c>
      <c r="AE19" s="39">
        <f>Table1[[#This Row],[Summed Raw Scores]]/MAX(Table1[Summed Raw Scores])</f>
        <v>0.42131328107202293</v>
      </c>
      <c r="AF19" s="1"/>
    </row>
    <row r="20" spans="1:32" x14ac:dyDescent="0.3">
      <c r="A20" s="8" t="s">
        <v>130</v>
      </c>
      <c r="B20" s="8" t="s">
        <v>114</v>
      </c>
      <c r="C20" s="8" t="s">
        <v>25</v>
      </c>
      <c r="D20" s="8"/>
      <c r="E20" s="9">
        <v>51.816400000000002</v>
      </c>
      <c r="F20" s="9">
        <v>-120.271</v>
      </c>
      <c r="G20" s="9">
        <v>165</v>
      </c>
      <c r="H20" s="8" t="s">
        <v>22</v>
      </c>
      <c r="I20" s="9">
        <v>39.6</v>
      </c>
      <c r="J20" s="9">
        <v>414.82979999999998</v>
      </c>
      <c r="K20" s="9">
        <v>98.213081982336419</v>
      </c>
      <c r="L20" s="9" t="s">
        <v>22</v>
      </c>
      <c r="M20" s="9">
        <v>2.1313708496099997</v>
      </c>
      <c r="N20" s="9">
        <v>121.614546875</v>
      </c>
      <c r="O20" s="9">
        <f>Table1[[#This Row],[R1 Length (km)]]+Table1[[#This Row],[T1 Length (km)]]</f>
        <v>123.74591772461</v>
      </c>
      <c r="P20" s="8">
        <v>230</v>
      </c>
      <c r="Q20" s="9">
        <f>(Table1[[#This Row],[Linear Features (km)]]*0.4)*100</f>
        <v>4949.8367089844005</v>
      </c>
      <c r="R20" s="1">
        <f>((PI()*(45^2))*Table1[[#This Row],[Number of Turbines - WIND]])/10000</f>
        <v>45.168248376987243</v>
      </c>
      <c r="S20" s="3">
        <f>Table1[[#This Row],[ATG (ha)]]/Table1[[#This Row],[Linear Area (ha)]]</f>
        <v>9.1251996848709764E-3</v>
      </c>
      <c r="T20" s="8" t="s">
        <v>115</v>
      </c>
      <c r="U20" s="8">
        <f>17+24+30</f>
        <v>71</v>
      </c>
      <c r="V20" s="1" t="s">
        <v>22</v>
      </c>
      <c r="W20" s="1" t="s">
        <v>22</v>
      </c>
      <c r="X20" s="10">
        <f>877.0477+24.42358+41.3616+24.20466</f>
        <v>967.03753999999992</v>
      </c>
      <c r="Y20" s="10">
        <f>Table1[[#This Row],[Raw Terrestrial Score]]/Table1[[#This Row],[Summed Raw Scores]]</f>
        <v>0.3537021506933295</v>
      </c>
      <c r="Z20" s="10">
        <f>1365.073+111.8737+109.2678+180.7928</f>
        <v>1767.0073000000002</v>
      </c>
      <c r="AA20" s="10">
        <f>Table1[[#This Row],[Raw Freshwater Score]]/Table1[[#This Row],[Summed Raw Scores]]</f>
        <v>0.64629784930667056</v>
      </c>
      <c r="AB20" s="10">
        <f>Table1[[#This Row],[Raw Terrestrial Score]]+Table1[[#This Row],[Raw Freshwater Score]]</f>
        <v>2734.04484</v>
      </c>
      <c r="AC20" s="11">
        <f>Table1[[#This Row],[Terrestrial % of Summed Score]]*Table1[[#This Row],[Scaled Summed Score]]</f>
        <v>0.11882500030104441</v>
      </c>
      <c r="AD20" s="11">
        <f>Table1[[#This Row],[Freshwater % of Summed Score]]*Table1[[#This Row],[Scaled Summed Score]]</f>
        <v>0.21712150177173858</v>
      </c>
      <c r="AE20" s="39">
        <f>Table1[[#This Row],[Summed Raw Scores]]/MAX(Table1[Summed Raw Scores])</f>
        <v>0.33594650207278298</v>
      </c>
      <c r="AF20" s="1"/>
    </row>
    <row r="21" spans="1:32" x14ac:dyDescent="0.3">
      <c r="A21" s="8" t="s">
        <v>416</v>
      </c>
      <c r="B21" s="8" t="s">
        <v>42</v>
      </c>
      <c r="C21" s="8" t="s">
        <v>32</v>
      </c>
      <c r="D21" s="8"/>
      <c r="E21" s="9">
        <v>49.43853</v>
      </c>
      <c r="F21" s="9">
        <v>-122.22681</v>
      </c>
      <c r="G21" s="9">
        <v>1000</v>
      </c>
      <c r="H21" s="8" t="s">
        <v>22</v>
      </c>
      <c r="I21" s="9">
        <v>1000</v>
      </c>
      <c r="J21" s="8" t="s">
        <v>22</v>
      </c>
      <c r="K21" s="8" t="s">
        <v>22</v>
      </c>
      <c r="L21" s="9"/>
      <c r="M21" s="37">
        <v>0</v>
      </c>
      <c r="N21" s="37">
        <v>43.6</v>
      </c>
      <c r="O21" s="9">
        <f>Table1[[#This Row],[R1 Length (km)]]+Table1[[#This Row],[T1 Length (km)]]</f>
        <v>43.6</v>
      </c>
      <c r="P21" s="26">
        <v>500</v>
      </c>
      <c r="Q21" s="9">
        <f>(Table1[[#This Row],[Linear Features (km)]]*0.4)*100</f>
        <v>1744.0000000000002</v>
      </c>
      <c r="R21" s="1">
        <v>25.1</v>
      </c>
      <c r="S21" s="3">
        <f>Table1[[#This Row],[ATG (ha)]]/Table1[[#This Row],[Linear Area (ha)]]</f>
        <v>1.4392201834862384E-2</v>
      </c>
      <c r="T21" s="2" t="s">
        <v>22</v>
      </c>
      <c r="U21" s="2" t="s">
        <v>22</v>
      </c>
      <c r="V21" s="2" t="s">
        <v>22</v>
      </c>
      <c r="W21" s="2" t="s">
        <v>22</v>
      </c>
      <c r="X21" s="10">
        <v>384.2115</v>
      </c>
      <c r="Y21" s="10">
        <f>Table1[[#This Row],[Raw Terrestrial Score]]/Table1[[#This Row],[Summed Raw Scores]]</f>
        <v>0.31227823889773143</v>
      </c>
      <c r="Z21" s="10">
        <v>846.13840000000005</v>
      </c>
      <c r="AA21" s="10">
        <f>Table1[[#This Row],[Raw Freshwater Score]]/Table1[[#This Row],[Summed Raw Scores]]</f>
        <v>0.68772176110226846</v>
      </c>
      <c r="AB21" s="10">
        <f>Table1[[#This Row],[Raw Terrestrial Score]]+Table1[[#This Row],[Raw Freshwater Score]]</f>
        <v>1230.3499000000002</v>
      </c>
      <c r="AC21" s="11">
        <f>Table1[[#This Row],[Terrestrial % of Summed Score]]*Table1[[#This Row],[Scaled Summed Score]]</f>
        <v>4.7210092385001658E-2</v>
      </c>
      <c r="AD21" s="11">
        <f>Table1[[#This Row],[Freshwater % of Summed Score]]*Table1[[#This Row],[Scaled Summed Score]]</f>
        <v>0.10396948564657092</v>
      </c>
      <c r="AE21" s="39">
        <f>Table1[[#This Row],[Summed Raw Scores]]/MAX(Table1[Summed Raw Scores])</f>
        <v>0.15117957803157259</v>
      </c>
      <c r="AF21" s="1"/>
    </row>
    <row r="22" spans="1:32" x14ac:dyDescent="0.3">
      <c r="A22" s="8" t="s">
        <v>41</v>
      </c>
      <c r="B22" s="8" t="s">
        <v>42</v>
      </c>
      <c r="C22" s="8" t="s">
        <v>21</v>
      </c>
      <c r="D22" s="8" t="s">
        <v>250</v>
      </c>
      <c r="E22" s="12">
        <v>49.326725104700003</v>
      </c>
      <c r="F22" s="12">
        <v>-125.058627449</v>
      </c>
      <c r="G22" s="9">
        <v>1000</v>
      </c>
      <c r="H22" s="8" t="s">
        <v>22</v>
      </c>
      <c r="I22" s="1">
        <v>495</v>
      </c>
      <c r="J22" s="8" t="s">
        <v>22</v>
      </c>
      <c r="K22" s="8" t="s">
        <v>22</v>
      </c>
      <c r="L22" s="13">
        <v>181.76816646464647</v>
      </c>
      <c r="M22" s="9">
        <v>4.14558496094</v>
      </c>
      <c r="N22" s="9">
        <v>78.547015625</v>
      </c>
      <c r="O22" s="9">
        <f>Table1[[#This Row],[R1 Length (km)]]+Table1[[#This Row],[T1 Length (km)]]</f>
        <v>82.692600585939999</v>
      </c>
      <c r="P22" s="8">
        <v>230</v>
      </c>
      <c r="Q22" s="9">
        <f>(Table1[[#This Row],[Linear Features (km)]]*0.4)*100</f>
        <v>3307.7040234376</v>
      </c>
      <c r="R22" s="1">
        <v>46.3</v>
      </c>
      <c r="S22" s="3">
        <f>Table1[[#This Row],[ATG (ha)]]/Table1[[#This Row],[Linear Area (ha)]]</f>
        <v>1.3997624839444299E-2</v>
      </c>
      <c r="T22" s="2" t="s">
        <v>22</v>
      </c>
      <c r="U22" s="2" t="s">
        <v>22</v>
      </c>
      <c r="V22" s="1" t="s">
        <v>22</v>
      </c>
      <c r="W22" s="1" t="s">
        <v>22</v>
      </c>
      <c r="X22" s="10">
        <v>222.91560000000001</v>
      </c>
      <c r="Y22" s="10">
        <f>Table1[[#This Row],[Raw Terrestrial Score]]/Table1[[#This Row],[Summed Raw Scores]]</f>
        <v>0.34742165402902986</v>
      </c>
      <c r="Z22" s="10">
        <v>418.71280000000002</v>
      </c>
      <c r="AA22" s="10">
        <f>Table1[[#This Row],[Raw Freshwater Score]]/Table1[[#This Row],[Summed Raw Scores]]</f>
        <v>0.65257834597097009</v>
      </c>
      <c r="AB22" s="10">
        <f>Table1[[#This Row],[Raw Terrestrial Score]]+Table1[[#This Row],[Raw Freshwater Score]]</f>
        <v>641.62840000000006</v>
      </c>
      <c r="AC22" s="11">
        <f>Table1[[#This Row],[Terrestrial % of Summed Score]]*Table1[[#This Row],[Scaled Summed Score]]</f>
        <v>2.7390814876853176E-2</v>
      </c>
      <c r="AD22" s="11">
        <f>Table1[[#This Row],[Freshwater % of Summed Score]]*Table1[[#This Row],[Scaled Summed Score]]</f>
        <v>5.1449448990419915E-2</v>
      </c>
      <c r="AE22" s="11">
        <f>Table1[[#This Row],[Summed Raw Scores]]/MAX(Table1[Summed Raw Scores])</f>
        <v>7.8840263867273094E-2</v>
      </c>
      <c r="AF22" s="1"/>
    </row>
    <row r="23" spans="1:32" x14ac:dyDescent="0.3">
      <c r="A23" s="8" t="s">
        <v>23</v>
      </c>
      <c r="B23" s="8" t="s">
        <v>24</v>
      </c>
      <c r="C23" s="8" t="s">
        <v>25</v>
      </c>
      <c r="D23" s="8" t="s">
        <v>250</v>
      </c>
      <c r="E23" s="14">
        <v>52.673324999999998</v>
      </c>
      <c r="F23" s="14">
        <v>-119.05634499999999</v>
      </c>
      <c r="G23" s="9">
        <v>14.3</v>
      </c>
      <c r="H23" s="9">
        <v>52</v>
      </c>
      <c r="I23" s="9" t="s">
        <v>22</v>
      </c>
      <c r="J23" s="15">
        <v>385.16461135371998</v>
      </c>
      <c r="K23" s="13">
        <v>88.585188657271829</v>
      </c>
      <c r="L23" s="9" t="s">
        <v>22</v>
      </c>
      <c r="M23" s="9">
        <v>0</v>
      </c>
      <c r="N23" s="1">
        <v>21.552185546874998</v>
      </c>
      <c r="O23" s="1">
        <f>Table1[[#This Row],[R1 Length (km)]]+Table1[[#This Row],[T1 Length (km)]]</f>
        <v>21.552185546874998</v>
      </c>
      <c r="P23" s="2">
        <v>25</v>
      </c>
      <c r="Q23" s="1">
        <f>(Table1[[#This Row],[Linear Features (km)]]*0.4)*100</f>
        <v>862.08742187500002</v>
      </c>
      <c r="R23" s="1">
        <v>15.6</v>
      </c>
      <c r="S23" s="3">
        <f>Table1[[#This Row],[ATG (ha)]]/Table1[[#This Row],[Linear Area (ha)]]</f>
        <v>1.8095612584244327E-2</v>
      </c>
      <c r="T23" s="2" t="s">
        <v>22</v>
      </c>
      <c r="U23" s="2" t="s">
        <v>22</v>
      </c>
      <c r="V23" s="1" t="s">
        <v>22</v>
      </c>
      <c r="W23" s="1" t="s">
        <v>22</v>
      </c>
      <c r="X23" s="10">
        <v>151.05250000000001</v>
      </c>
      <c r="Y23" s="10">
        <f>Table1[[#This Row],[Raw Terrestrial Score]]/Table1[[#This Row],[Summed Raw Scores]]</f>
        <v>0.76188495641817811</v>
      </c>
      <c r="Z23" s="10">
        <v>47.209060000000001</v>
      </c>
      <c r="AA23" s="10">
        <f>Table1[[#This Row],[Raw Freshwater Score]]/Table1[[#This Row],[Summed Raw Scores]]</f>
        <v>0.23811504358182192</v>
      </c>
      <c r="AB23" s="10">
        <f>Table1[[#This Row],[Raw Terrestrial Score]]+Table1[[#This Row],[Raw Freshwater Score]]</f>
        <v>198.26156</v>
      </c>
      <c r="AC23" s="11">
        <f>Table1[[#This Row],[Terrestrial % of Summed Score]]*Table1[[#This Row],[Scaled Summed Score]]</f>
        <v>1.856061695182331E-2</v>
      </c>
      <c r="AD23" s="11">
        <f>Table1[[#This Row],[Freshwater % of Summed Score]]*Table1[[#This Row],[Scaled Summed Score]]</f>
        <v>5.8008260658754E-3</v>
      </c>
      <c r="AE23" s="11">
        <f>Table1[[#This Row],[Summed Raw Scores]]/MAX(Table1[Summed Raw Scores])</f>
        <v>2.4361443017698711E-2</v>
      </c>
      <c r="AF23" s="1"/>
    </row>
    <row r="24" spans="1:32" x14ac:dyDescent="0.3">
      <c r="A24" s="8" t="s">
        <v>99</v>
      </c>
      <c r="B24" s="8" t="s">
        <v>97</v>
      </c>
      <c r="C24" s="8" t="s">
        <v>21</v>
      </c>
      <c r="D24" s="8" t="s">
        <v>250</v>
      </c>
      <c r="E24" s="14">
        <v>48.88</v>
      </c>
      <c r="F24" s="14">
        <v>-123.8</v>
      </c>
      <c r="G24" s="9">
        <v>40.1</v>
      </c>
      <c r="H24" s="9">
        <v>40</v>
      </c>
      <c r="I24" s="9">
        <v>21</v>
      </c>
      <c r="J24" s="13">
        <v>113.7</v>
      </c>
      <c r="K24" s="13">
        <v>91.427448071216631</v>
      </c>
      <c r="L24" s="9" t="s">
        <v>22</v>
      </c>
      <c r="M24" s="9">
        <v>0.3</v>
      </c>
      <c r="N24" s="9">
        <v>8</v>
      </c>
      <c r="O24" s="9">
        <f>Table1[[#This Row],[R1 Length (km)]]+Table1[[#This Row],[T1 Length (km)]]</f>
        <v>8.3000000000000007</v>
      </c>
      <c r="P24" s="8">
        <v>69</v>
      </c>
      <c r="Q24" s="9">
        <f>(Table1[[#This Row],[Linear Features (km)]]*0.4)*100</f>
        <v>332</v>
      </c>
      <c r="R24" s="1">
        <v>7.99</v>
      </c>
      <c r="S24" s="3">
        <f>Table1[[#This Row],[ATG (ha)]]/Table1[[#This Row],[Linear Area (ha)]]</f>
        <v>2.4066265060240965E-2</v>
      </c>
      <c r="T24" s="2" t="s">
        <v>22</v>
      </c>
      <c r="U24" s="2" t="s">
        <v>22</v>
      </c>
      <c r="V24" s="1" t="s">
        <v>22</v>
      </c>
      <c r="W24" s="1" t="s">
        <v>22</v>
      </c>
      <c r="X24" s="10">
        <v>5.3634370000000002</v>
      </c>
      <c r="Y24" s="10">
        <f>Table1[[#This Row],[Raw Terrestrial Score]]/Table1[[#This Row],[Summed Raw Scores]]</f>
        <v>0.15166616864757801</v>
      </c>
      <c r="Z24" s="10">
        <v>30</v>
      </c>
      <c r="AA24" s="10">
        <f>Table1[[#This Row],[Raw Freshwater Score]]/Table1[[#This Row],[Summed Raw Scores]]</f>
        <v>0.84833383135242202</v>
      </c>
      <c r="AB24" s="10">
        <f>Table1[[#This Row],[Raw Terrestrial Score]]+Table1[[#This Row],[Raw Freshwater Score]]</f>
        <v>35.363436999999998</v>
      </c>
      <c r="AC24" s="11">
        <f>Table1[[#This Row],[Terrestrial % of Summed Score]]*Table1[[#This Row],[Scaled Summed Score]]</f>
        <v>6.5903377767489025E-4</v>
      </c>
      <c r="AD24" s="11">
        <f>Table1[[#This Row],[Freshwater % of Summed Score]]*Table1[[#This Row],[Scaled Summed Score]]</f>
        <v>3.686258145708938E-3</v>
      </c>
      <c r="AE24" s="11">
        <f>Table1[[#This Row],[Summed Raw Scores]]/MAX(Table1[Summed Raw Scores])</f>
        <v>4.345291923383828E-3</v>
      </c>
      <c r="AF24" s="1"/>
    </row>
    <row r="25" spans="1:32" x14ac:dyDescent="0.3">
      <c r="A25" s="8" t="s">
        <v>26</v>
      </c>
      <c r="B25" s="8" t="s">
        <v>24</v>
      </c>
      <c r="C25" s="8" t="s">
        <v>27</v>
      </c>
      <c r="D25" s="8" t="s">
        <v>250</v>
      </c>
      <c r="E25" s="9">
        <v>58.721628000000003</v>
      </c>
      <c r="F25" s="9">
        <v>-122.531644</v>
      </c>
      <c r="G25" s="9">
        <v>18.399999999999999</v>
      </c>
      <c r="H25" s="9">
        <v>14</v>
      </c>
      <c r="I25" s="9" t="s">
        <v>22</v>
      </c>
      <c r="J25" s="9">
        <v>104</v>
      </c>
      <c r="K25" s="9">
        <v>187.25</v>
      </c>
      <c r="L25" s="9" t="s">
        <v>22</v>
      </c>
      <c r="M25" s="9">
        <v>0</v>
      </c>
      <c r="N25" s="9">
        <v>338.25099999999998</v>
      </c>
      <c r="O25" s="9">
        <f>Table1[[#This Row],[R1 Length (km)]]+Table1[[#This Row],[T1 Length (km)]]</f>
        <v>338.25099999999998</v>
      </c>
      <c r="P25" s="8">
        <v>230</v>
      </c>
      <c r="Q25" s="9">
        <f>(Table1[[#This Row],[Linear Features (km)]]*0.4)*100</f>
        <v>13530.039999999999</v>
      </c>
      <c r="R25" s="1">
        <v>4.2</v>
      </c>
      <c r="S25" s="3">
        <f>Table1[[#This Row],[ATG (ha)]]/Table1[[#This Row],[Linear Area (ha)]]</f>
        <v>3.1042036830637607E-4</v>
      </c>
      <c r="T25" s="2" t="s">
        <v>22</v>
      </c>
      <c r="U25" s="2" t="s">
        <v>22</v>
      </c>
      <c r="V25" s="1" t="s">
        <v>22</v>
      </c>
      <c r="W25" s="1" t="s">
        <v>22</v>
      </c>
      <c r="X25" s="10">
        <v>1321.617</v>
      </c>
      <c r="Y25" s="10">
        <f>Table1[[#This Row],[Raw Terrestrial Score]]/Table1[[#This Row],[Summed Raw Scores]]</f>
        <v>0.34819648082638693</v>
      </c>
      <c r="Z25" s="10">
        <v>2473.9899999999998</v>
      </c>
      <c r="AA25" s="10">
        <f>Table1[[#This Row],[Raw Freshwater Score]]/Table1[[#This Row],[Summed Raw Scores]]</f>
        <v>0.65180351917361301</v>
      </c>
      <c r="AB25" s="10">
        <f>Table1[[#This Row],[Raw Terrestrial Score]]+Table1[[#This Row],[Raw Freshwater Score]]</f>
        <v>3795.607</v>
      </c>
      <c r="AC25" s="11">
        <f>Table1[[#This Row],[Terrestrial % of Summed Score]]*Table1[[#This Row],[Scaled Summed Score]]</f>
        <v>0.16239404772524699</v>
      </c>
      <c r="AD25" s="11">
        <f>Table1[[#This Row],[Freshwater % of Summed Score]]*Table1[[#This Row],[Scaled Summed Score]]</f>
        <v>0.30399219299674846</v>
      </c>
      <c r="AE25" s="11">
        <f>Table1[[#This Row],[Summed Raw Scores]]/MAX(Table1[Summed Raw Scores])</f>
        <v>0.46638624072199547</v>
      </c>
      <c r="AF25" s="1"/>
    </row>
    <row r="26" spans="1:32" x14ac:dyDescent="0.3">
      <c r="A26" s="8" t="s">
        <v>415</v>
      </c>
      <c r="B26" s="8" t="s">
        <v>42</v>
      </c>
      <c r="C26" s="8" t="s">
        <v>30</v>
      </c>
      <c r="D26" s="8"/>
      <c r="E26" s="9">
        <v>54.2049083</v>
      </c>
      <c r="F26" s="9">
        <v>-130.168269799999</v>
      </c>
      <c r="G26" s="9">
        <v>500</v>
      </c>
      <c r="H26" s="8" t="s">
        <v>22</v>
      </c>
      <c r="I26" s="9">
        <v>500</v>
      </c>
      <c r="J26" s="8" t="s">
        <v>22</v>
      </c>
      <c r="K26" s="8" t="s">
        <v>22</v>
      </c>
      <c r="L26" s="9"/>
      <c r="M26" s="37">
        <v>1.9</v>
      </c>
      <c r="N26" s="37">
        <v>64.099999999999994</v>
      </c>
      <c r="O26" s="9">
        <f>Table1[[#This Row],[R1 Length (km)]]+Table1[[#This Row],[T1 Length (km)]]</f>
        <v>66</v>
      </c>
      <c r="P26" s="26">
        <v>500</v>
      </c>
      <c r="Q26" s="9">
        <f>(Table1[[#This Row],[Linear Features (km)]]*0.4)*100</f>
        <v>2640</v>
      </c>
      <c r="R26" s="1">
        <v>53.7</v>
      </c>
      <c r="S26" s="3">
        <f>Table1[[#This Row],[ATG (ha)]]/Table1[[#This Row],[Linear Area (ha)]]</f>
        <v>2.0340909090909094E-2</v>
      </c>
      <c r="T26" s="8" t="s">
        <v>22</v>
      </c>
      <c r="U26" s="8" t="s">
        <v>22</v>
      </c>
      <c r="V26" s="8" t="s">
        <v>22</v>
      </c>
      <c r="W26" s="8" t="s">
        <v>22</v>
      </c>
      <c r="X26" s="10">
        <v>832.6069</v>
      </c>
      <c r="Y26" s="10">
        <f>Table1[[#This Row],[Raw Terrestrial Score]]/Table1[[#This Row],[Summed Raw Scores]]</f>
        <v>0.25654425063555492</v>
      </c>
      <c r="Z26" s="10">
        <v>2412.864</v>
      </c>
      <c r="AA26" s="10">
        <f>Table1[[#This Row],[Raw Freshwater Score]]/Table1[[#This Row],[Summed Raw Scores]]</f>
        <v>0.74345574936444503</v>
      </c>
      <c r="AB26" s="10">
        <f>Table1[[#This Row],[Raw Terrestrial Score]]+Table1[[#This Row],[Raw Freshwater Score]]</f>
        <v>3245.4709000000003</v>
      </c>
      <c r="AC26" s="11">
        <f>Table1[[#This Row],[Terrestrial % of Summed Score]]*Table1[[#This Row],[Scaled Summed Score]]</f>
        <v>0.10230679890994891</v>
      </c>
      <c r="AD26" s="11">
        <f>Table1[[#This Row],[Freshwater % of Summed Score]]*Table1[[#This Row],[Scaled Summed Score]]</f>
        <v>0.29648131914959502</v>
      </c>
      <c r="AE26" s="39">
        <f>Table1[[#This Row],[Summed Raw Scores]]/MAX(Table1[Summed Raw Scores])</f>
        <v>0.39878811805954395</v>
      </c>
      <c r="AF26" s="1"/>
    </row>
    <row r="27" spans="1:32" x14ac:dyDescent="0.3">
      <c r="A27" s="8" t="s">
        <v>100</v>
      </c>
      <c r="B27" s="8" t="s">
        <v>97</v>
      </c>
      <c r="C27" s="8" t="s">
        <v>32</v>
      </c>
      <c r="D27" s="8" t="s">
        <v>250</v>
      </c>
      <c r="E27" s="12">
        <v>50.11</v>
      </c>
      <c r="F27" s="12">
        <v>-123.4</v>
      </c>
      <c r="G27" s="9">
        <v>63.9</v>
      </c>
      <c r="H27" s="9">
        <v>40</v>
      </c>
      <c r="I27" s="9">
        <v>9</v>
      </c>
      <c r="J27" s="13">
        <v>325.89999999999998</v>
      </c>
      <c r="K27" s="13">
        <v>85.147334930927542</v>
      </c>
      <c r="L27" s="9" t="s">
        <v>22</v>
      </c>
      <c r="M27" s="12">
        <v>0</v>
      </c>
      <c r="N27" s="1">
        <v>43.755844122716695</v>
      </c>
      <c r="O27" s="1">
        <f>Table1[[#This Row],[R1 Length (km)]]+Table1[[#This Row],[T1 Length (km)]]</f>
        <v>43.755844122716695</v>
      </c>
      <c r="P27" s="2">
        <v>130</v>
      </c>
      <c r="Q27" s="1">
        <f>(Table1[[#This Row],[Linear Features (km)]]*0.4)*100</f>
        <v>1750.233764908668</v>
      </c>
      <c r="R27" s="1">
        <v>43.76</v>
      </c>
      <c r="S27" s="3">
        <f>Table1[[#This Row],[ATG (ha)]]/Table1[[#This Row],[Linear Area (ha)]]</f>
        <v>2.5002374469837468E-2</v>
      </c>
      <c r="T27" s="2" t="s">
        <v>22</v>
      </c>
      <c r="U27" s="2" t="s">
        <v>22</v>
      </c>
      <c r="V27" s="1" t="s">
        <v>22</v>
      </c>
      <c r="W27" s="1" t="s">
        <v>22</v>
      </c>
      <c r="X27" s="10">
        <v>323.06479999999999</v>
      </c>
      <c r="Y27" s="10">
        <f>Table1[[#This Row],[Raw Terrestrial Score]]/Table1[[#This Row],[Summed Raw Scores]]</f>
        <v>0.26115430654885657</v>
      </c>
      <c r="Z27" s="10">
        <v>914</v>
      </c>
      <c r="AA27" s="10">
        <f>Table1[[#This Row],[Raw Freshwater Score]]/Table1[[#This Row],[Summed Raw Scores]]</f>
        <v>0.73884569345114337</v>
      </c>
      <c r="AB27" s="10">
        <f>Table1[[#This Row],[Raw Terrestrial Score]]+Table1[[#This Row],[Raw Freshwater Score]]</f>
        <v>1237.0648000000001</v>
      </c>
      <c r="AC27" s="11">
        <f>Table1[[#This Row],[Terrestrial % of Summed Score]]*Table1[[#This Row],[Scaled Summed Score]]</f>
        <v>3.9696675019727623E-2</v>
      </c>
      <c r="AD27" s="11">
        <f>Table1[[#This Row],[Freshwater % of Summed Score]]*Table1[[#This Row],[Scaled Summed Score]]</f>
        <v>0.11230799817259897</v>
      </c>
      <c r="AE27" s="11">
        <f>Table1[[#This Row],[Summed Raw Scores]]/MAX(Table1[Summed Raw Scores])</f>
        <v>0.15200467319232661</v>
      </c>
      <c r="AF27" s="1"/>
    </row>
    <row r="28" spans="1:32" x14ac:dyDescent="0.3">
      <c r="A28" s="8" t="s">
        <v>101</v>
      </c>
      <c r="B28" s="8" t="s">
        <v>97</v>
      </c>
      <c r="C28" s="8" t="s">
        <v>32</v>
      </c>
      <c r="D28" s="8" t="s">
        <v>250</v>
      </c>
      <c r="E28" s="12">
        <v>49.95</v>
      </c>
      <c r="F28" s="12">
        <v>-124.23</v>
      </c>
      <c r="G28" s="9">
        <v>40.1</v>
      </c>
      <c r="H28" s="9">
        <v>40</v>
      </c>
      <c r="I28" s="9">
        <v>16</v>
      </c>
      <c r="J28" s="13">
        <v>172.2</v>
      </c>
      <c r="K28" s="13">
        <v>79.419958709065014</v>
      </c>
      <c r="L28" s="9" t="s">
        <v>22</v>
      </c>
      <c r="M28" s="12">
        <v>0</v>
      </c>
      <c r="N28" s="1">
        <v>21.230865786513867</v>
      </c>
      <c r="O28" s="1">
        <f>Table1[[#This Row],[R1 Length (km)]]+Table1[[#This Row],[T1 Length (km)]]</f>
        <v>21.230865786513867</v>
      </c>
      <c r="P28" s="2">
        <v>130</v>
      </c>
      <c r="Q28" s="1">
        <f>(Table1[[#This Row],[Linear Features (km)]]*0.4)*100</f>
        <v>849.23463146055462</v>
      </c>
      <c r="R28" s="1">
        <v>21.23</v>
      </c>
      <c r="S28" s="3">
        <f>Table1[[#This Row],[ATG (ha)]]/Table1[[#This Row],[Linear Area (ha)]]</f>
        <v>2.4998980509647405E-2</v>
      </c>
      <c r="T28" s="2" t="s">
        <v>22</v>
      </c>
      <c r="U28" s="2" t="s">
        <v>22</v>
      </c>
      <c r="V28" s="1" t="s">
        <v>22</v>
      </c>
      <c r="W28" s="1" t="s">
        <v>22</v>
      </c>
      <c r="X28" s="10">
        <v>99.524050000000003</v>
      </c>
      <c r="Y28" s="10">
        <f>Table1[[#This Row],[Raw Terrestrial Score]]/Table1[[#This Row],[Summed Raw Scores]]</f>
        <v>0.24559719183674278</v>
      </c>
      <c r="Z28" s="10">
        <v>305.7088</v>
      </c>
      <c r="AA28" s="10">
        <f>Table1[[#This Row],[Raw Freshwater Score]]/Table1[[#This Row],[Summed Raw Scores]]</f>
        <v>0.75440280816325722</v>
      </c>
      <c r="AB28" s="10">
        <f>Table1[[#This Row],[Raw Terrestrial Score]]+Table1[[#This Row],[Raw Freshwater Score]]</f>
        <v>405.23284999999998</v>
      </c>
      <c r="AC28" s="11">
        <f>Table1[[#This Row],[Terrestrial % of Summed Score]]*Table1[[#This Row],[Scaled Summed Score]]</f>
        <v>1.2229044666881454E-2</v>
      </c>
      <c r="AD28" s="11">
        <f>Table1[[#This Row],[Freshwater % of Summed Score]]*Table1[[#This Row],[Scaled Summed Score]]</f>
        <v>3.7564051807163483E-2</v>
      </c>
      <c r="AE28" s="11">
        <f>Table1[[#This Row],[Summed Raw Scores]]/MAX(Table1[Summed Raw Scores])</f>
        <v>4.9793096474044937E-2</v>
      </c>
      <c r="AF28" s="1"/>
    </row>
    <row r="29" spans="1:32" x14ac:dyDescent="0.3">
      <c r="A29" s="8" t="s">
        <v>43</v>
      </c>
      <c r="B29" s="8" t="s">
        <v>42</v>
      </c>
      <c r="C29" s="8" t="s">
        <v>30</v>
      </c>
      <c r="D29" s="8"/>
      <c r="E29" s="9">
        <v>54.033148683900002</v>
      </c>
      <c r="F29" s="9">
        <v>-128.334012847</v>
      </c>
      <c r="G29" s="9">
        <v>1000</v>
      </c>
      <c r="H29" s="9" t="s">
        <v>22</v>
      </c>
      <c r="I29" s="1">
        <v>1000</v>
      </c>
      <c r="J29" s="8" t="s">
        <v>22</v>
      </c>
      <c r="K29" s="8" t="s">
        <v>22</v>
      </c>
      <c r="L29" s="9">
        <v>121.5536031</v>
      </c>
      <c r="M29" s="9">
        <v>4.7698484809838195</v>
      </c>
      <c r="N29" s="9">
        <v>56.137467504308347</v>
      </c>
      <c r="O29" s="9">
        <f>Table1[[#This Row],[R1 Length (km)]]+Table1[[#This Row],[T1 Length (km)]]</f>
        <v>60.907315985292165</v>
      </c>
      <c r="P29" s="8">
        <v>500</v>
      </c>
      <c r="Q29" s="9">
        <f>(Table1[[#This Row],[Linear Features (km)]]*0.4)*100</f>
        <v>2436.2926394116867</v>
      </c>
      <c r="R29" s="1">
        <v>84.8</v>
      </c>
      <c r="S29" s="3">
        <f>Table1[[#This Row],[ATG (ha)]]/Table1[[#This Row],[Linear Area (ha)]]</f>
        <v>3.4806984443575467E-2</v>
      </c>
      <c r="T29" s="2" t="s">
        <v>22</v>
      </c>
      <c r="U29" s="2" t="s">
        <v>22</v>
      </c>
      <c r="V29" s="1" t="s">
        <v>22</v>
      </c>
      <c r="W29" s="1" t="s">
        <v>22</v>
      </c>
      <c r="X29" s="10">
        <v>602.40030000000002</v>
      </c>
      <c r="Y29" s="10">
        <f>Table1[[#This Row],[Raw Terrestrial Score]]/Table1[[#This Row],[Summed Raw Scores]]</f>
        <v>0.4087060450402793</v>
      </c>
      <c r="Z29" s="10">
        <v>871.5204</v>
      </c>
      <c r="AA29" s="10">
        <f>Table1[[#This Row],[Raw Freshwater Score]]/Table1[[#This Row],[Summed Raw Scores]]</f>
        <v>0.59129395495972059</v>
      </c>
      <c r="AB29" s="10">
        <f>Table1[[#This Row],[Raw Terrestrial Score]]+Table1[[#This Row],[Raw Freshwater Score]]</f>
        <v>1473.9207000000001</v>
      </c>
      <c r="AC29" s="11">
        <f>Table1[[#This Row],[Terrestrial % of Summed Score]]*Table1[[#This Row],[Scaled Summed Score]]</f>
        <v>7.4020100428416946E-2</v>
      </c>
      <c r="AD29" s="11">
        <f>Table1[[#This Row],[Freshwater % of Summed Score]]*Table1[[#This Row],[Scaled Summed Score]]</f>
        <v>0.10708830578838373</v>
      </c>
      <c r="AE29" s="39">
        <f>Table1[[#This Row],[Summed Raw Scores]]/MAX(Table1[Summed Raw Scores])</f>
        <v>0.18110840621680069</v>
      </c>
      <c r="AF29" s="1"/>
    </row>
    <row r="30" spans="1:32" x14ac:dyDescent="0.3">
      <c r="A30" s="8" t="s">
        <v>28</v>
      </c>
      <c r="B30" s="8" t="s">
        <v>24</v>
      </c>
      <c r="C30" s="8" t="s">
        <v>27</v>
      </c>
      <c r="D30" s="8" t="s">
        <v>250</v>
      </c>
      <c r="E30" s="9">
        <v>57.498854999999999</v>
      </c>
      <c r="F30" s="9">
        <v>-122.24574699999999</v>
      </c>
      <c r="G30" s="9">
        <v>12.2</v>
      </c>
      <c r="H30" s="9">
        <v>9</v>
      </c>
      <c r="I30" s="9" t="s">
        <v>22</v>
      </c>
      <c r="J30" s="9">
        <v>69</v>
      </c>
      <c r="K30" s="9">
        <v>216.85</v>
      </c>
      <c r="L30" s="9" t="s">
        <v>22</v>
      </c>
      <c r="M30" s="9">
        <v>0</v>
      </c>
      <c r="N30" s="9">
        <v>193.38300000000001</v>
      </c>
      <c r="O30" s="9">
        <f>Table1[[#This Row],[R1 Length (km)]]+Table1[[#This Row],[T1 Length (km)]]</f>
        <v>193.38300000000001</v>
      </c>
      <c r="P30" s="8">
        <v>230</v>
      </c>
      <c r="Q30" s="9">
        <f>(Table1[[#This Row],[Linear Features (km)]]*0.4)*100</f>
        <v>7735.3200000000015</v>
      </c>
      <c r="R30" s="1">
        <v>2.8</v>
      </c>
      <c r="S30" s="3">
        <f>Table1[[#This Row],[ATG (ha)]]/Table1[[#This Row],[Linear Area (ha)]]</f>
        <v>3.619759751374215E-4</v>
      </c>
      <c r="T30" s="2" t="s">
        <v>22</v>
      </c>
      <c r="U30" s="2" t="s">
        <v>22</v>
      </c>
      <c r="V30" s="1" t="s">
        <v>22</v>
      </c>
      <c r="W30" s="1" t="s">
        <v>22</v>
      </c>
      <c r="X30" s="10">
        <v>1184.797</v>
      </c>
      <c r="Y30" s="10">
        <f>Table1[[#This Row],[Raw Terrestrial Score]]/Table1[[#This Row],[Summed Raw Scores]]</f>
        <v>0.47472107862287266</v>
      </c>
      <c r="Z30" s="10">
        <v>1310.9780000000001</v>
      </c>
      <c r="AA30" s="10">
        <f>Table1[[#This Row],[Raw Freshwater Score]]/Table1[[#This Row],[Summed Raw Scores]]</f>
        <v>0.52527892137712739</v>
      </c>
      <c r="AB30" s="10">
        <f>Table1[[#This Row],[Raw Terrestrial Score]]+Table1[[#This Row],[Raw Freshwater Score]]</f>
        <v>2495.7750000000001</v>
      </c>
      <c r="AC30" s="11">
        <f>Table1[[#This Row],[Terrestrial % of Summed Score]]*Table1[[#This Row],[Scaled Summed Score]]</f>
        <v>0.14558225307538375</v>
      </c>
      <c r="AD30" s="11">
        <f>Table1[[#This Row],[Freshwater % of Summed Score]]*Table1[[#This Row],[Scaled Summed Score]]</f>
        <v>0.16108677771150709</v>
      </c>
      <c r="AE30" s="11">
        <f>Table1[[#This Row],[Summed Raw Scores]]/MAX(Table1[Summed Raw Scores])</f>
        <v>0.30666903078689084</v>
      </c>
      <c r="AF30" s="1"/>
    </row>
    <row r="31" spans="1:32" x14ac:dyDescent="0.3">
      <c r="A31" s="8" t="s">
        <v>44</v>
      </c>
      <c r="B31" s="8" t="s">
        <v>42</v>
      </c>
      <c r="C31" s="8" t="s">
        <v>32</v>
      </c>
      <c r="D31" s="8" t="s">
        <v>250</v>
      </c>
      <c r="E31" s="12">
        <v>49.402025060500002</v>
      </c>
      <c r="F31" s="12">
        <v>-122.2587474</v>
      </c>
      <c r="G31" s="9">
        <v>1000</v>
      </c>
      <c r="H31" s="9" t="s">
        <v>22</v>
      </c>
      <c r="I31" s="1">
        <v>495</v>
      </c>
      <c r="J31" s="8" t="s">
        <v>22</v>
      </c>
      <c r="K31" s="8" t="s">
        <v>22</v>
      </c>
      <c r="L31" s="13">
        <v>169.30148060606061</v>
      </c>
      <c r="M31" s="9">
        <v>1.4</v>
      </c>
      <c r="N31" s="9">
        <v>39.6</v>
      </c>
      <c r="O31" s="9">
        <f>Table1[[#This Row],[R1 Length (km)]]+Table1[[#This Row],[T1 Length (km)]]</f>
        <v>41</v>
      </c>
      <c r="P31" s="8">
        <v>500</v>
      </c>
      <c r="Q31" s="9">
        <f>(Table1[[#This Row],[Linear Features (km)]]*0.4)*100</f>
        <v>1640.0000000000002</v>
      </c>
      <c r="R31" s="1">
        <v>42.72</v>
      </c>
      <c r="S31" s="3">
        <f>Table1[[#This Row],[ATG (ha)]]/Table1[[#This Row],[Linear Area (ha)]]</f>
        <v>2.6048780487804873E-2</v>
      </c>
      <c r="T31" s="2" t="s">
        <v>22</v>
      </c>
      <c r="U31" s="2" t="s">
        <v>22</v>
      </c>
      <c r="V31" s="1" t="s">
        <v>22</v>
      </c>
      <c r="W31" s="1" t="s">
        <v>22</v>
      </c>
      <c r="X31" s="10">
        <v>341.67919999999998</v>
      </c>
      <c r="Y31" s="10">
        <f>Table1[[#This Row],[Raw Terrestrial Score]]/Table1[[#This Row],[Summed Raw Scores]]</f>
        <v>0.30248190132735403</v>
      </c>
      <c r="Z31" s="10">
        <v>787.90639999999996</v>
      </c>
      <c r="AA31" s="10">
        <f>Table1[[#This Row],[Raw Freshwater Score]]/Table1[[#This Row],[Summed Raw Scores]]</f>
        <v>0.69751809867264603</v>
      </c>
      <c r="AB31" s="10">
        <f>Table1[[#This Row],[Raw Terrestrial Score]]+Table1[[#This Row],[Raw Freshwater Score]]</f>
        <v>1129.5855999999999</v>
      </c>
      <c r="AC31" s="11">
        <f>Table1[[#This Row],[Terrestrial % of Summed Score]]*Table1[[#This Row],[Scaled Summed Score]]</f>
        <v>4.1983924473977106E-2</v>
      </c>
      <c r="AD31" s="11">
        <f>Table1[[#This Row],[Freshwater % of Summed Score]]*Table1[[#This Row],[Scaled Summed Score]]</f>
        <v>9.6814212835206817E-2</v>
      </c>
      <c r="AE31" s="11">
        <f>Table1[[#This Row],[Summed Raw Scores]]/MAX(Table1[Summed Raw Scores])</f>
        <v>0.13879813730918392</v>
      </c>
      <c r="AF31" s="1"/>
    </row>
    <row r="32" spans="1:32" x14ac:dyDescent="0.3">
      <c r="A32" s="8" t="s">
        <v>102</v>
      </c>
      <c r="B32" s="8" t="s">
        <v>97</v>
      </c>
      <c r="C32" s="8" t="s">
        <v>30</v>
      </c>
      <c r="D32" s="8" t="s">
        <v>250</v>
      </c>
      <c r="E32" s="14">
        <v>55.71</v>
      </c>
      <c r="F32" s="14">
        <v>-129.34</v>
      </c>
      <c r="G32" s="9">
        <v>40.1</v>
      </c>
      <c r="H32" s="9">
        <v>40</v>
      </c>
      <c r="I32" s="9">
        <v>3</v>
      </c>
      <c r="J32" s="13">
        <v>132.80000000000001</v>
      </c>
      <c r="K32" s="13">
        <v>116.36779578392621</v>
      </c>
      <c r="L32" s="9" t="s">
        <v>22</v>
      </c>
      <c r="M32" s="9">
        <v>9.1999999999999993</v>
      </c>
      <c r="N32" s="9">
        <v>33.299999999999997</v>
      </c>
      <c r="O32" s="9">
        <f>Table1[[#This Row],[R1 Length (km)]]+Table1[[#This Row],[T1 Length (km)]]</f>
        <v>42.5</v>
      </c>
      <c r="P32" s="8">
        <v>130</v>
      </c>
      <c r="Q32" s="9">
        <f>(Table1[[#This Row],[Linear Features (km)]]*0.4)*100</f>
        <v>1700</v>
      </c>
      <c r="R32" s="1">
        <v>49.02</v>
      </c>
      <c r="S32" s="3">
        <f>Table1[[#This Row],[ATG (ha)]]/Table1[[#This Row],[Linear Area (ha)]]</f>
        <v>2.883529411764706E-2</v>
      </c>
      <c r="T32" s="2" t="s">
        <v>22</v>
      </c>
      <c r="U32" s="2" t="s">
        <v>22</v>
      </c>
      <c r="V32" s="1" t="s">
        <v>22</v>
      </c>
      <c r="W32" s="1" t="s">
        <v>22</v>
      </c>
      <c r="X32" s="10">
        <v>690.42100000000005</v>
      </c>
      <c r="Y32" s="10">
        <f>Table1[[#This Row],[Raw Terrestrial Score]]/Table1[[#This Row],[Summed Raw Scores]]</f>
        <v>0.38127217554332671</v>
      </c>
      <c r="Z32" s="10">
        <v>1120.414</v>
      </c>
      <c r="AA32" s="10">
        <f>Table1[[#This Row],[Raw Freshwater Score]]/Table1[[#This Row],[Summed Raw Scores]]</f>
        <v>0.61872782445667329</v>
      </c>
      <c r="AB32" s="10">
        <f>Table1[[#This Row],[Raw Terrestrial Score]]+Table1[[#This Row],[Raw Freshwater Score]]</f>
        <v>1810.835</v>
      </c>
      <c r="AC32" s="11">
        <f>Table1[[#This Row],[Terrestrial % of Summed Score]]*Table1[[#This Row],[Scaled Summed Score]]</f>
        <v>8.4835667840617024E-2</v>
      </c>
      <c r="AD32" s="11">
        <f>Table1[[#This Row],[Freshwater % of Summed Score]]*Table1[[#This Row],[Scaled Summed Score]]</f>
        <v>0.1376711744688778</v>
      </c>
      <c r="AE32" s="11">
        <f>Table1[[#This Row],[Summed Raw Scores]]/MAX(Table1[Summed Raw Scores])</f>
        <v>0.22250684230949483</v>
      </c>
      <c r="AF32" s="1"/>
    </row>
    <row r="33" spans="1:32" x14ac:dyDescent="0.3">
      <c r="A33" s="8" t="s">
        <v>236</v>
      </c>
      <c r="B33" s="8" t="s">
        <v>42</v>
      </c>
      <c r="C33" s="8" t="s">
        <v>21</v>
      </c>
      <c r="D33" s="8" t="s">
        <v>250</v>
      </c>
      <c r="E33" s="9">
        <v>49.069879999999898</v>
      </c>
      <c r="F33" s="9">
        <v>-124.41682</v>
      </c>
      <c r="G33" s="9">
        <v>500</v>
      </c>
      <c r="H33" s="9" t="s">
        <v>22</v>
      </c>
      <c r="I33" s="13">
        <v>408</v>
      </c>
      <c r="J33" s="8" t="s">
        <v>22</v>
      </c>
      <c r="K33" s="8" t="s">
        <v>22</v>
      </c>
      <c r="L33" s="13">
        <v>172.06</v>
      </c>
      <c r="M33" s="9">
        <v>20.2</v>
      </c>
      <c r="N33" s="13">
        <v>43.7</v>
      </c>
      <c r="O33" s="13">
        <f>Table1[[#This Row],[R1 Length (km)]]+Table1[[#This Row],[T1 Length (km)]]</f>
        <v>63.900000000000006</v>
      </c>
      <c r="P33" s="16">
        <v>500</v>
      </c>
      <c r="Q33" s="13">
        <f>(Table1[[#This Row],[Linear Features (km)]]*0.4)*100</f>
        <v>2556</v>
      </c>
      <c r="R33" s="1">
        <v>54.03</v>
      </c>
      <c r="S33" s="3">
        <f>Table1[[#This Row],[ATG (ha)]]/Table1[[#This Row],[Linear Area (ha)]]</f>
        <v>2.1138497652582161E-2</v>
      </c>
      <c r="T33" s="16" t="s">
        <v>22</v>
      </c>
      <c r="U33" s="2" t="s">
        <v>22</v>
      </c>
      <c r="V33" s="1" t="s">
        <v>22</v>
      </c>
      <c r="W33" s="1" t="s">
        <v>22</v>
      </c>
      <c r="X33" s="10">
        <v>454.49829999999997</v>
      </c>
      <c r="Y33" s="10">
        <f>Table1[[#This Row],[Raw Terrestrial Score]]/Table1[[#This Row],[Summed Raw Scores]]</f>
        <v>0.31301221075876234</v>
      </c>
      <c r="Z33" s="10">
        <v>997.5163</v>
      </c>
      <c r="AA33" s="10">
        <f>Table1[[#This Row],[Raw Freshwater Score]]/Table1[[#This Row],[Summed Raw Scores]]</f>
        <v>0.68698778924123771</v>
      </c>
      <c r="AB33" s="10">
        <f>Table1[[#This Row],[Raw Terrestrial Score]]+Table1[[#This Row],[Raw Freshwater Score]]</f>
        <v>1452.0146</v>
      </c>
      <c r="AC33" s="11">
        <f>Table1[[#This Row],[Terrestrial % of Summed Score]]*Table1[[#This Row],[Scaled Summed Score]]</f>
        <v>5.5846602019528825E-2</v>
      </c>
      <c r="AD33" s="11">
        <f>Table1[[#This Row],[Freshwater % of Summed Score]]*Table1[[#This Row],[Scaled Summed Score]]</f>
        <v>0.12257008621174803</v>
      </c>
      <c r="AE33" s="11">
        <f>Table1[[#This Row],[Summed Raw Scores]]/MAX(Table1[Summed Raw Scores])</f>
        <v>0.17841668823127685</v>
      </c>
      <c r="AF33" s="1"/>
    </row>
    <row r="34" spans="1:32" x14ac:dyDescent="0.3">
      <c r="A34" s="8" t="s">
        <v>29</v>
      </c>
      <c r="B34" s="8" t="s">
        <v>24</v>
      </c>
      <c r="C34" s="8" t="s">
        <v>30</v>
      </c>
      <c r="D34" s="8" t="s">
        <v>250</v>
      </c>
      <c r="E34" s="9">
        <v>54.322493000000001</v>
      </c>
      <c r="F34" s="9">
        <v>-128.539906</v>
      </c>
      <c r="G34" s="9">
        <v>19.600000000000001</v>
      </c>
      <c r="H34" s="9">
        <v>17</v>
      </c>
      <c r="I34" s="9" t="s">
        <v>22</v>
      </c>
      <c r="J34" s="9">
        <v>130</v>
      </c>
      <c r="K34" s="9">
        <v>163.18</v>
      </c>
      <c r="L34" s="9" t="s">
        <v>22</v>
      </c>
      <c r="M34" s="9">
        <f>1145.3743238/1000</f>
        <v>1.1453743238</v>
      </c>
      <c r="N34" s="9">
        <f>18393.3047631/1000</f>
        <v>18.393304763100002</v>
      </c>
      <c r="O34" s="9">
        <f>Table1[[#This Row],[R1 Length (km)]]+Table1[[#This Row],[T1 Length (km)]]</f>
        <v>19.5386790869</v>
      </c>
      <c r="P34" s="8">
        <v>25</v>
      </c>
      <c r="Q34" s="9">
        <f>(Table1[[#This Row],[Linear Features (km)]]*0.4)*100</f>
        <v>781.54716347600004</v>
      </c>
      <c r="R34" s="1">
        <v>5.2</v>
      </c>
      <c r="S34" s="3">
        <f>Table1[[#This Row],[ATG (ha)]]/Table1[[#This Row],[Linear Area (ha)]]</f>
        <v>6.6534692249058149E-3</v>
      </c>
      <c r="T34" s="2" t="s">
        <v>22</v>
      </c>
      <c r="U34" s="2" t="s">
        <v>22</v>
      </c>
      <c r="V34" s="1" t="s">
        <v>22</v>
      </c>
      <c r="W34" s="1" t="s">
        <v>22</v>
      </c>
      <c r="X34" s="10">
        <v>123.05840000000001</v>
      </c>
      <c r="Y34" s="10">
        <f>Table1[[#This Row],[Raw Terrestrial Score]]/Table1[[#This Row],[Summed Raw Scores]]</f>
        <v>0.30304427271876555</v>
      </c>
      <c r="Z34" s="10">
        <v>283.01560000000001</v>
      </c>
      <c r="AA34" s="10">
        <f>Table1[[#This Row],[Raw Freshwater Score]]/Table1[[#This Row],[Summed Raw Scores]]</f>
        <v>0.69695572728123445</v>
      </c>
      <c r="AB34" s="10">
        <f>Table1[[#This Row],[Raw Terrestrial Score]]+Table1[[#This Row],[Raw Freshwater Score]]</f>
        <v>406.07400000000001</v>
      </c>
      <c r="AC34" s="11">
        <f>Table1[[#This Row],[Terrestrial % of Summed Score]]*Table1[[#This Row],[Scaled Summed Score]]</f>
        <v>1.5120834313263627E-2</v>
      </c>
      <c r="AD34" s="11">
        <f>Table1[[#This Row],[Freshwater % of Summed Score]]*Table1[[#This Row],[Scaled Summed Score]]</f>
        <v>3.4775618695423414E-2</v>
      </c>
      <c r="AE34" s="11">
        <f>Table1[[#This Row],[Summed Raw Scores]]/MAX(Table1[Summed Raw Scores])</f>
        <v>4.9896453008687044E-2</v>
      </c>
      <c r="AF34" s="1"/>
    </row>
    <row r="35" spans="1:32" x14ac:dyDescent="0.3">
      <c r="A35" s="8" t="s">
        <v>45</v>
      </c>
      <c r="B35" s="8" t="s">
        <v>42</v>
      </c>
      <c r="C35" s="8" t="s">
        <v>30</v>
      </c>
      <c r="D35" s="8"/>
      <c r="E35" s="9">
        <v>53.701966269899998</v>
      </c>
      <c r="F35" s="9">
        <v>-128.527487237</v>
      </c>
      <c r="G35" s="9">
        <v>1000</v>
      </c>
      <c r="H35" s="9" t="s">
        <v>22</v>
      </c>
      <c r="I35" s="1">
        <v>1000</v>
      </c>
      <c r="J35" s="8" t="s">
        <v>22</v>
      </c>
      <c r="K35" s="8" t="s">
        <v>22</v>
      </c>
      <c r="L35" s="9">
        <v>126.90449799999999</v>
      </c>
      <c r="M35" s="9">
        <v>4.169848480982953</v>
      </c>
      <c r="N35" s="9">
        <v>88.597770542344747</v>
      </c>
      <c r="O35" s="9">
        <f>Table1[[#This Row],[R1 Length (km)]]+Table1[[#This Row],[T1 Length (km)]]</f>
        <v>92.767619023327697</v>
      </c>
      <c r="P35" s="8">
        <v>500</v>
      </c>
      <c r="Q35" s="9">
        <f>(Table1[[#This Row],[Linear Features (km)]]*0.4)*100</f>
        <v>3710.7047609331084</v>
      </c>
      <c r="R35" s="1">
        <v>87.2</v>
      </c>
      <c r="S35" s="3">
        <f>Table1[[#This Row],[ATG (ha)]]/Table1[[#This Row],[Linear Area (ha)]]</f>
        <v>2.3499579087524158E-2</v>
      </c>
      <c r="T35" s="2" t="s">
        <v>22</v>
      </c>
      <c r="U35" s="2" t="s">
        <v>22</v>
      </c>
      <c r="V35" s="1" t="s">
        <v>22</v>
      </c>
      <c r="W35" s="1" t="s">
        <v>22</v>
      </c>
      <c r="X35" s="10">
        <v>998.64089999999999</v>
      </c>
      <c r="Y35" s="10">
        <f>Table1[[#This Row],[Raw Terrestrial Score]]/Table1[[#This Row],[Summed Raw Scores]]</f>
        <v>0.43175268717859011</v>
      </c>
      <c r="Z35" s="10">
        <v>1314.3520000000001</v>
      </c>
      <c r="AA35" s="10">
        <f>Table1[[#This Row],[Raw Freshwater Score]]/Table1[[#This Row],[Summed Raw Scores]]</f>
        <v>0.56824731282140983</v>
      </c>
      <c r="AB35" s="10">
        <f>Table1[[#This Row],[Raw Terrestrial Score]]+Table1[[#This Row],[Raw Freshwater Score]]</f>
        <v>2312.9929000000002</v>
      </c>
      <c r="AC35" s="11">
        <f>Table1[[#This Row],[Terrestrial % of Summed Score]]*Table1[[#This Row],[Scaled Summed Score]]</f>
        <v>0.1227082717421035</v>
      </c>
      <c r="AD35" s="11">
        <f>Table1[[#This Row],[Freshwater % of Summed Score]]*Table1[[#This Row],[Scaled Summed Score]]</f>
        <v>0.16150135887762779</v>
      </c>
      <c r="AE35" s="39">
        <f>Table1[[#This Row],[Summed Raw Scores]]/MAX(Table1[Summed Raw Scores])</f>
        <v>0.28420963061973131</v>
      </c>
      <c r="AF35" s="1"/>
    </row>
    <row r="36" spans="1:32" x14ac:dyDescent="0.3">
      <c r="A36" s="8" t="s">
        <v>31</v>
      </c>
      <c r="B36" s="8" t="s">
        <v>24</v>
      </c>
      <c r="C36" s="8" t="s">
        <v>32</v>
      </c>
      <c r="D36" s="8" t="s">
        <v>250</v>
      </c>
      <c r="E36" s="14">
        <v>50.569090000000003</v>
      </c>
      <c r="F36" s="14">
        <v>-123.512111</v>
      </c>
      <c r="G36" s="9">
        <v>99</v>
      </c>
      <c r="H36" s="9">
        <v>89</v>
      </c>
      <c r="I36" s="9" t="s">
        <v>22</v>
      </c>
      <c r="J36" s="15">
        <v>656.90040009999996</v>
      </c>
      <c r="K36" s="13">
        <v>98.184276859616105</v>
      </c>
      <c r="L36" s="9" t="s">
        <v>22</v>
      </c>
      <c r="M36" s="9">
        <v>2.5</v>
      </c>
      <c r="N36" s="9">
        <v>67.8</v>
      </c>
      <c r="O36" s="9">
        <f>Table1[[#This Row],[R1 Length (km)]]+Table1[[#This Row],[T1 Length (km)]]</f>
        <v>70.3</v>
      </c>
      <c r="P36" s="8">
        <v>230</v>
      </c>
      <c r="Q36" s="9">
        <f>(Table1[[#This Row],[Linear Features (km)]]*0.4)*100</f>
        <v>2812</v>
      </c>
      <c r="R36" s="1">
        <v>26.5</v>
      </c>
      <c r="S36" s="3">
        <f>Table1[[#This Row],[ATG (ha)]]/Table1[[#This Row],[Linear Area (ha)]]</f>
        <v>9.423897581792318E-3</v>
      </c>
      <c r="T36" s="2" t="s">
        <v>22</v>
      </c>
      <c r="U36" s="2" t="s">
        <v>22</v>
      </c>
      <c r="V36" s="1" t="s">
        <v>22</v>
      </c>
      <c r="W36" s="1" t="s">
        <v>22</v>
      </c>
      <c r="X36" s="10">
        <v>836.46040000000005</v>
      </c>
      <c r="Y36" s="10">
        <f>Table1[[#This Row],[Raw Terrestrial Score]]/Table1[[#This Row],[Summed Raw Scores]]</f>
        <v>0.43161826482378357</v>
      </c>
      <c r="Z36" s="10">
        <v>1101.5029999999999</v>
      </c>
      <c r="AA36" s="10">
        <f>Table1[[#This Row],[Raw Freshwater Score]]/Table1[[#This Row],[Summed Raw Scores]]</f>
        <v>0.56838173517621637</v>
      </c>
      <c r="AB36" s="10">
        <f>Table1[[#This Row],[Raw Terrestrial Score]]+Table1[[#This Row],[Raw Freshwater Score]]</f>
        <v>1937.9634000000001</v>
      </c>
      <c r="AC36" s="11">
        <f>Table1[[#This Row],[Terrestrial % of Summed Score]]*Table1[[#This Row],[Scaled Summed Score]]</f>
        <v>0.10278029876876522</v>
      </c>
      <c r="AD36" s="11">
        <f>Table1[[#This Row],[Freshwater % of Summed Score]]*Table1[[#This Row],[Scaled Summed Score]]</f>
        <v>0.1353474802090944</v>
      </c>
      <c r="AE36" s="11">
        <f>Table1[[#This Row],[Summed Raw Scores]]/MAX(Table1[Summed Raw Scores])</f>
        <v>0.23812777897785964</v>
      </c>
      <c r="AF36" s="1"/>
    </row>
    <row r="37" spans="1:32" x14ac:dyDescent="0.3">
      <c r="A37" s="8" t="s">
        <v>103</v>
      </c>
      <c r="B37" s="8" t="s">
        <v>97</v>
      </c>
      <c r="C37" s="8" t="s">
        <v>30</v>
      </c>
      <c r="D37" s="8" t="s">
        <v>250</v>
      </c>
      <c r="E37" s="9">
        <v>57.03</v>
      </c>
      <c r="F37" s="9">
        <v>-130.38</v>
      </c>
      <c r="G37" s="9">
        <v>76.599999999999994</v>
      </c>
      <c r="H37" s="9">
        <v>40</v>
      </c>
      <c r="I37" s="9">
        <v>3</v>
      </c>
      <c r="J37" s="9">
        <v>152</v>
      </c>
      <c r="K37" s="9">
        <v>154.71</v>
      </c>
      <c r="L37" s="9" t="s">
        <v>22</v>
      </c>
      <c r="M37" s="9">
        <f>3621.32034355755/1000</f>
        <v>3.6213203435575503</v>
      </c>
      <c r="N37" s="9">
        <v>13.109500000000001</v>
      </c>
      <c r="O37" s="9">
        <f>Table1[[#This Row],[R1 Length (km)]]+Table1[[#This Row],[T1 Length (km)]]</f>
        <v>16.73082034355755</v>
      </c>
      <c r="P37" s="8">
        <v>230</v>
      </c>
      <c r="Q37" s="9">
        <f>(Table1[[#This Row],[Linear Features (km)]]*0.4)*100</f>
        <v>669.23281374230203</v>
      </c>
      <c r="R37" s="1">
        <v>660.1</v>
      </c>
      <c r="S37" s="3">
        <f>Table1[[#This Row],[ATG (ha)]]/Table1[[#This Row],[Linear Area (ha)]]</f>
        <v>0.98635330851272529</v>
      </c>
      <c r="T37" s="2" t="s">
        <v>22</v>
      </c>
      <c r="U37" s="2" t="s">
        <v>22</v>
      </c>
      <c r="V37" s="1" t="s">
        <v>22</v>
      </c>
      <c r="W37" s="1" t="s">
        <v>22</v>
      </c>
      <c r="X37" s="10">
        <v>189.2998</v>
      </c>
      <c r="Y37" s="10">
        <f>Table1[[#This Row],[Raw Terrestrial Score]]/Table1[[#This Row],[Summed Raw Scores]]</f>
        <v>0.271389780938181</v>
      </c>
      <c r="Z37" s="10">
        <v>508.22019999999998</v>
      </c>
      <c r="AA37" s="10">
        <f>Table1[[#This Row],[Raw Freshwater Score]]/Table1[[#This Row],[Summed Raw Scores]]</f>
        <v>0.728610219061819</v>
      </c>
      <c r="AB37" s="10">
        <f>Table1[[#This Row],[Raw Terrestrial Score]]+Table1[[#This Row],[Raw Freshwater Score]]</f>
        <v>697.52</v>
      </c>
      <c r="AC37" s="11">
        <f>Table1[[#This Row],[Terrestrial % of Summed Score]]*Table1[[#This Row],[Scaled Summed Score]]</f>
        <v>2.3260264324369097E-2</v>
      </c>
      <c r="AD37" s="11">
        <f>Table1[[#This Row],[Freshwater % of Summed Score]]*Table1[[#This Row],[Scaled Summed Score]]</f>
        <v>6.2447695068794183E-2</v>
      </c>
      <c r="AE37" s="11">
        <f>Table1[[#This Row],[Summed Raw Scores]]/MAX(Table1[Summed Raw Scores])</f>
        <v>8.570795939316328E-2</v>
      </c>
      <c r="AF37" s="1"/>
    </row>
    <row r="38" spans="1:32" x14ac:dyDescent="0.3">
      <c r="A38" s="8" t="s">
        <v>36</v>
      </c>
      <c r="B38" s="8" t="s">
        <v>237</v>
      </c>
      <c r="C38" s="8" t="s">
        <v>21</v>
      </c>
      <c r="D38" s="8" t="s">
        <v>250</v>
      </c>
      <c r="E38" s="9">
        <v>49.681317</v>
      </c>
      <c r="F38" s="9">
        <v>-126.12749599999999</v>
      </c>
      <c r="G38" s="9">
        <v>12.2</v>
      </c>
      <c r="H38" s="9">
        <v>13</v>
      </c>
      <c r="I38" s="9" t="s">
        <v>22</v>
      </c>
      <c r="J38" s="9">
        <v>107</v>
      </c>
      <c r="K38" s="9">
        <v>178.98</v>
      </c>
      <c r="L38" s="9" t="s">
        <v>22</v>
      </c>
      <c r="M38" s="9">
        <v>0</v>
      </c>
      <c r="N38" s="9">
        <v>13.988200000000001</v>
      </c>
      <c r="O38" s="9">
        <f>Table1[[#This Row],[R1 Length (km)]]+Table1[[#This Row],[T1 Length (km)]]</f>
        <v>13.988200000000001</v>
      </c>
      <c r="P38" s="8">
        <v>25</v>
      </c>
      <c r="Q38" s="9">
        <f>(Table1[[#This Row],[Linear Features (km)]]*0.4)*100</f>
        <v>559.52800000000002</v>
      </c>
      <c r="R38" s="1">
        <v>4</v>
      </c>
      <c r="S38" s="3">
        <f>Table1[[#This Row],[ATG (ha)]]/Table1[[#This Row],[Linear Area (ha)]]</f>
        <v>7.148882629644986E-3</v>
      </c>
      <c r="T38" s="2" t="s">
        <v>22</v>
      </c>
      <c r="U38" s="2" t="s">
        <v>22</v>
      </c>
      <c r="V38" s="1" t="s">
        <v>22</v>
      </c>
      <c r="W38" s="1" t="s">
        <v>22</v>
      </c>
      <c r="X38" s="10">
        <v>36.617170000000002</v>
      </c>
      <c r="Y38" s="10">
        <f>Table1[[#This Row],[Raw Terrestrial Score]]/Table1[[#This Row],[Summed Raw Scores]]</f>
        <v>0.18718791402615631</v>
      </c>
      <c r="Z38" s="10">
        <v>159</v>
      </c>
      <c r="AA38" s="10">
        <f>Table1[[#This Row],[Raw Freshwater Score]]/Table1[[#This Row],[Summed Raw Scores]]</f>
        <v>0.8128120859738438</v>
      </c>
      <c r="AB38" s="10">
        <f>Table1[[#This Row],[Raw Terrestrial Score]]+Table1[[#This Row],[Raw Freshwater Score]]</f>
        <v>195.61716999999999</v>
      </c>
      <c r="AC38" s="11">
        <f>Table1[[#This Row],[Terrestrial % of Summed Score]]*Table1[[#This Row],[Scaled Summed Score]]</f>
        <v>4.4993447061769656E-3</v>
      </c>
      <c r="AD38" s="11">
        <f>Table1[[#This Row],[Freshwater % of Summed Score]]*Table1[[#This Row],[Scaled Summed Score]]</f>
        <v>1.9537168172257372E-2</v>
      </c>
      <c r="AE38" s="11">
        <f>Table1[[#This Row],[Summed Raw Scores]]/MAX(Table1[Summed Raw Scores])</f>
        <v>2.4036512878434335E-2</v>
      </c>
      <c r="AF38" s="1"/>
    </row>
    <row r="39" spans="1:32" x14ac:dyDescent="0.3">
      <c r="A39" s="8" t="s">
        <v>38</v>
      </c>
      <c r="B39" s="8" t="s">
        <v>237</v>
      </c>
      <c r="C39" s="8" t="s">
        <v>21</v>
      </c>
      <c r="D39" s="8" t="s">
        <v>250</v>
      </c>
      <c r="E39" s="9">
        <v>49.101284</v>
      </c>
      <c r="F39" s="9">
        <v>-123.010378</v>
      </c>
      <c r="G39" s="9">
        <v>25.3</v>
      </c>
      <c r="H39" s="9">
        <v>27</v>
      </c>
      <c r="I39" s="9" t="s">
        <v>22</v>
      </c>
      <c r="J39" s="9">
        <v>222</v>
      </c>
      <c r="K39" s="9">
        <v>92.14</v>
      </c>
      <c r="L39" s="9" t="s">
        <v>22</v>
      </c>
      <c r="M39" s="9">
        <v>0</v>
      </c>
      <c r="N39" s="9">
        <v>2.5970599999999999</v>
      </c>
      <c r="O39" s="9">
        <f>Table1[[#This Row],[R1 Length (km)]]+Table1[[#This Row],[T1 Length (km)]]</f>
        <v>2.5970599999999999</v>
      </c>
      <c r="P39" s="8">
        <v>69</v>
      </c>
      <c r="Q39" s="9">
        <f>(Table1[[#This Row],[Linear Features (km)]]*0.4)*100</f>
        <v>103.88239999999999</v>
      </c>
      <c r="R39" s="1">
        <v>4</v>
      </c>
      <c r="S39" s="3">
        <f>Table1[[#This Row],[ATG (ha)]]/Table1[[#This Row],[Linear Area (ha)]]</f>
        <v>3.850507881989635E-2</v>
      </c>
      <c r="T39" s="2" t="s">
        <v>22</v>
      </c>
      <c r="U39" s="2" t="s">
        <v>22</v>
      </c>
      <c r="V39" s="1" t="s">
        <v>22</v>
      </c>
      <c r="W39" s="1" t="s">
        <v>22</v>
      </c>
      <c r="X39" s="10">
        <v>59.583350000000003</v>
      </c>
      <c r="Y39" s="10">
        <f>Table1[[#This Row],[Raw Terrestrial Score]]/Table1[[#This Row],[Summed Raw Scores]]</f>
        <v>0.49825790965046557</v>
      </c>
      <c r="Z39" s="10">
        <v>60</v>
      </c>
      <c r="AA39" s="10">
        <f>Table1[[#This Row],[Raw Freshwater Score]]/Table1[[#This Row],[Summed Raw Scores]]</f>
        <v>0.50174209034953443</v>
      </c>
      <c r="AB39" s="10">
        <f>Table1[[#This Row],[Raw Terrestrial Score]]+Table1[[#This Row],[Raw Freshwater Score]]</f>
        <v>119.58335</v>
      </c>
      <c r="AC39" s="11">
        <f>Table1[[#This Row],[Terrestrial % of Summed Score]]*Table1[[#This Row],[Scaled Summed Score]]</f>
        <v>7.3213203095375545E-3</v>
      </c>
      <c r="AD39" s="11">
        <f>Table1[[#This Row],[Freshwater % of Summed Score]]*Table1[[#This Row],[Scaled Summed Score]]</f>
        <v>7.372516291417875E-3</v>
      </c>
      <c r="AE39" s="11">
        <f>Table1[[#This Row],[Summed Raw Scores]]/MAX(Table1[Summed Raw Scores])</f>
        <v>1.469383660095543E-2</v>
      </c>
      <c r="AF39" s="1"/>
    </row>
    <row r="40" spans="1:32" x14ac:dyDescent="0.3">
      <c r="A40" s="8" t="s">
        <v>39</v>
      </c>
      <c r="B40" s="8" t="s">
        <v>237</v>
      </c>
      <c r="C40" s="8" t="s">
        <v>40</v>
      </c>
      <c r="D40" s="8" t="s">
        <v>250</v>
      </c>
      <c r="E40" s="9">
        <v>49.944439000000003</v>
      </c>
      <c r="F40" s="9">
        <v>-119.422766</v>
      </c>
      <c r="G40" s="9">
        <v>13.5</v>
      </c>
      <c r="H40" s="9">
        <v>14</v>
      </c>
      <c r="I40" s="9" t="s">
        <v>22</v>
      </c>
      <c r="J40" s="9">
        <v>118</v>
      </c>
      <c r="K40" s="9">
        <v>226.48</v>
      </c>
      <c r="L40" s="9" t="s">
        <v>22</v>
      </c>
      <c r="M40" s="9">
        <v>0</v>
      </c>
      <c r="N40" s="9">
        <v>19.576499999999999</v>
      </c>
      <c r="O40" s="9">
        <f>Table1[[#This Row],[R1 Length (km)]]+Table1[[#This Row],[T1 Length (km)]]</f>
        <v>19.576499999999999</v>
      </c>
      <c r="P40" s="8">
        <v>25</v>
      </c>
      <c r="Q40" s="9">
        <f>(Table1[[#This Row],[Linear Features (km)]]*0.4)*100</f>
        <v>783.06000000000006</v>
      </c>
      <c r="R40" s="1">
        <v>4</v>
      </c>
      <c r="S40" s="3">
        <f>Table1[[#This Row],[ATG (ha)]]/Table1[[#This Row],[Linear Area (ha)]]</f>
        <v>5.1081654023957292E-3</v>
      </c>
      <c r="T40" s="2" t="s">
        <v>22</v>
      </c>
      <c r="U40" s="2" t="s">
        <v>22</v>
      </c>
      <c r="V40" s="1" t="s">
        <v>22</v>
      </c>
      <c r="W40" s="1" t="s">
        <v>22</v>
      </c>
      <c r="X40" s="10">
        <v>389.75850000000003</v>
      </c>
      <c r="Y40" s="10">
        <f>Table1[[#This Row],[Raw Terrestrial Score]]/Table1[[#This Row],[Summed Raw Scores]]</f>
        <v>0.85145005499624804</v>
      </c>
      <c r="Z40" s="10">
        <v>68</v>
      </c>
      <c r="AA40" s="10">
        <f>Table1[[#This Row],[Raw Freshwater Score]]/Table1[[#This Row],[Summed Raw Scores]]</f>
        <v>0.14854994500375196</v>
      </c>
      <c r="AB40" s="10">
        <f>Table1[[#This Row],[Raw Terrestrial Score]]+Table1[[#This Row],[Raw Freshwater Score]]</f>
        <v>457.75850000000003</v>
      </c>
      <c r="AC40" s="11">
        <f>Table1[[#This Row],[Terrestrial % of Summed Score]]*Table1[[#This Row],[Scaled Summed Score]]</f>
        <v>4.7891681516143245E-2</v>
      </c>
      <c r="AD40" s="11">
        <f>Table1[[#This Row],[Freshwater % of Summed Score]]*Table1[[#This Row],[Scaled Summed Score]]</f>
        <v>8.3555184636069264E-3</v>
      </c>
      <c r="AE40" s="11">
        <f>Table1[[#This Row],[Summed Raw Scores]]/MAX(Table1[Summed Raw Scores])</f>
        <v>5.6247199979750168E-2</v>
      </c>
      <c r="AF40" s="1"/>
    </row>
    <row r="41" spans="1:32" x14ac:dyDescent="0.3">
      <c r="A41" s="8" t="s">
        <v>33</v>
      </c>
      <c r="B41" s="8" t="s">
        <v>24</v>
      </c>
      <c r="C41" s="8" t="s">
        <v>32</v>
      </c>
      <c r="D41" s="8" t="s">
        <v>250</v>
      </c>
      <c r="E41" s="9">
        <v>50.101612000000003</v>
      </c>
      <c r="F41" s="9">
        <v>-123.362587</v>
      </c>
      <c r="G41" s="9">
        <v>40.700000000000003</v>
      </c>
      <c r="H41" s="9">
        <v>31</v>
      </c>
      <c r="I41" s="9" t="s">
        <v>22</v>
      </c>
      <c r="J41" s="9">
        <v>232</v>
      </c>
      <c r="K41" s="9">
        <v>114.74</v>
      </c>
      <c r="L41" s="9" t="s">
        <v>22</v>
      </c>
      <c r="M41" s="9">
        <f>12486.3054484/1000</f>
        <v>12.4863054484</v>
      </c>
      <c r="N41" s="9">
        <f>64896.1864223/1000</f>
        <v>64.896186422300005</v>
      </c>
      <c r="O41" s="9">
        <f>Table1[[#This Row],[R1 Length (km)]]+Table1[[#This Row],[T1 Length (km)]]</f>
        <v>77.382491870700008</v>
      </c>
      <c r="P41" s="8">
        <v>69</v>
      </c>
      <c r="Q41" s="9">
        <f>(Table1[[#This Row],[Linear Features (km)]]*0.4)*100</f>
        <v>3095.2996748280002</v>
      </c>
      <c r="R41" s="1">
        <v>9.4</v>
      </c>
      <c r="S41" s="3">
        <f>Table1[[#This Row],[ATG (ha)]]/Table1[[#This Row],[Linear Area (ha)]]</f>
        <v>3.0368626587092377E-3</v>
      </c>
      <c r="T41" s="2" t="s">
        <v>22</v>
      </c>
      <c r="U41" s="2" t="s">
        <v>22</v>
      </c>
      <c r="V41" s="1" t="s">
        <v>22</v>
      </c>
      <c r="W41" s="1" t="s">
        <v>22</v>
      </c>
      <c r="X41" s="10">
        <v>727.4402</v>
      </c>
      <c r="Y41" s="10">
        <f>Table1[[#This Row],[Raw Terrestrial Score]]/Table1[[#This Row],[Summed Raw Scores]]</f>
        <v>0.32083317455747401</v>
      </c>
      <c r="Z41" s="10">
        <v>1539.9069999999999</v>
      </c>
      <c r="AA41" s="10">
        <f>Table1[[#This Row],[Raw Freshwater Score]]/Table1[[#This Row],[Summed Raw Scores]]</f>
        <v>0.67916682544252593</v>
      </c>
      <c r="AB41" s="10">
        <f>Table1[[#This Row],[Raw Terrestrial Score]]+Table1[[#This Row],[Raw Freshwater Score]]</f>
        <v>2267.3472000000002</v>
      </c>
      <c r="AC41" s="11">
        <f>Table1[[#This Row],[Terrestrial % of Summed Score]]*Table1[[#This Row],[Scaled Summed Score]]</f>
        <v>8.9384412092204629E-2</v>
      </c>
      <c r="AD41" s="11">
        <f>Table1[[#This Row],[Freshwater % of Summed Score]]*Table1[[#This Row],[Scaled Summed Score]]</f>
        <v>0.18921649074614044</v>
      </c>
      <c r="AE41" s="11">
        <f>Table1[[#This Row],[Summed Raw Scores]]/MAX(Table1[Summed Raw Scores])</f>
        <v>0.2786009028383451</v>
      </c>
      <c r="AF41" s="1"/>
    </row>
    <row r="42" spans="1:32" x14ac:dyDescent="0.3">
      <c r="A42" s="8" t="s">
        <v>104</v>
      </c>
      <c r="B42" s="8" t="s">
        <v>97</v>
      </c>
      <c r="C42" s="8" t="s">
        <v>32</v>
      </c>
      <c r="D42" s="8" t="s">
        <v>250</v>
      </c>
      <c r="E42" s="12">
        <v>49.9</v>
      </c>
      <c r="F42" s="12">
        <v>-122</v>
      </c>
      <c r="G42" s="9">
        <v>83.9</v>
      </c>
      <c r="H42" s="9">
        <v>40</v>
      </c>
      <c r="I42" s="9">
        <v>16</v>
      </c>
      <c r="J42" s="13">
        <v>371.8</v>
      </c>
      <c r="K42" s="13">
        <v>72.604934026208781</v>
      </c>
      <c r="L42" s="9" t="s">
        <v>22</v>
      </c>
      <c r="M42" s="9">
        <v>0.3</v>
      </c>
      <c r="N42" s="9">
        <v>53.3</v>
      </c>
      <c r="O42" s="9">
        <f>Table1[[#This Row],[R1 Length (km)]]+Table1[[#This Row],[T1 Length (km)]]</f>
        <v>53.599999999999994</v>
      </c>
      <c r="P42" s="8">
        <v>130</v>
      </c>
      <c r="Q42" s="9">
        <f>(Table1[[#This Row],[Linear Features (km)]]*0.4)*100</f>
        <v>2144</v>
      </c>
      <c r="R42" s="1">
        <v>53.32</v>
      </c>
      <c r="S42" s="3">
        <f>Table1[[#This Row],[ATG (ha)]]/Table1[[#This Row],[Linear Area (ha)]]</f>
        <v>2.4869402985074628E-2</v>
      </c>
      <c r="T42" s="2" t="s">
        <v>22</v>
      </c>
      <c r="U42" s="2" t="s">
        <v>22</v>
      </c>
      <c r="V42" s="1" t="s">
        <v>22</v>
      </c>
      <c r="W42" s="1" t="s">
        <v>22</v>
      </c>
      <c r="X42" s="10">
        <v>737.17359999999996</v>
      </c>
      <c r="Y42" s="10">
        <f>Table1[[#This Row],[Raw Terrestrial Score]]/Table1[[#This Row],[Summed Raw Scores]]</f>
        <v>0.48231154581479319</v>
      </c>
      <c r="Z42" s="10">
        <v>791.24429999999995</v>
      </c>
      <c r="AA42" s="10">
        <f>Table1[[#This Row],[Raw Freshwater Score]]/Table1[[#This Row],[Summed Raw Scores]]</f>
        <v>0.51768845418520681</v>
      </c>
      <c r="AB42" s="10">
        <f>Table1[[#This Row],[Raw Terrestrial Score]]+Table1[[#This Row],[Raw Freshwater Score]]</f>
        <v>1528.4178999999999</v>
      </c>
      <c r="AC42" s="11">
        <f>Table1[[#This Row],[Terrestrial % of Summed Score]]*Table1[[#This Row],[Scaled Summed Score]]</f>
        <v>9.0580406260052745E-2</v>
      </c>
      <c r="AD42" s="11">
        <f>Table1[[#This Row],[Freshwater % of Summed Score]]*Table1[[#This Row],[Scaled Summed Score]]</f>
        <v>9.7224358204025543E-2</v>
      </c>
      <c r="AE42" s="11">
        <f>Table1[[#This Row],[Summed Raw Scores]]/MAX(Table1[Summed Raw Scores])</f>
        <v>0.18780476446407829</v>
      </c>
      <c r="AF42" s="1"/>
    </row>
    <row r="43" spans="1:32" x14ac:dyDescent="0.3">
      <c r="A43" s="8" t="s">
        <v>105</v>
      </c>
      <c r="B43" s="8" t="s">
        <v>97</v>
      </c>
      <c r="C43" s="8" t="s">
        <v>30</v>
      </c>
      <c r="D43" s="8" t="s">
        <v>250</v>
      </c>
      <c r="E43" s="9">
        <v>56.33</v>
      </c>
      <c r="F43" s="9">
        <v>-128.69</v>
      </c>
      <c r="G43" s="9">
        <v>77.2</v>
      </c>
      <c r="H43" s="9">
        <v>40</v>
      </c>
      <c r="I43" s="9">
        <v>5</v>
      </c>
      <c r="J43" s="9">
        <v>286</v>
      </c>
      <c r="K43" s="9">
        <v>109.41</v>
      </c>
      <c r="L43" s="9" t="s">
        <v>22</v>
      </c>
      <c r="M43" s="9">
        <f>8100/1000</f>
        <v>8.1</v>
      </c>
      <c r="N43" s="9">
        <v>53.5441</v>
      </c>
      <c r="O43" s="9">
        <f>Table1[[#This Row],[R1 Length (km)]]+Table1[[#This Row],[T1 Length (km)]]</f>
        <v>61.644100000000002</v>
      </c>
      <c r="P43" s="8">
        <v>130</v>
      </c>
      <c r="Q43" s="9">
        <f>(Table1[[#This Row],[Linear Features (km)]]*0.4)*100</f>
        <v>2465.7640000000001</v>
      </c>
      <c r="R43" s="1">
        <v>347.8</v>
      </c>
      <c r="S43" s="3">
        <f>Table1[[#This Row],[ATG (ha)]]/Table1[[#This Row],[Linear Area (ha)]]</f>
        <v>0.14105161726750817</v>
      </c>
      <c r="T43" s="2" t="s">
        <v>22</v>
      </c>
      <c r="U43" s="2" t="s">
        <v>22</v>
      </c>
      <c r="V43" s="1" t="s">
        <v>22</v>
      </c>
      <c r="W43" s="1" t="s">
        <v>22</v>
      </c>
      <c r="X43" s="10">
        <v>407.82010000000002</v>
      </c>
      <c r="Y43" s="10">
        <f>Table1[[#This Row],[Raw Terrestrial Score]]/Table1[[#This Row],[Summed Raw Scores]]</f>
        <v>0.30335688237689751</v>
      </c>
      <c r="Z43" s="10">
        <v>936.53740000000005</v>
      </c>
      <c r="AA43" s="10">
        <f>Table1[[#This Row],[Raw Freshwater Score]]/Table1[[#This Row],[Summed Raw Scores]]</f>
        <v>0.69664311762310249</v>
      </c>
      <c r="AB43" s="10">
        <f>Table1[[#This Row],[Raw Terrestrial Score]]+Table1[[#This Row],[Raw Freshwater Score]]</f>
        <v>1344.3575000000001</v>
      </c>
      <c r="AC43" s="11">
        <f>Table1[[#This Row],[Terrestrial % of Summed Score]]*Table1[[#This Row],[Scaled Summed Score]]</f>
        <v>5.011100552029446E-2</v>
      </c>
      <c r="AD43" s="11">
        <f>Table1[[#This Row],[Freshwater % of Summed Score]]*Table1[[#This Row],[Scaled Summed Score]]</f>
        <v>0.11507728731703568</v>
      </c>
      <c r="AE43" s="11">
        <f>Table1[[#This Row],[Summed Raw Scores]]/MAX(Table1[Summed Raw Scores])</f>
        <v>0.16518829283733014</v>
      </c>
      <c r="AF43" s="1"/>
    </row>
    <row r="44" spans="1:32" x14ac:dyDescent="0.3">
      <c r="A44" s="8" t="s">
        <v>131</v>
      </c>
      <c r="B44" s="8" t="s">
        <v>114</v>
      </c>
      <c r="C44" s="8" t="s">
        <v>30</v>
      </c>
      <c r="D44" s="8" t="s">
        <v>250</v>
      </c>
      <c r="E44" s="9">
        <v>53.464523669999998</v>
      </c>
      <c r="F44" s="9">
        <v>-130.32914880000001</v>
      </c>
      <c r="G44" s="9">
        <v>345</v>
      </c>
      <c r="H44" s="8" t="s">
        <v>22</v>
      </c>
      <c r="I44" s="9">
        <v>82.8</v>
      </c>
      <c r="J44" s="1">
        <v>1150.2493200000001</v>
      </c>
      <c r="K44" s="1">
        <v>75.229339188373373</v>
      </c>
      <c r="L44" s="9" t="s">
        <v>22</v>
      </c>
      <c r="M44" s="9">
        <v>3.8769558105500002</v>
      </c>
      <c r="N44" s="9">
        <v>99.066101562499995</v>
      </c>
      <c r="O44" s="9">
        <f>Table1[[#This Row],[R1 Length (km)]]+Table1[[#This Row],[T1 Length (km)]]</f>
        <v>102.94305737305</v>
      </c>
      <c r="P44" s="8">
        <v>230</v>
      </c>
      <c r="Q44" s="9">
        <f>(Table1[[#This Row],[Linear Features (km)]]*0.4)*100</f>
        <v>4117.7222949220004</v>
      </c>
      <c r="R44" s="1">
        <f>((PI()*(45^2))*Table1[[#This Row],[Number of Turbines - WIND]])/10000</f>
        <v>43.895903352283383</v>
      </c>
      <c r="S44" s="3">
        <f>Table1[[#This Row],[ATG (ha)]]/Table1[[#This Row],[Linear Area (ha)]]</f>
        <v>1.066023889139296E-2</v>
      </c>
      <c r="T44" s="8" t="s">
        <v>115</v>
      </c>
      <c r="U44" s="8">
        <v>69</v>
      </c>
      <c r="V44" s="1" t="s">
        <v>22</v>
      </c>
      <c r="W44" s="1" t="s">
        <v>22</v>
      </c>
      <c r="X44" s="10">
        <f>1333.567+67.3643</f>
        <v>1400.9313</v>
      </c>
      <c r="Y44" s="10">
        <f>Table1[[#This Row],[Raw Terrestrial Score]]/Table1[[#This Row],[Summed Raw Scores]]</f>
        <v>0.2359310497860147</v>
      </c>
      <c r="Z44" s="10">
        <f>3968.208+568.7451</f>
        <v>4536.9530999999997</v>
      </c>
      <c r="AA44" s="10">
        <f>Table1[[#This Row],[Raw Freshwater Score]]/Table1[[#This Row],[Summed Raw Scores]]</f>
        <v>0.76406895021398524</v>
      </c>
      <c r="AB44" s="10">
        <f>Table1[[#This Row],[Raw Terrestrial Score]]+Table1[[#This Row],[Raw Freshwater Score]]</f>
        <v>5937.8843999999999</v>
      </c>
      <c r="AC44" s="11">
        <f>Table1[[#This Row],[Terrestrial % of Summed Score]]*Table1[[#This Row],[Scaled Summed Score]]</f>
        <v>0.17213981387345373</v>
      </c>
      <c r="AD44" s="11">
        <f>Table1[[#This Row],[Freshwater % of Summed Score]]*Table1[[#This Row],[Scaled Summed Score]]</f>
        <v>0.55747934405248056</v>
      </c>
      <c r="AE44" s="11">
        <f>Table1[[#This Row],[Summed Raw Scores]]/MAX(Table1[Summed Raw Scores])</f>
        <v>0.72961915792593435</v>
      </c>
      <c r="AF44" s="1"/>
    </row>
    <row r="45" spans="1:32" x14ac:dyDescent="0.3">
      <c r="A45" s="8" t="s">
        <v>132</v>
      </c>
      <c r="B45" s="8" t="s">
        <v>114</v>
      </c>
      <c r="C45" s="8" t="s">
        <v>30</v>
      </c>
      <c r="D45" s="8" t="s">
        <v>250</v>
      </c>
      <c r="E45" s="9">
        <v>53.66880613</v>
      </c>
      <c r="F45" s="9">
        <v>-130.29157169999999</v>
      </c>
      <c r="G45" s="9">
        <v>234</v>
      </c>
      <c r="H45" s="8" t="s">
        <v>22</v>
      </c>
      <c r="I45" s="9">
        <v>56.4</v>
      </c>
      <c r="J45" s="1">
        <v>723.39204000000007</v>
      </c>
      <c r="K45" s="1">
        <v>84.952197534795616</v>
      </c>
      <c r="L45" s="9" t="s">
        <v>22</v>
      </c>
      <c r="M45" s="9">
        <v>3.9355344238300001</v>
      </c>
      <c r="N45" s="9">
        <v>78.465390624999998</v>
      </c>
      <c r="O45" s="9">
        <f>Table1[[#This Row],[R1 Length (km)]]+Table1[[#This Row],[T1 Length (km)]]</f>
        <v>82.400925048830004</v>
      </c>
      <c r="P45" s="8">
        <v>230</v>
      </c>
      <c r="Q45" s="9">
        <f>(Table1[[#This Row],[Linear Features (km)]]*0.4)*100</f>
        <v>3296.0370019532002</v>
      </c>
      <c r="R45" s="1">
        <f>((PI()*(45^2))*Table1[[#This Row],[Number of Turbines - WIND]])/10000</f>
        <v>29.900108080540853</v>
      </c>
      <c r="S45" s="3">
        <f>Table1[[#This Row],[ATG (ha)]]/Table1[[#This Row],[Linear Area (ha)]]</f>
        <v>9.0715328932358258E-3</v>
      </c>
      <c r="T45" s="8" t="s">
        <v>115</v>
      </c>
      <c r="U45" s="8">
        <v>47</v>
      </c>
      <c r="V45" s="1" t="s">
        <v>22</v>
      </c>
      <c r="W45" s="1" t="s">
        <v>22</v>
      </c>
      <c r="X45" s="10">
        <f>298.5236+39.63728</f>
        <v>338.16087999999996</v>
      </c>
      <c r="Y45" s="10">
        <f>Table1[[#This Row],[Raw Terrestrial Score]]/Table1[[#This Row],[Summed Raw Scores]]</f>
        <v>0.15485274904677149</v>
      </c>
      <c r="Z45" s="10">
        <f>1487.473+358.1238</f>
        <v>1845.5968</v>
      </c>
      <c r="AA45" s="10">
        <f>Table1[[#This Row],[Raw Freshwater Score]]/Table1[[#This Row],[Summed Raw Scores]]</f>
        <v>0.8451472509532284</v>
      </c>
      <c r="AB45" s="10">
        <f>Table1[[#This Row],[Raw Terrestrial Score]]+Table1[[#This Row],[Raw Freshwater Score]]</f>
        <v>2183.7576800000002</v>
      </c>
      <c r="AC45" s="11">
        <f>Table1[[#This Row],[Terrestrial % of Summed Score]]*Table1[[#This Row],[Scaled Summed Score]]</f>
        <v>4.1551609948670083E-2</v>
      </c>
      <c r="AD45" s="11">
        <f>Table1[[#This Row],[Freshwater % of Summed Score]]*Table1[[#This Row],[Scaled Summed Score]]</f>
        <v>0.22677820792314499</v>
      </c>
      <c r="AE45" s="11">
        <f>Table1[[#This Row],[Summed Raw Scores]]/MAX(Table1[Summed Raw Scores])</f>
        <v>0.26832981787181509</v>
      </c>
      <c r="AF45" s="1"/>
    </row>
    <row r="46" spans="1:32" x14ac:dyDescent="0.3">
      <c r="A46" s="8" t="s">
        <v>133</v>
      </c>
      <c r="B46" s="8" t="s">
        <v>114</v>
      </c>
      <c r="C46" s="8" t="s">
        <v>30</v>
      </c>
      <c r="D46" s="8"/>
      <c r="E46" s="9">
        <v>52.636803919999998</v>
      </c>
      <c r="F46" s="9">
        <v>-129.0720259</v>
      </c>
      <c r="G46" s="9">
        <v>261</v>
      </c>
      <c r="H46" s="8" t="s">
        <v>22</v>
      </c>
      <c r="I46" s="9">
        <v>62.4</v>
      </c>
      <c r="J46" s="9">
        <v>720.63264000000004</v>
      </c>
      <c r="K46" s="9">
        <v>135.21545013418904</v>
      </c>
      <c r="L46" s="9" t="s">
        <v>22</v>
      </c>
      <c r="M46" s="9">
        <v>4.9254838867199995</v>
      </c>
      <c r="N46" s="9">
        <v>214.113828125</v>
      </c>
      <c r="O46" s="9">
        <f>Table1[[#This Row],[R1 Length (km)]]+Table1[[#This Row],[T1 Length (km)]]</f>
        <v>219.03931201172</v>
      </c>
      <c r="P46" s="8">
        <v>230</v>
      </c>
      <c r="Q46" s="9">
        <f>(Table1[[#This Row],[Linear Features (km)]]*0.4)*100</f>
        <v>8761.5724804687998</v>
      </c>
      <c r="R46" s="1">
        <f>((PI()*(45^2))*Table1[[#This Row],[Number of Turbines - WIND]])/10000</f>
        <v>33.080970642300521</v>
      </c>
      <c r="S46" s="3">
        <f>Table1[[#This Row],[ATG (ha)]]/Table1[[#This Row],[Linear Area (ha)]]</f>
        <v>3.7756887494846676E-3</v>
      </c>
      <c r="T46" s="8" t="s">
        <v>115</v>
      </c>
      <c r="U46" s="8">
        <v>52</v>
      </c>
      <c r="V46" s="1" t="s">
        <v>22</v>
      </c>
      <c r="W46" s="1" t="s">
        <v>22</v>
      </c>
      <c r="X46" s="10">
        <f>1432.2+44.69192</f>
        <v>1476.89192</v>
      </c>
      <c r="Y46" s="10">
        <f>Table1[[#This Row],[Raw Terrestrial Score]]/Table1[[#This Row],[Summed Raw Scores]]</f>
        <v>0.34511909293391796</v>
      </c>
      <c r="Z46" s="10">
        <v>2802.4769999999999</v>
      </c>
      <c r="AA46" s="10">
        <f>Table1[[#This Row],[Raw Freshwater Score]]/Table1[[#This Row],[Summed Raw Scores]]</f>
        <v>0.65488090706608204</v>
      </c>
      <c r="AB46" s="10">
        <f>Table1[[#This Row],[Raw Terrestrial Score]]+Table1[[#This Row],[Raw Freshwater Score]]</f>
        <v>4279.3689199999999</v>
      </c>
      <c r="AC46" s="11">
        <f>Table1[[#This Row],[Terrestrial % of Summed Score]]*Table1[[#This Row],[Scaled Summed Score]]</f>
        <v>0.18147349568105711</v>
      </c>
      <c r="AD46" s="11">
        <f>Table1[[#This Row],[Freshwater % of Summed Score]]*Table1[[#This Row],[Scaled Summed Score]]</f>
        <v>0.34435512231373155</v>
      </c>
      <c r="AE46" s="39">
        <f>Table1[[#This Row],[Summed Raw Scores]]/MAX(Table1[Summed Raw Scores])</f>
        <v>0.52582861799478864</v>
      </c>
      <c r="AF46" s="1"/>
    </row>
    <row r="47" spans="1:32" x14ac:dyDescent="0.3">
      <c r="A47" s="8" t="s">
        <v>134</v>
      </c>
      <c r="B47" s="8" t="s">
        <v>114</v>
      </c>
      <c r="C47" s="8" t="s">
        <v>30</v>
      </c>
      <c r="D47" s="8"/>
      <c r="E47" s="9">
        <v>52.347802309999999</v>
      </c>
      <c r="F47" s="9">
        <v>-128.68156629999999</v>
      </c>
      <c r="G47" s="9">
        <v>198</v>
      </c>
      <c r="H47" s="8" t="s">
        <v>22</v>
      </c>
      <c r="I47" s="9">
        <v>48</v>
      </c>
      <c r="J47" s="9">
        <v>595.50479999999993</v>
      </c>
      <c r="K47" s="9">
        <v>134.62651943639156</v>
      </c>
      <c r="L47" s="9" t="s">
        <v>22</v>
      </c>
      <c r="M47" s="9">
        <v>2.7656855468799999</v>
      </c>
      <c r="N47" s="9">
        <v>220.113828125</v>
      </c>
      <c r="O47" s="9">
        <f>Table1[[#This Row],[R1 Length (km)]]+Table1[[#This Row],[T1 Length (km)]]</f>
        <v>222.87951367188001</v>
      </c>
      <c r="P47" s="8">
        <v>230</v>
      </c>
      <c r="Q47" s="9">
        <f>(Table1[[#This Row],[Linear Features (km)]]*0.4)*100</f>
        <v>8915.1805468752009</v>
      </c>
      <c r="R47" s="1">
        <f>((PI()*(45^2))*Table1[[#This Row],[Number of Turbines - WIND]])/10000</f>
        <v>25.446900494077326</v>
      </c>
      <c r="S47" s="3">
        <f>Table1[[#This Row],[ATG (ha)]]/Table1[[#This Row],[Linear Area (ha)]]</f>
        <v>2.8543337244018624E-3</v>
      </c>
      <c r="T47" s="8" t="s">
        <v>115</v>
      </c>
      <c r="U47" s="8">
        <v>40</v>
      </c>
      <c r="V47" s="1" t="s">
        <v>22</v>
      </c>
      <c r="W47" s="1" t="s">
        <v>22</v>
      </c>
      <c r="X47" s="10">
        <f>1916.306+19.2339</f>
        <v>1935.5399</v>
      </c>
      <c r="Y47" s="10">
        <f>Table1[[#This Row],[Raw Terrestrial Score]]/Table1[[#This Row],[Summed Raw Scores]]</f>
        <v>0.38438859215372112</v>
      </c>
      <c r="Z47" s="10">
        <v>3099.8330000000001</v>
      </c>
      <c r="AA47" s="10">
        <f>Table1[[#This Row],[Raw Freshwater Score]]/Table1[[#This Row],[Summed Raw Scores]]</f>
        <v>0.61561140784627888</v>
      </c>
      <c r="AB47" s="10">
        <f>Table1[[#This Row],[Raw Terrestrial Score]]+Table1[[#This Row],[Raw Freshwater Score]]</f>
        <v>5035.3729000000003</v>
      </c>
      <c r="AC47" s="11">
        <f>Table1[[#This Row],[Terrestrial % of Summed Score]]*Table1[[#This Row],[Scaled Summed Score]]</f>
        <v>0.23782999075732211</v>
      </c>
      <c r="AD47" s="11">
        <f>Table1[[#This Row],[Freshwater % of Summed Score]]*Table1[[#This Row],[Scaled Summed Score]]</f>
        <v>0.38089282155291249</v>
      </c>
      <c r="AE47" s="39">
        <f>Table1[[#This Row],[Summed Raw Scores]]/MAX(Table1[Summed Raw Scores])</f>
        <v>0.61872281231023463</v>
      </c>
      <c r="AF47" s="1"/>
    </row>
    <row r="48" spans="1:32" x14ac:dyDescent="0.3">
      <c r="A48" s="8" t="s">
        <v>135</v>
      </c>
      <c r="B48" s="8" t="s">
        <v>114</v>
      </c>
      <c r="C48" s="8" t="s">
        <v>30</v>
      </c>
      <c r="D48" s="8" t="s">
        <v>250</v>
      </c>
      <c r="E48" s="9">
        <v>54.2217287</v>
      </c>
      <c r="F48" s="9">
        <v>-126.3493254</v>
      </c>
      <c r="G48" s="9">
        <v>117</v>
      </c>
      <c r="H48" s="8" t="s">
        <v>22</v>
      </c>
      <c r="I48" s="9">
        <v>27.599999999999998</v>
      </c>
      <c r="J48" s="9">
        <v>338.78861999999998</v>
      </c>
      <c r="K48" s="9">
        <v>78.174797926861075</v>
      </c>
      <c r="L48" s="9" t="s">
        <v>22</v>
      </c>
      <c r="M48" s="9">
        <v>1.0656854248000001</v>
      </c>
      <c r="N48" s="9">
        <v>28.352900390624999</v>
      </c>
      <c r="O48" s="9">
        <f>Table1[[#This Row],[R1 Length (km)]]+Table1[[#This Row],[T1 Length (km)]]</f>
        <v>29.418585815425001</v>
      </c>
      <c r="P48" s="8">
        <v>130</v>
      </c>
      <c r="Q48" s="9">
        <f>(Table1[[#This Row],[Linear Features (km)]]*0.4)*100</f>
        <v>1176.7434326170001</v>
      </c>
      <c r="R48" s="1">
        <v>14.63</v>
      </c>
      <c r="S48" s="3">
        <f>Table1[[#This Row],[ATG (ha)]]/Table1[[#This Row],[Linear Area (ha)]]</f>
        <v>1.2432616655836219E-2</v>
      </c>
      <c r="T48" s="8" t="s">
        <v>136</v>
      </c>
      <c r="U48" s="2" t="s">
        <v>22</v>
      </c>
      <c r="V48" s="1" t="s">
        <v>22</v>
      </c>
      <c r="W48" s="1" t="s">
        <v>22</v>
      </c>
      <c r="X48" s="10">
        <v>223.81370000000001</v>
      </c>
      <c r="Y48" s="10">
        <f>Table1[[#This Row],[Raw Terrestrial Score]]/Table1[[#This Row],[Summed Raw Scores]]</f>
        <v>0.20990328346294082</v>
      </c>
      <c r="Z48" s="10">
        <v>842.45690000000002</v>
      </c>
      <c r="AA48" s="10">
        <f>Table1[[#This Row],[Raw Freshwater Score]]/Table1[[#This Row],[Summed Raw Scores]]</f>
        <v>0.79009671653705915</v>
      </c>
      <c r="AB48" s="10">
        <f>Table1[[#This Row],[Raw Terrestrial Score]]+Table1[[#This Row],[Raw Freshwater Score]]</f>
        <v>1066.2706000000001</v>
      </c>
      <c r="AC48" s="11">
        <f>Table1[[#This Row],[Terrestrial % of Summed Score]]*Table1[[#This Row],[Scaled Summed Score]]</f>
        <v>2.7501169158208549E-2</v>
      </c>
      <c r="AD48" s="11">
        <f>Table1[[#This Row],[Freshwater % of Summed Score]]*Table1[[#This Row],[Scaled Summed Score]]</f>
        <v>0.10351712033445667</v>
      </c>
      <c r="AE48" s="11">
        <f>Table1[[#This Row],[Summed Raw Scores]]/MAX(Table1[Summed Raw Scores])</f>
        <v>0.13101828949266522</v>
      </c>
      <c r="AF48" s="1"/>
    </row>
    <row r="49" spans="1:32" x14ac:dyDescent="0.3">
      <c r="A49" s="8" t="s">
        <v>137</v>
      </c>
      <c r="B49" s="8" t="s">
        <v>114</v>
      </c>
      <c r="C49" s="8" t="s">
        <v>30</v>
      </c>
      <c r="D49" s="8" t="s">
        <v>250</v>
      </c>
      <c r="E49" s="9">
        <v>54.280761560000002</v>
      </c>
      <c r="F49" s="9">
        <v>-125.5268817</v>
      </c>
      <c r="G49" s="9">
        <v>195</v>
      </c>
      <c r="H49" s="8" t="s">
        <v>22</v>
      </c>
      <c r="I49" s="9">
        <v>46.8</v>
      </c>
      <c r="J49" s="9">
        <v>516.38886000000002</v>
      </c>
      <c r="K49" s="9">
        <v>84.12008727319369</v>
      </c>
      <c r="L49" s="9" t="s">
        <v>22</v>
      </c>
      <c r="M49" s="9">
        <v>1.48994958496</v>
      </c>
      <c r="N49" s="9">
        <v>42.6198046875</v>
      </c>
      <c r="O49" s="9">
        <f>Table1[[#This Row],[R1 Length (km)]]+Table1[[#This Row],[T1 Length (km)]]</f>
        <v>44.109754272460002</v>
      </c>
      <c r="P49" s="8">
        <v>230</v>
      </c>
      <c r="Q49" s="9">
        <f>(Table1[[#This Row],[Linear Features (km)]]*0.4)*100</f>
        <v>1764.3901708983999</v>
      </c>
      <c r="R49" s="1">
        <f>((PI()*(45^2))*Table1[[#This Row],[Number of Turbines - WIND]])/10000</f>
        <v>24.810727981725389</v>
      </c>
      <c r="S49" s="3">
        <f>Table1[[#This Row],[ATG (ha)]]/Table1[[#This Row],[Linear Area (ha)]]</f>
        <v>1.4061928246342562E-2</v>
      </c>
      <c r="T49" s="8" t="s">
        <v>115</v>
      </c>
      <c r="U49" s="8">
        <v>39</v>
      </c>
      <c r="V49" s="1" t="s">
        <v>22</v>
      </c>
      <c r="W49" s="1" t="s">
        <v>22</v>
      </c>
      <c r="X49" s="10">
        <f>155.6681+2.067903</f>
        <v>157.73600300000001</v>
      </c>
      <c r="Y49" s="10">
        <f>Table1[[#This Row],[Raw Terrestrial Score]]/Table1[[#This Row],[Summed Raw Scores]]</f>
        <v>0.14122986138754418</v>
      </c>
      <c r="Z49" s="10">
        <f>706.4183+252.72</f>
        <v>959.13830000000007</v>
      </c>
      <c r="AA49" s="10">
        <f>Table1[[#This Row],[Raw Freshwater Score]]/Table1[[#This Row],[Summed Raw Scores]]</f>
        <v>0.85877013861245588</v>
      </c>
      <c r="AB49" s="10">
        <f>Table1[[#This Row],[Raw Terrestrial Score]]+Table1[[#This Row],[Raw Freshwater Score]]</f>
        <v>1116.8743030000001</v>
      </c>
      <c r="AC49" s="11">
        <f>Table1[[#This Row],[Terrestrial % of Summed Score]]*Table1[[#This Row],[Scaled Summed Score]]</f>
        <v>1.9381854197677319E-2</v>
      </c>
      <c r="AD49" s="11">
        <f>Table1[[#This Row],[Freshwater % of Summed Score]]*Table1[[#This Row],[Scaled Summed Score]]</f>
        <v>0.11785437904121411</v>
      </c>
      <c r="AE49" s="11">
        <f>Table1[[#This Row],[Summed Raw Scores]]/MAX(Table1[Summed Raw Scores])</f>
        <v>0.13723623323889142</v>
      </c>
      <c r="AF49" s="1"/>
    </row>
    <row r="50" spans="1:32" x14ac:dyDescent="0.3">
      <c r="A50" s="8" t="s">
        <v>138</v>
      </c>
      <c r="B50" s="8" t="s">
        <v>114</v>
      </c>
      <c r="C50" s="8" t="s">
        <v>30</v>
      </c>
      <c r="D50" s="8" t="s">
        <v>250</v>
      </c>
      <c r="E50" s="9">
        <v>53.731754780000003</v>
      </c>
      <c r="F50" s="9">
        <v>-124.2257591</v>
      </c>
      <c r="G50" s="9">
        <v>333</v>
      </c>
      <c r="H50" s="8" t="s">
        <v>22</v>
      </c>
      <c r="I50" s="9">
        <v>80.399999999999991</v>
      </c>
      <c r="J50" s="9">
        <v>1126.00602</v>
      </c>
      <c r="K50" s="9">
        <v>61.8691277592863</v>
      </c>
      <c r="L50" s="9" t="s">
        <v>22</v>
      </c>
      <c r="M50" s="9">
        <v>0.241421356201</v>
      </c>
      <c r="N50" s="9">
        <v>34.152187499999997</v>
      </c>
      <c r="O50" s="9">
        <f>Table1[[#This Row],[R1 Length (km)]]+Table1[[#This Row],[T1 Length (km)]]</f>
        <v>34.393608856200999</v>
      </c>
      <c r="P50" s="8">
        <v>230</v>
      </c>
      <c r="Q50" s="9">
        <f>(Table1[[#This Row],[Linear Features (km)]]*0.4)*100</f>
        <v>1375.7443542480401</v>
      </c>
      <c r="R50" s="1">
        <f>((PI()*(45^2))*Table1[[#This Row],[Number of Turbines - WIND]])/10000</f>
        <v>42.623558327579516</v>
      </c>
      <c r="S50" s="3">
        <f>Table1[[#This Row],[ATG (ha)]]/Table1[[#This Row],[Linear Area (ha)]]</f>
        <v>3.0982179353283172E-2</v>
      </c>
      <c r="T50" s="8" t="s">
        <v>115</v>
      </c>
      <c r="U50" s="8">
        <v>67</v>
      </c>
      <c r="V50" s="1" t="s">
        <v>22</v>
      </c>
      <c r="W50" s="1" t="s">
        <v>22</v>
      </c>
      <c r="X50" s="10">
        <f>251.7909+10.74379</f>
        <v>262.53469000000001</v>
      </c>
      <c r="Y50" s="10">
        <f>Table1[[#This Row],[Raw Terrestrial Score]]/Table1[[#This Row],[Summed Raw Scores]]</f>
        <v>0.14988030655966711</v>
      </c>
      <c r="Z50" s="10">
        <f>1104.322+384.7723</f>
        <v>1489.0942999999997</v>
      </c>
      <c r="AA50" s="10">
        <f>Table1[[#This Row],[Raw Freshwater Score]]/Table1[[#This Row],[Summed Raw Scores]]</f>
        <v>0.85011969344033289</v>
      </c>
      <c r="AB50" s="10">
        <f>Table1[[#This Row],[Raw Terrestrial Score]]+Table1[[#This Row],[Raw Freshwater Score]]</f>
        <v>1751.6289899999997</v>
      </c>
      <c r="AC50" s="11">
        <f>Table1[[#This Row],[Terrestrial % of Summed Score]]*Table1[[#This Row],[Scaled Summed Score]]</f>
        <v>3.2259021318122361E-2</v>
      </c>
      <c r="AD50" s="11">
        <f>Table1[[#This Row],[Freshwater % of Summed Score]]*Table1[[#This Row],[Scaled Summed Score]]</f>
        <v>0.18297286643679159</v>
      </c>
      <c r="AE50" s="11">
        <f>Table1[[#This Row],[Summed Raw Scores]]/MAX(Table1[Summed Raw Scores])</f>
        <v>0.21523188775491395</v>
      </c>
      <c r="AF50" s="1"/>
    </row>
    <row r="51" spans="1:32" x14ac:dyDescent="0.3">
      <c r="A51" s="8" t="s">
        <v>139</v>
      </c>
      <c r="B51" s="8" t="s">
        <v>114</v>
      </c>
      <c r="C51" s="8" t="s">
        <v>59</v>
      </c>
      <c r="D51" s="8" t="s">
        <v>250</v>
      </c>
      <c r="E51" s="9">
        <v>53.603466359999999</v>
      </c>
      <c r="F51" s="9">
        <v>-122.39073879999999</v>
      </c>
      <c r="G51" s="9">
        <v>96</v>
      </c>
      <c r="H51" s="8" t="s">
        <v>22</v>
      </c>
      <c r="I51" s="9">
        <v>22.8</v>
      </c>
      <c r="J51" s="9">
        <v>300.25776000000002</v>
      </c>
      <c r="K51" s="9">
        <v>81.417215013863583</v>
      </c>
      <c r="L51" s="9" t="s">
        <v>22</v>
      </c>
      <c r="M51" s="9">
        <v>2.6384777831999999</v>
      </c>
      <c r="N51" s="9">
        <v>33.161730468750001</v>
      </c>
      <c r="O51" s="9">
        <f>Table1[[#This Row],[R1 Length (km)]]+Table1[[#This Row],[T1 Length (km)]]</f>
        <v>35.800208251950004</v>
      </c>
      <c r="P51" s="8">
        <v>230</v>
      </c>
      <c r="Q51" s="9">
        <f>(Table1[[#This Row],[Linear Features (km)]]*0.4)*100</f>
        <v>1432.0083300780002</v>
      </c>
      <c r="R51" s="1">
        <v>12.09</v>
      </c>
      <c r="S51" s="3">
        <f>Table1[[#This Row],[ATG (ha)]]/Table1[[#This Row],[Linear Area (ha)]]</f>
        <v>8.4426883182596203E-3</v>
      </c>
      <c r="T51" s="8" t="s">
        <v>136</v>
      </c>
      <c r="U51" s="2" t="s">
        <v>22</v>
      </c>
      <c r="V51" s="1" t="s">
        <v>22</v>
      </c>
      <c r="W51" s="1" t="s">
        <v>22</v>
      </c>
      <c r="X51" s="10">
        <v>251.5129</v>
      </c>
      <c r="Y51" s="10">
        <f>Table1[[#This Row],[Raw Terrestrial Score]]/Table1[[#This Row],[Summed Raw Scores]]</f>
        <v>0.32552012924880663</v>
      </c>
      <c r="Z51" s="10">
        <v>521.13639999999998</v>
      </c>
      <c r="AA51" s="10">
        <f>Table1[[#This Row],[Raw Freshwater Score]]/Table1[[#This Row],[Summed Raw Scores]]</f>
        <v>0.67447987075119331</v>
      </c>
      <c r="AB51" s="10">
        <f>Table1[[#This Row],[Raw Terrestrial Score]]+Table1[[#This Row],[Raw Freshwater Score]]</f>
        <v>772.64930000000004</v>
      </c>
      <c r="AC51" s="11">
        <f>Table1[[#This Row],[Terrestrial % of Summed Score]]*Table1[[#This Row],[Scaled Summed Score]]</f>
        <v>3.0904715879195917E-2</v>
      </c>
      <c r="AD51" s="11">
        <f>Table1[[#This Row],[Freshwater % of Summed Score]]*Table1[[#This Row],[Scaled Summed Score]]</f>
        <v>6.4034776650847711E-2</v>
      </c>
      <c r="AE51" s="11">
        <f>Table1[[#This Row],[Summed Raw Scores]]/MAX(Table1[Summed Raw Scores])</f>
        <v>9.4939492530043634E-2</v>
      </c>
      <c r="AF51" s="1"/>
    </row>
    <row r="52" spans="1:32" x14ac:dyDescent="0.3">
      <c r="A52" s="8" t="s">
        <v>140</v>
      </c>
      <c r="B52" s="8" t="s">
        <v>114</v>
      </c>
      <c r="C52" s="8" t="s">
        <v>59</v>
      </c>
      <c r="D52" s="8"/>
      <c r="E52" s="9">
        <v>53.187641970000001</v>
      </c>
      <c r="F52" s="9">
        <v>-121.9923874</v>
      </c>
      <c r="G52" s="9">
        <v>75</v>
      </c>
      <c r="H52" s="8" t="s">
        <v>22</v>
      </c>
      <c r="I52" s="9">
        <v>18</v>
      </c>
      <c r="J52" s="9">
        <v>212.47380000000001</v>
      </c>
      <c r="K52" s="9">
        <v>98.4377501225039</v>
      </c>
      <c r="L52" s="9" t="s">
        <v>22</v>
      </c>
      <c r="M52" s="9">
        <v>1.8970565185499999</v>
      </c>
      <c r="N52" s="9">
        <v>36.525691406249997</v>
      </c>
      <c r="O52" s="9">
        <f>Table1[[#This Row],[R1 Length (km)]]+Table1[[#This Row],[T1 Length (km)]]</f>
        <v>38.422747924799999</v>
      </c>
      <c r="P52" s="8">
        <v>230</v>
      </c>
      <c r="Q52" s="9">
        <f>(Table1[[#This Row],[Linear Features (km)]]*0.4)*100</f>
        <v>1536.909916992</v>
      </c>
      <c r="R52" s="1">
        <f>1110924/10000</f>
        <v>111.0924</v>
      </c>
      <c r="S52" s="3">
        <f>Table1[[#This Row],[ATG (ha)]]/Table1[[#This Row],[Linear Area (ha)]]</f>
        <v>7.2282961266478873E-2</v>
      </c>
      <c r="T52" s="8" t="s">
        <v>136</v>
      </c>
      <c r="U52" s="2" t="s">
        <v>22</v>
      </c>
      <c r="V52" s="1" t="s">
        <v>22</v>
      </c>
      <c r="W52" s="1" t="s">
        <v>22</v>
      </c>
      <c r="X52" s="10">
        <v>319.48070000000001</v>
      </c>
      <c r="Y52" s="10">
        <f>Table1[[#This Row],[Raw Terrestrial Score]]/Table1[[#This Row],[Summed Raw Scores]]</f>
        <v>0.4045706454678259</v>
      </c>
      <c r="Z52" s="10">
        <v>470.1977</v>
      </c>
      <c r="AA52" s="10">
        <f>Table1[[#This Row],[Raw Freshwater Score]]/Table1[[#This Row],[Summed Raw Scores]]</f>
        <v>0.59542935453217405</v>
      </c>
      <c r="AB52" s="10">
        <f>Table1[[#This Row],[Raw Terrestrial Score]]+Table1[[#This Row],[Raw Freshwater Score]]</f>
        <v>789.67840000000001</v>
      </c>
      <c r="AC52" s="11">
        <f>Table1[[#This Row],[Terrestrial % of Summed Score]]*Table1[[#This Row],[Scaled Summed Score]]</f>
        <v>3.9256277759059786E-2</v>
      </c>
      <c r="AD52" s="11">
        <f>Table1[[#This Row],[Freshwater % of Summed Score]]*Table1[[#This Row],[Scaled Summed Score]]</f>
        <v>5.7775670057286913E-2</v>
      </c>
      <c r="AE52" s="39">
        <f>Table1[[#This Row],[Summed Raw Scores]]/MAX(Table1[Summed Raw Scores])</f>
        <v>9.7031947816346706E-2</v>
      </c>
      <c r="AF52" s="1"/>
    </row>
    <row r="53" spans="1:32" x14ac:dyDescent="0.3">
      <c r="A53" s="8" t="s">
        <v>141</v>
      </c>
      <c r="B53" s="8" t="s">
        <v>114</v>
      </c>
      <c r="C53" s="8" t="s">
        <v>30</v>
      </c>
      <c r="D53" s="8" t="s">
        <v>250</v>
      </c>
      <c r="E53" s="9">
        <v>53.759855649999999</v>
      </c>
      <c r="F53" s="9">
        <v>-123.8971043</v>
      </c>
      <c r="G53" s="9">
        <v>75</v>
      </c>
      <c r="H53" s="8" t="s">
        <v>22</v>
      </c>
      <c r="I53" s="9">
        <v>18</v>
      </c>
      <c r="J53" s="9">
        <v>246.9006</v>
      </c>
      <c r="K53" s="9">
        <v>84.536178019825769</v>
      </c>
      <c r="L53" s="9" t="s">
        <v>22</v>
      </c>
      <c r="M53" s="9">
        <v>1.95563513184</v>
      </c>
      <c r="N53" s="9">
        <v>31.794826171874998</v>
      </c>
      <c r="O53" s="9">
        <f>Table1[[#This Row],[R1 Length (km)]]+Table1[[#This Row],[T1 Length (km)]]</f>
        <v>33.750461303714999</v>
      </c>
      <c r="P53" s="8">
        <v>230</v>
      </c>
      <c r="Q53" s="9">
        <f>(Table1[[#This Row],[Linear Features (km)]]*0.4)*100</f>
        <v>1350.0184521486001</v>
      </c>
      <c r="R53" s="1">
        <v>9.5399999999999991</v>
      </c>
      <c r="S53" s="3">
        <f>Table1[[#This Row],[ATG (ha)]]/Table1[[#This Row],[Linear Area (ha)]]</f>
        <v>7.0665700789620811E-3</v>
      </c>
      <c r="T53" s="8" t="s">
        <v>136</v>
      </c>
      <c r="U53" s="2" t="s">
        <v>22</v>
      </c>
      <c r="V53" s="1" t="s">
        <v>22</v>
      </c>
      <c r="W53" s="1" t="s">
        <v>22</v>
      </c>
      <c r="X53" s="10">
        <v>445.17739999999998</v>
      </c>
      <c r="Y53" s="10">
        <f>Table1[[#This Row],[Raw Terrestrial Score]]/Table1[[#This Row],[Summed Raw Scores]]</f>
        <v>0.28559908347037694</v>
      </c>
      <c r="Z53" s="10">
        <v>1113.5719999999999</v>
      </c>
      <c r="AA53" s="10">
        <f>Table1[[#This Row],[Raw Freshwater Score]]/Table1[[#This Row],[Summed Raw Scores]]</f>
        <v>0.71440091652962301</v>
      </c>
      <c r="AB53" s="10">
        <f>Table1[[#This Row],[Raw Terrestrial Score]]+Table1[[#This Row],[Raw Freshwater Score]]</f>
        <v>1558.7493999999999</v>
      </c>
      <c r="AC53" s="11">
        <f>Table1[[#This Row],[Terrestrial % of Summed Score]]*Table1[[#This Row],[Scaled Summed Score]]</f>
        <v>5.4701293901184195E-2</v>
      </c>
      <c r="AD53" s="11">
        <f>Table1[[#This Row],[Freshwater % of Summed Score]]*Table1[[#This Row],[Scaled Summed Score]]</f>
        <v>0.13683046186111311</v>
      </c>
      <c r="AE53" s="11">
        <f>Table1[[#This Row],[Summed Raw Scores]]/MAX(Table1[Summed Raw Scores])</f>
        <v>0.19153175576229731</v>
      </c>
      <c r="AF53" s="1"/>
    </row>
    <row r="54" spans="1:32" x14ac:dyDescent="0.3">
      <c r="A54" s="8" t="s">
        <v>142</v>
      </c>
      <c r="B54" s="8" t="s">
        <v>114</v>
      </c>
      <c r="C54" s="8" t="s">
        <v>30</v>
      </c>
      <c r="D54" s="8"/>
      <c r="E54" s="9">
        <v>54.277220999999997</v>
      </c>
      <c r="F54" s="9">
        <v>-130.33815799999999</v>
      </c>
      <c r="G54" s="9">
        <v>27</v>
      </c>
      <c r="H54" s="8" t="s">
        <v>22</v>
      </c>
      <c r="I54" s="9">
        <v>7.1999999999999993</v>
      </c>
      <c r="J54" s="9">
        <v>89.352000000000004</v>
      </c>
      <c r="K54" s="9">
        <v>105.77926262590856</v>
      </c>
      <c r="L54" s="9" t="s">
        <v>22</v>
      </c>
      <c r="M54" s="9">
        <v>6.2</v>
      </c>
      <c r="N54" s="9">
        <v>4.5941127929687502</v>
      </c>
      <c r="O54" s="9">
        <f>Table1[[#This Row],[R1 Length (km)]]+Table1[[#This Row],[T1 Length (km)]]</f>
        <v>10.79411279296875</v>
      </c>
      <c r="P54" s="8">
        <v>69</v>
      </c>
      <c r="Q54" s="9">
        <f>(Table1[[#This Row],[Linear Features (km)]]*0.4)*100</f>
        <v>431.76451171875004</v>
      </c>
      <c r="R54" s="1">
        <f>423200.9/10000</f>
        <v>42.32009</v>
      </c>
      <c r="S54" s="3">
        <f>Table1[[#This Row],[ATG (ha)]]/Table1[[#This Row],[Linear Area (ha)]]</f>
        <v>9.801660129855036E-2</v>
      </c>
      <c r="T54" s="8" t="s">
        <v>136</v>
      </c>
      <c r="U54" s="2" t="s">
        <v>22</v>
      </c>
      <c r="V54" s="1" t="s">
        <v>22</v>
      </c>
      <c r="W54" s="1" t="s">
        <v>22</v>
      </c>
      <c r="X54" s="10">
        <v>61.748339999999999</v>
      </c>
      <c r="Y54" s="10">
        <f>Table1[[#This Row],[Raw Terrestrial Score]]/Table1[[#This Row],[Summed Raw Scores]]</f>
        <v>0.41067635591852419</v>
      </c>
      <c r="Z54" s="10">
        <v>88.60933</v>
      </c>
      <c r="AA54" s="10">
        <f>Table1[[#This Row],[Raw Freshwater Score]]/Table1[[#This Row],[Summed Raw Scores]]</f>
        <v>0.58932364408147586</v>
      </c>
      <c r="AB54" s="10">
        <f>Table1[[#This Row],[Raw Terrestrial Score]]+Table1[[#This Row],[Raw Freshwater Score]]</f>
        <v>150.35766999999998</v>
      </c>
      <c r="AC54" s="11">
        <f>Table1[[#This Row],[Terrestrial % of Summed Score]]*Table1[[#This Row],[Scaled Summed Score]]</f>
        <v>7.5873440436335007E-3</v>
      </c>
      <c r="AD54" s="11">
        <f>Table1[[#This Row],[Freshwater % of Summed Score]]*Table1[[#This Row],[Scaled Summed Score]]</f>
        <v>1.0887895483277043E-2</v>
      </c>
      <c r="AE54" s="11">
        <f>Table1[[#This Row],[Summed Raw Scores]]/MAX(Table1[Summed Raw Scores])</f>
        <v>1.8475239526910544E-2</v>
      </c>
      <c r="AF54" s="1"/>
    </row>
    <row r="55" spans="1:32" x14ac:dyDescent="0.3">
      <c r="A55" s="8" t="s">
        <v>106</v>
      </c>
      <c r="B55" s="8" t="s">
        <v>97</v>
      </c>
      <c r="C55" s="8" t="s">
        <v>21</v>
      </c>
      <c r="D55" s="8" t="s">
        <v>250</v>
      </c>
      <c r="E55" s="12">
        <v>50.52</v>
      </c>
      <c r="F55" s="12">
        <v>-127.02</v>
      </c>
      <c r="G55" s="9">
        <v>77.599999999999994</v>
      </c>
      <c r="H55" s="9">
        <v>40</v>
      </c>
      <c r="I55" s="9">
        <v>38</v>
      </c>
      <c r="J55" s="13">
        <v>380</v>
      </c>
      <c r="K55" s="13">
        <v>75.443835022643938</v>
      </c>
      <c r="L55" s="9" t="s">
        <v>22</v>
      </c>
      <c r="M55" s="9">
        <v>0</v>
      </c>
      <c r="N55" s="9">
        <v>7.6</v>
      </c>
      <c r="O55" s="9">
        <f>Table1[[#This Row],[R1 Length (km)]]+Table1[[#This Row],[T1 Length (km)]]</f>
        <v>7.6</v>
      </c>
      <c r="P55" s="8">
        <v>130</v>
      </c>
      <c r="Q55" s="9">
        <f>(Table1[[#This Row],[Linear Features (km)]]*0.4)*100</f>
        <v>304</v>
      </c>
      <c r="R55" s="1">
        <v>7.62</v>
      </c>
      <c r="S55" s="3">
        <f>Table1[[#This Row],[ATG (ha)]]/Table1[[#This Row],[Linear Area (ha)]]</f>
        <v>2.5065789473684211E-2</v>
      </c>
      <c r="T55" s="2" t="s">
        <v>22</v>
      </c>
      <c r="U55" s="2" t="s">
        <v>22</v>
      </c>
      <c r="V55" s="1" t="s">
        <v>22</v>
      </c>
      <c r="W55" s="1" t="s">
        <v>22</v>
      </c>
      <c r="X55" s="10">
        <v>20.30828</v>
      </c>
      <c r="Y55" s="10">
        <f>Table1[[#This Row],[Raw Terrestrial Score]]/Table1[[#This Row],[Summed Raw Scores]]</f>
        <v>0.12723618841021364</v>
      </c>
      <c r="Z55" s="10">
        <v>139.30260000000001</v>
      </c>
      <c r="AA55" s="10">
        <f>Table1[[#This Row],[Raw Freshwater Score]]/Table1[[#This Row],[Summed Raw Scores]]</f>
        <v>0.87276381158978644</v>
      </c>
      <c r="AB55" s="10">
        <f>Table1[[#This Row],[Raw Terrestrial Score]]+Table1[[#This Row],[Raw Freshwater Score]]</f>
        <v>159.61088000000001</v>
      </c>
      <c r="AC55" s="11">
        <f>Table1[[#This Row],[Terrestrial % of Summed Score]]*Table1[[#This Row],[Scaled Summed Score]]</f>
        <v>2.4953854191779304E-3</v>
      </c>
      <c r="AD55" s="11">
        <f>Table1[[#This Row],[Freshwater % of Summed Score]]*Table1[[#This Row],[Scaled Summed Score]]</f>
        <v>1.7116844798947799E-2</v>
      </c>
      <c r="AE55" s="11">
        <f>Table1[[#This Row],[Summed Raw Scores]]/MAX(Table1[Summed Raw Scores])</f>
        <v>1.9612230218125727E-2</v>
      </c>
      <c r="AF55" s="1"/>
    </row>
    <row r="56" spans="1:32" x14ac:dyDescent="0.3">
      <c r="A56" s="8" t="s">
        <v>143</v>
      </c>
      <c r="B56" s="8" t="s">
        <v>114</v>
      </c>
      <c r="C56" s="8" t="s">
        <v>27</v>
      </c>
      <c r="D56" s="8"/>
      <c r="E56" s="9">
        <v>57.537468050000001</v>
      </c>
      <c r="F56" s="9">
        <v>-123.217569</v>
      </c>
      <c r="G56" s="9">
        <v>150</v>
      </c>
      <c r="H56" s="8" t="s">
        <v>22</v>
      </c>
      <c r="I56" s="9">
        <v>36</v>
      </c>
      <c r="J56" s="9">
        <v>464.76180000000005</v>
      </c>
      <c r="K56" s="9">
        <v>107.20800391045138</v>
      </c>
      <c r="L56" s="9" t="s">
        <v>22</v>
      </c>
      <c r="M56" s="9">
        <v>28.1865078125</v>
      </c>
      <c r="N56" s="9">
        <v>218.74175</v>
      </c>
      <c r="O56" s="9">
        <f>Table1[[#This Row],[R1 Length (km)]]+Table1[[#This Row],[T1 Length (km)]]</f>
        <v>246.92825781249999</v>
      </c>
      <c r="P56" s="8">
        <v>230</v>
      </c>
      <c r="Q56" s="9">
        <f>(Table1[[#This Row],[Linear Features (km)]]*0.4)*100</f>
        <v>9877.1303124999995</v>
      </c>
      <c r="R56" s="1">
        <f>2266088/10000</f>
        <v>226.6088</v>
      </c>
      <c r="S56" s="3">
        <f>Table1[[#This Row],[ATG (ha)]]/Table1[[#This Row],[Linear Area (ha)]]</f>
        <v>2.2942777186326608E-2</v>
      </c>
      <c r="T56" s="8" t="s">
        <v>136</v>
      </c>
      <c r="U56" s="2" t="s">
        <v>22</v>
      </c>
      <c r="V56" s="1" t="s">
        <v>22</v>
      </c>
      <c r="W56" s="1" t="s">
        <v>22</v>
      </c>
      <c r="X56" s="10">
        <v>1308.999</v>
      </c>
      <c r="Y56" s="10">
        <f>Table1[[#This Row],[Raw Terrestrial Score]]/Table1[[#This Row],[Summed Raw Scores]]</f>
        <v>0.39764770998488397</v>
      </c>
      <c r="Z56" s="10">
        <v>1982.857</v>
      </c>
      <c r="AA56" s="10">
        <f>Table1[[#This Row],[Raw Freshwater Score]]/Table1[[#This Row],[Summed Raw Scores]]</f>
        <v>0.60235229001511614</v>
      </c>
      <c r="AB56" s="10">
        <f>Table1[[#This Row],[Raw Terrestrial Score]]+Table1[[#This Row],[Raw Freshwater Score]]</f>
        <v>3291.8559999999998</v>
      </c>
      <c r="AC56" s="11">
        <f>Table1[[#This Row],[Terrestrial % of Summed Score]]*Table1[[#This Row],[Scaled Summed Score]]</f>
        <v>0.16084360754916183</v>
      </c>
      <c r="AD56" s="11">
        <f>Table1[[#This Row],[Freshwater % of Summed Score]]*Table1[[#This Row],[Scaled Summed Score]]</f>
        <v>0.24364409226753292</v>
      </c>
      <c r="AE56" s="39">
        <f>Table1[[#This Row],[Summed Raw Scores]]/MAX(Table1[Summed Raw Scores])</f>
        <v>0.40448769981669469</v>
      </c>
      <c r="AF56" s="1"/>
    </row>
    <row r="57" spans="1:32" x14ac:dyDescent="0.3">
      <c r="A57" s="8" t="s">
        <v>144</v>
      </c>
      <c r="B57" s="8" t="s">
        <v>114</v>
      </c>
      <c r="C57" s="8" t="s">
        <v>27</v>
      </c>
      <c r="D57" s="8"/>
      <c r="E57" s="9">
        <v>57.414985940000001</v>
      </c>
      <c r="F57" s="9">
        <v>-123.31186289999999</v>
      </c>
      <c r="G57" s="9">
        <v>138</v>
      </c>
      <c r="H57" s="8" t="s">
        <v>22</v>
      </c>
      <c r="I57" s="9">
        <v>33.6</v>
      </c>
      <c r="J57" s="9">
        <v>392.57064000000003</v>
      </c>
      <c r="K57" s="9">
        <v>118.86725171561042</v>
      </c>
      <c r="L57" s="9" t="s">
        <v>22</v>
      </c>
      <c r="M57" s="9">
        <v>33.036265624999999</v>
      </c>
      <c r="N57" s="9">
        <v>207.05425</v>
      </c>
      <c r="O57" s="9">
        <f>Table1[[#This Row],[R1 Length (km)]]+Table1[[#This Row],[T1 Length (km)]]</f>
        <v>240.09051562499999</v>
      </c>
      <c r="P57" s="8">
        <v>230</v>
      </c>
      <c r="Q57" s="9">
        <f>(Table1[[#This Row],[Linear Features (km)]]*0.4)*100</f>
        <v>9603.6206250000014</v>
      </c>
      <c r="R57" s="1">
        <f>2218345/10000</f>
        <v>221.83449999999999</v>
      </c>
      <c r="S57" s="3">
        <f>Table1[[#This Row],[ATG (ha)]]/Table1[[#This Row],[Linear Area (ha)]]</f>
        <v>2.3099048646561874E-2</v>
      </c>
      <c r="T57" s="8" t="s">
        <v>136</v>
      </c>
      <c r="U57" s="2" t="s">
        <v>22</v>
      </c>
      <c r="V57" s="1" t="s">
        <v>22</v>
      </c>
      <c r="W57" s="1" t="s">
        <v>22</v>
      </c>
      <c r="X57" s="10">
        <v>1215.02</v>
      </c>
      <c r="Y57" s="10">
        <f>Table1[[#This Row],[Raw Terrestrial Score]]/Table1[[#This Row],[Summed Raw Scores]]</f>
        <v>0.4038125928296693</v>
      </c>
      <c r="Z57" s="10">
        <v>1793.8510000000001</v>
      </c>
      <c r="AA57" s="10">
        <f>Table1[[#This Row],[Raw Freshwater Score]]/Table1[[#This Row],[Summed Raw Scores]]</f>
        <v>0.5961874071703307</v>
      </c>
      <c r="AB57" s="10">
        <f>Table1[[#This Row],[Raw Terrestrial Score]]+Table1[[#This Row],[Raw Freshwater Score]]</f>
        <v>3008.8710000000001</v>
      </c>
      <c r="AC57" s="11">
        <f>Table1[[#This Row],[Terrestrial % of Summed Score]]*Table1[[#This Row],[Scaled Summed Score]]</f>
        <v>0.14929591240664244</v>
      </c>
      <c r="AD57" s="11">
        <f>Table1[[#This Row],[Freshwater % of Summed Score]]*Table1[[#This Row],[Scaled Summed Score]]</f>
        <v>0.2204199286979375</v>
      </c>
      <c r="AE57" s="39">
        <f>Table1[[#This Row],[Summed Raw Scores]]/MAX(Table1[Summed Raw Scores])</f>
        <v>0.36971584110457995</v>
      </c>
      <c r="AF57" s="1"/>
    </row>
    <row r="58" spans="1:32" x14ac:dyDescent="0.3">
      <c r="A58" s="8" t="s">
        <v>145</v>
      </c>
      <c r="B58" s="8" t="s">
        <v>114</v>
      </c>
      <c r="C58" s="8" t="s">
        <v>27</v>
      </c>
      <c r="D58" s="8"/>
      <c r="E58" s="9">
        <v>57.126208089999999</v>
      </c>
      <c r="F58" s="9">
        <v>-123.0578247</v>
      </c>
      <c r="G58" s="9">
        <v>102</v>
      </c>
      <c r="H58" s="8" t="s">
        <v>22</v>
      </c>
      <c r="I58" s="9">
        <v>25.2</v>
      </c>
      <c r="J58" s="9">
        <v>398.45735999999999</v>
      </c>
      <c r="K58" s="9">
        <v>100.10009970678456</v>
      </c>
      <c r="L58" s="9" t="s">
        <v>22</v>
      </c>
      <c r="M58" s="9">
        <v>16.8266933594</v>
      </c>
      <c r="N58" s="9">
        <v>168.71971875</v>
      </c>
      <c r="O58" s="9">
        <f>Table1[[#This Row],[R1 Length (km)]]+Table1[[#This Row],[T1 Length (km)]]</f>
        <v>185.54641210939999</v>
      </c>
      <c r="P58" s="8">
        <v>230</v>
      </c>
      <c r="Q58" s="9">
        <f>(Table1[[#This Row],[Linear Features (km)]]*0.4)*100</f>
        <v>7421.8564843760005</v>
      </c>
      <c r="R58" s="1">
        <f>1911905/10000</f>
        <v>191.19049999999999</v>
      </c>
      <c r="S58" s="3">
        <f>Table1[[#This Row],[ATG (ha)]]/Table1[[#This Row],[Linear Area (ha)]]</f>
        <v>2.576046847611262E-2</v>
      </c>
      <c r="T58" s="8" t="s">
        <v>136</v>
      </c>
      <c r="U58" s="2" t="s">
        <v>22</v>
      </c>
      <c r="V58" s="1" t="s">
        <v>22</v>
      </c>
      <c r="W58" s="1" t="s">
        <v>22</v>
      </c>
      <c r="X58" s="10">
        <v>947.03790000000004</v>
      </c>
      <c r="Y58" s="10">
        <f>Table1[[#This Row],[Raw Terrestrial Score]]/Table1[[#This Row],[Summed Raw Scores]]</f>
        <v>0.50325425614106367</v>
      </c>
      <c r="Z58" s="10">
        <v>934.79</v>
      </c>
      <c r="AA58" s="10">
        <f>Table1[[#This Row],[Raw Freshwater Score]]/Table1[[#This Row],[Summed Raw Scores]]</f>
        <v>0.49674574385893627</v>
      </c>
      <c r="AB58" s="10">
        <f>Table1[[#This Row],[Raw Terrestrial Score]]+Table1[[#This Row],[Raw Freshwater Score]]</f>
        <v>1881.8279</v>
      </c>
      <c r="AC58" s="11">
        <f>Table1[[#This Row],[Terrestrial % of Summed Score]]*Table1[[#This Row],[Scaled Summed Score]]</f>
        <v>0.11636753910566955</v>
      </c>
      <c r="AD58" s="11">
        <f>Table1[[#This Row],[Freshwater % of Summed Score]]*Table1[[#This Row],[Scaled Summed Score]]</f>
        <v>0.11486257506757526</v>
      </c>
      <c r="AE58" s="39">
        <f>Table1[[#This Row],[Summed Raw Scores]]/MAX(Table1[Summed Raw Scores])</f>
        <v>0.23123011417324482</v>
      </c>
      <c r="AF58" s="1"/>
    </row>
    <row r="59" spans="1:32" x14ac:dyDescent="0.3">
      <c r="A59" s="8" t="s">
        <v>146</v>
      </c>
      <c r="B59" s="8" t="s">
        <v>114</v>
      </c>
      <c r="C59" s="8" t="s">
        <v>27</v>
      </c>
      <c r="D59" s="8"/>
      <c r="E59" s="9">
        <v>57.039813369999997</v>
      </c>
      <c r="F59" s="9">
        <v>-123.0997048</v>
      </c>
      <c r="G59" s="9">
        <v>96</v>
      </c>
      <c r="H59" s="8" t="s">
        <v>22</v>
      </c>
      <c r="I59" s="9">
        <v>22.8</v>
      </c>
      <c r="J59" s="9">
        <v>381.56370000000004</v>
      </c>
      <c r="K59" s="9">
        <v>98.028597491633946</v>
      </c>
      <c r="L59" s="9" t="s">
        <v>22</v>
      </c>
      <c r="M59" s="9">
        <v>17.419585937499999</v>
      </c>
      <c r="N59" s="9">
        <v>159.68956249999999</v>
      </c>
      <c r="O59" s="9">
        <f>Table1[[#This Row],[R1 Length (km)]]+Table1[[#This Row],[T1 Length (km)]]</f>
        <v>177.10914843749998</v>
      </c>
      <c r="P59" s="8">
        <v>230</v>
      </c>
      <c r="Q59" s="9">
        <f>(Table1[[#This Row],[Linear Features (km)]]*0.4)*100</f>
        <v>7084.3659374999997</v>
      </c>
      <c r="R59" s="1">
        <f>1734104/10000</f>
        <v>173.41040000000001</v>
      </c>
      <c r="S59" s="3">
        <f>Table1[[#This Row],[ATG (ha)]]/Table1[[#This Row],[Linear Area (ha)]]</f>
        <v>2.4477899861451081E-2</v>
      </c>
      <c r="T59" s="8" t="s">
        <v>136</v>
      </c>
      <c r="U59" s="2" t="s">
        <v>22</v>
      </c>
      <c r="V59" s="1" t="s">
        <v>22</v>
      </c>
      <c r="W59" s="1" t="s">
        <v>22</v>
      </c>
      <c r="X59" s="10">
        <v>838.59789999999998</v>
      </c>
      <c r="Y59" s="10">
        <f>Table1[[#This Row],[Raw Terrestrial Score]]/Table1[[#This Row],[Summed Raw Scores]]</f>
        <v>0.51782847904453555</v>
      </c>
      <c r="Z59" s="10">
        <v>780.85320000000002</v>
      </c>
      <c r="AA59" s="10">
        <f>Table1[[#This Row],[Raw Freshwater Score]]/Table1[[#This Row],[Summed Raw Scores]]</f>
        <v>0.48217152095546451</v>
      </c>
      <c r="AB59" s="10">
        <f>Table1[[#This Row],[Raw Terrestrial Score]]+Table1[[#This Row],[Raw Freshwater Score]]</f>
        <v>1619.4511</v>
      </c>
      <c r="AC59" s="11">
        <f>Table1[[#This Row],[Terrestrial % of Summed Score]]*Table1[[#This Row],[Scaled Summed Score]]</f>
        <v>0.10304294466164698</v>
      </c>
      <c r="AD59" s="11">
        <f>Table1[[#This Row],[Freshwater % of Summed Score]]*Table1[[#This Row],[Scaled Summed Score]]</f>
        <v>9.5947548970096344E-2</v>
      </c>
      <c r="AE59" s="39">
        <f>Table1[[#This Row],[Summed Raw Scores]]/MAX(Table1[Summed Raw Scores])</f>
        <v>0.19899049363174331</v>
      </c>
      <c r="AF59" s="1"/>
    </row>
    <row r="60" spans="1:32" x14ac:dyDescent="0.3">
      <c r="A60" s="8" t="s">
        <v>147</v>
      </c>
      <c r="B60" s="8" t="s">
        <v>114</v>
      </c>
      <c r="C60" s="8" t="s">
        <v>27</v>
      </c>
      <c r="D60" s="8" t="s">
        <v>250</v>
      </c>
      <c r="E60" s="9">
        <v>56.835681530000002</v>
      </c>
      <c r="F60" s="9">
        <v>-123.01556770000001</v>
      </c>
      <c r="G60" s="9">
        <v>243</v>
      </c>
      <c r="H60" s="8" t="s">
        <v>22</v>
      </c>
      <c r="I60" s="9">
        <v>58.8</v>
      </c>
      <c r="J60" s="9">
        <v>935.09933999999998</v>
      </c>
      <c r="K60" s="9">
        <v>72.047365486389182</v>
      </c>
      <c r="L60" s="9" t="s">
        <v>22</v>
      </c>
      <c r="M60" s="9">
        <v>6.5627421874999996</v>
      </c>
      <c r="N60" s="9">
        <v>134.880015625</v>
      </c>
      <c r="O60" s="9">
        <f>Table1[[#This Row],[R1 Length (km)]]+Table1[[#This Row],[T1 Length (km)]]</f>
        <v>141.44275781249999</v>
      </c>
      <c r="P60" s="8">
        <v>230</v>
      </c>
      <c r="Q60" s="9">
        <f>(Table1[[#This Row],[Linear Features (km)]]*0.4)*100</f>
        <v>5657.7103125000003</v>
      </c>
      <c r="R60" s="1">
        <v>31.17</v>
      </c>
      <c r="S60" s="3">
        <f>Table1[[#This Row],[ATG (ha)]]/Table1[[#This Row],[Linear Area (ha)]]</f>
        <v>5.5092958596932402E-3</v>
      </c>
      <c r="T60" s="8" t="s">
        <v>136</v>
      </c>
      <c r="U60" s="2" t="s">
        <v>22</v>
      </c>
      <c r="V60" s="1" t="s">
        <v>22</v>
      </c>
      <c r="W60" s="1" t="s">
        <v>22</v>
      </c>
      <c r="X60" s="10">
        <v>820.08159999999998</v>
      </c>
      <c r="Y60" s="10">
        <f>Table1[[#This Row],[Raw Terrestrial Score]]/Table1[[#This Row],[Summed Raw Scores]]</f>
        <v>0.53905045062762902</v>
      </c>
      <c r="Z60" s="10">
        <v>701.26319999999998</v>
      </c>
      <c r="AA60" s="10">
        <f>Table1[[#This Row],[Raw Freshwater Score]]/Table1[[#This Row],[Summed Raw Scores]]</f>
        <v>0.46094954937237109</v>
      </c>
      <c r="AB60" s="10">
        <f>Table1[[#This Row],[Raw Terrestrial Score]]+Table1[[#This Row],[Raw Freshwater Score]]</f>
        <v>1521.3447999999999</v>
      </c>
      <c r="AC60" s="11">
        <f>Table1[[#This Row],[Terrestrial % of Summed Score]]*Table1[[#This Row],[Scaled Summed Score]]</f>
        <v>0.10076774927153398</v>
      </c>
      <c r="AD60" s="11">
        <f>Table1[[#This Row],[Freshwater % of Summed Score]]*Table1[[#This Row],[Scaled Summed Score]]</f>
        <v>8.616790610953054E-2</v>
      </c>
      <c r="AE60" s="11">
        <f>Table1[[#This Row],[Summed Raw Scores]]/MAX(Table1[Summed Raw Scores])</f>
        <v>0.18693565538106449</v>
      </c>
      <c r="AF60" s="1"/>
    </row>
    <row r="61" spans="1:32" x14ac:dyDescent="0.3">
      <c r="A61" s="8" t="s">
        <v>148</v>
      </c>
      <c r="B61" s="8" t="s">
        <v>114</v>
      </c>
      <c r="C61" s="8" t="s">
        <v>27</v>
      </c>
      <c r="D61" s="8"/>
      <c r="E61" s="9">
        <v>57.097944140000003</v>
      </c>
      <c r="F61" s="9">
        <v>-122.8989455</v>
      </c>
      <c r="G61" s="9">
        <v>117</v>
      </c>
      <c r="H61" s="8" t="s">
        <v>22</v>
      </c>
      <c r="I61" s="9">
        <v>28.799999999999997</v>
      </c>
      <c r="J61" s="9">
        <v>382.74191999999999</v>
      </c>
      <c r="K61" s="9">
        <v>101.4093717537758</v>
      </c>
      <c r="L61" s="9" t="s">
        <v>22</v>
      </c>
      <c r="M61" s="9">
        <v>10.536749023400001</v>
      </c>
      <c r="N61" s="9">
        <v>162.043265625</v>
      </c>
      <c r="O61" s="9">
        <f>Table1[[#This Row],[R1 Length (km)]]+Table1[[#This Row],[T1 Length (km)]]</f>
        <v>172.58001464840001</v>
      </c>
      <c r="P61" s="8">
        <v>230</v>
      </c>
      <c r="Q61" s="9">
        <f>(Table1[[#This Row],[Linear Features (km)]]*0.4)*100</f>
        <v>6903.2005859360015</v>
      </c>
      <c r="R61" s="1">
        <f>1774803/10000</f>
        <v>177.4803</v>
      </c>
      <c r="S61" s="3">
        <f>Table1[[#This Row],[ATG (ha)]]/Table1[[#This Row],[Linear Area (ha)]]</f>
        <v>2.5709857013511007E-2</v>
      </c>
      <c r="T61" s="8" t="s">
        <v>136</v>
      </c>
      <c r="U61" s="2" t="s">
        <v>22</v>
      </c>
      <c r="V61" s="1" t="s">
        <v>22</v>
      </c>
      <c r="W61" s="1" t="s">
        <v>22</v>
      </c>
      <c r="X61" s="10">
        <v>882.6789</v>
      </c>
      <c r="Y61" s="10">
        <f>Table1[[#This Row],[Raw Terrestrial Score]]/Table1[[#This Row],[Summed Raw Scores]]</f>
        <v>0.51102102496235557</v>
      </c>
      <c r="Z61" s="10">
        <v>844.60599999999999</v>
      </c>
      <c r="AA61" s="10">
        <f>Table1[[#This Row],[Raw Freshwater Score]]/Table1[[#This Row],[Summed Raw Scores]]</f>
        <v>0.48897897503764431</v>
      </c>
      <c r="AB61" s="10">
        <f>Table1[[#This Row],[Raw Terrestrial Score]]+Table1[[#This Row],[Raw Freshwater Score]]</f>
        <v>1727.2849000000001</v>
      </c>
      <c r="AC61" s="11">
        <f>Table1[[#This Row],[Terrestrial % of Summed Score]]*Table1[[#This Row],[Scaled Summed Score]]</f>
        <v>0.10845940950568016</v>
      </c>
      <c r="AD61" s="11">
        <f>Table1[[#This Row],[Freshwater % of Summed Score]]*Table1[[#This Row],[Scaled Summed Score]]</f>
        <v>0.10378119158048811</v>
      </c>
      <c r="AE61" s="39">
        <f>Table1[[#This Row],[Summed Raw Scores]]/MAX(Table1[Summed Raw Scores])</f>
        <v>0.2122406010861683</v>
      </c>
      <c r="AF61" s="1"/>
    </row>
    <row r="62" spans="1:32" x14ac:dyDescent="0.3">
      <c r="A62" s="8" t="s">
        <v>149</v>
      </c>
      <c r="B62" s="8" t="s">
        <v>114</v>
      </c>
      <c r="C62" s="8" t="s">
        <v>27</v>
      </c>
      <c r="D62" s="8"/>
      <c r="E62" s="9">
        <v>56.747592869999998</v>
      </c>
      <c r="F62" s="9">
        <v>-122.8784138</v>
      </c>
      <c r="G62" s="9">
        <v>39</v>
      </c>
      <c r="H62" s="8" t="s">
        <v>22</v>
      </c>
      <c r="I62" s="9">
        <v>9.6</v>
      </c>
      <c r="J62" s="9">
        <v>140.82575999999997</v>
      </c>
      <c r="K62" s="9">
        <v>121.98573541611616</v>
      </c>
      <c r="L62" s="9" t="s">
        <v>22</v>
      </c>
      <c r="M62" s="9">
        <v>11.612484374999999</v>
      </c>
      <c r="N62" s="9">
        <v>101.4219453125</v>
      </c>
      <c r="O62" s="9">
        <f>Table1[[#This Row],[R1 Length (km)]]+Table1[[#This Row],[T1 Length (km)]]</f>
        <v>113.03442968749999</v>
      </c>
      <c r="P62" s="8">
        <v>130</v>
      </c>
      <c r="Q62" s="9">
        <f>(Table1[[#This Row],[Linear Features (km)]]*0.4)*100</f>
        <v>4521.3771875000002</v>
      </c>
      <c r="R62" s="1">
        <f>883905/10000</f>
        <v>88.390500000000003</v>
      </c>
      <c r="S62" s="3">
        <f>Table1[[#This Row],[ATG (ha)]]/Table1[[#This Row],[Linear Area (ha)]]</f>
        <v>1.9549463876707366E-2</v>
      </c>
      <c r="T62" s="8" t="s">
        <v>136</v>
      </c>
      <c r="U62" s="2" t="s">
        <v>22</v>
      </c>
      <c r="V62" s="1" t="s">
        <v>22</v>
      </c>
      <c r="W62" s="1" t="s">
        <v>22</v>
      </c>
      <c r="X62" s="10">
        <v>417.4529</v>
      </c>
      <c r="Y62" s="10">
        <f>Table1[[#This Row],[Raw Terrestrial Score]]/Table1[[#This Row],[Summed Raw Scores]]</f>
        <v>0.49075726335101466</v>
      </c>
      <c r="Z62" s="10">
        <v>433.17720000000003</v>
      </c>
      <c r="AA62" s="10">
        <f>Table1[[#This Row],[Raw Freshwater Score]]/Table1[[#This Row],[Summed Raw Scores]]</f>
        <v>0.50924273664898523</v>
      </c>
      <c r="AB62" s="10">
        <f>Table1[[#This Row],[Raw Terrestrial Score]]+Table1[[#This Row],[Raw Freshwater Score]]</f>
        <v>850.63010000000008</v>
      </c>
      <c r="AC62" s="11">
        <f>Table1[[#This Row],[Terrestrial % of Summed Score]]*Table1[[#This Row],[Scaled Summed Score]]</f>
        <v>5.1294638435827287E-2</v>
      </c>
      <c r="AD62" s="11">
        <f>Table1[[#This Row],[Freshwater % of Summed Score]]*Table1[[#This Row],[Scaled Summed Score]]</f>
        <v>5.3226766067846328E-2</v>
      </c>
      <c r="AE62" s="39">
        <f>Table1[[#This Row],[Summed Raw Scores]]/MAX(Table1[Summed Raw Scores])</f>
        <v>0.10452140450367363</v>
      </c>
      <c r="AF62" s="1"/>
    </row>
    <row r="63" spans="1:32" x14ac:dyDescent="0.3">
      <c r="A63" s="8" t="s">
        <v>150</v>
      </c>
      <c r="B63" s="8" t="s">
        <v>114</v>
      </c>
      <c r="C63" s="8" t="s">
        <v>27</v>
      </c>
      <c r="D63" s="8" t="s">
        <v>250</v>
      </c>
      <c r="E63" s="9">
        <v>56.576144149999998</v>
      </c>
      <c r="F63" s="9">
        <v>-122.7750882</v>
      </c>
      <c r="G63" s="9">
        <v>207</v>
      </c>
      <c r="H63" s="8" t="s">
        <v>22</v>
      </c>
      <c r="I63" s="9">
        <v>49.199999999999996</v>
      </c>
      <c r="J63" s="9">
        <v>849.41339999999991</v>
      </c>
      <c r="K63" s="9">
        <v>65.79728571598406</v>
      </c>
      <c r="L63" s="9" t="s">
        <v>22</v>
      </c>
      <c r="M63" s="9">
        <v>3.5870061035200003</v>
      </c>
      <c r="N63" s="9">
        <v>101.32417968750001</v>
      </c>
      <c r="O63" s="9">
        <f>Table1[[#This Row],[R1 Length (km)]]+Table1[[#This Row],[T1 Length (km)]]</f>
        <v>104.91118579102</v>
      </c>
      <c r="P63" s="8">
        <v>230</v>
      </c>
      <c r="Q63" s="9">
        <f>(Table1[[#This Row],[Linear Features (km)]]*0.4)*100</f>
        <v>4196.4474316408005</v>
      </c>
      <c r="R63" s="1">
        <v>26.08</v>
      </c>
      <c r="S63" s="3">
        <f>Table1[[#This Row],[ATG (ha)]]/Table1[[#This Row],[Linear Area (ha)]]</f>
        <v>6.2147805792488586E-3</v>
      </c>
      <c r="T63" s="8" t="s">
        <v>136</v>
      </c>
      <c r="U63" s="2" t="s">
        <v>22</v>
      </c>
      <c r="V63" s="1" t="s">
        <v>22</v>
      </c>
      <c r="W63" s="1" t="s">
        <v>22</v>
      </c>
      <c r="X63" s="10">
        <v>756.94179999999994</v>
      </c>
      <c r="Y63" s="10">
        <f>Table1[[#This Row],[Raw Terrestrial Score]]/Table1[[#This Row],[Summed Raw Scores]]</f>
        <v>0.48316876352713251</v>
      </c>
      <c r="Z63" s="10">
        <v>809.67809999999997</v>
      </c>
      <c r="AA63" s="10">
        <f>Table1[[#This Row],[Raw Freshwater Score]]/Table1[[#This Row],[Summed Raw Scores]]</f>
        <v>0.51683123647286744</v>
      </c>
      <c r="AB63" s="10">
        <f>Table1[[#This Row],[Raw Terrestrial Score]]+Table1[[#This Row],[Raw Freshwater Score]]</f>
        <v>1566.6198999999999</v>
      </c>
      <c r="AC63" s="11">
        <f>Table1[[#This Row],[Terrestrial % of Summed Score]]*Table1[[#This Row],[Scaled Summed Score]]</f>
        <v>9.3009429202586189E-2</v>
      </c>
      <c r="AD63" s="11">
        <f>Table1[[#This Row],[Freshwater % of Summed Score]]*Table1[[#This Row],[Scaled Summed Score]]</f>
        <v>9.9489416384237861E-2</v>
      </c>
      <c r="AE63" s="11">
        <f>Table1[[#This Row],[Summed Raw Scores]]/MAX(Table1[Summed Raw Scores])</f>
        <v>0.19249884558682406</v>
      </c>
      <c r="AF63" s="1"/>
    </row>
    <row r="64" spans="1:32" x14ac:dyDescent="0.3">
      <c r="A64" s="8" t="s">
        <v>151</v>
      </c>
      <c r="B64" s="8" t="s">
        <v>114</v>
      </c>
      <c r="C64" s="8" t="s">
        <v>27</v>
      </c>
      <c r="D64" s="8" t="s">
        <v>250</v>
      </c>
      <c r="E64" s="14">
        <v>56.4503433</v>
      </c>
      <c r="F64" s="14">
        <v>-122.62548390000001</v>
      </c>
      <c r="G64" s="9">
        <v>297</v>
      </c>
      <c r="H64" s="8" t="s">
        <v>22</v>
      </c>
      <c r="I64" s="1">
        <v>70.8</v>
      </c>
      <c r="J64" s="1">
        <v>1239.1238999999998</v>
      </c>
      <c r="K64" s="1">
        <v>55.402836873971559</v>
      </c>
      <c r="L64" s="9" t="s">
        <v>22</v>
      </c>
      <c r="M64" s="9">
        <v>1.7</v>
      </c>
      <c r="N64" s="9">
        <v>82.7</v>
      </c>
      <c r="O64" s="9">
        <f>Table1[[#This Row],[R1 Length (km)]]+Table1[[#This Row],[T1 Length (km)]]</f>
        <v>84.4</v>
      </c>
      <c r="P64" s="8">
        <v>230</v>
      </c>
      <c r="Q64" s="9">
        <f>(Table1[[#This Row],[Linear Features (km)]]*0.4)*100</f>
        <v>3376.0000000000005</v>
      </c>
      <c r="R64" s="1">
        <v>37.53</v>
      </c>
      <c r="S64" s="3">
        <f>Table1[[#This Row],[ATG (ha)]]/Table1[[#This Row],[Linear Area (ha)]]</f>
        <v>1.1116706161137439E-2</v>
      </c>
      <c r="T64" s="8" t="s">
        <v>136</v>
      </c>
      <c r="U64" s="2" t="s">
        <v>22</v>
      </c>
      <c r="V64" s="1" t="s">
        <v>22</v>
      </c>
      <c r="W64" s="1" t="s">
        <v>22</v>
      </c>
      <c r="X64" s="10">
        <v>938.84609999999998</v>
      </c>
      <c r="Y64" s="10">
        <f>Table1[[#This Row],[Raw Terrestrial Score]]/Table1[[#This Row],[Summed Raw Scores]]</f>
        <v>0.4944546953378024</v>
      </c>
      <c r="Z64" s="10">
        <v>959.90440000000001</v>
      </c>
      <c r="AA64" s="10">
        <f>Table1[[#This Row],[Raw Freshwater Score]]/Table1[[#This Row],[Summed Raw Scores]]</f>
        <v>0.5055453046621976</v>
      </c>
      <c r="AB64" s="10">
        <f>Table1[[#This Row],[Raw Terrestrial Score]]+Table1[[#This Row],[Raw Freshwater Score]]</f>
        <v>1898.7505000000001</v>
      </c>
      <c r="AC64" s="11">
        <f>Table1[[#This Row],[Terrestrial % of Summed Score]]*Table1[[#This Row],[Scaled Summed Score]]</f>
        <v>0.11536096945640227</v>
      </c>
      <c r="AD64" s="11">
        <f>Table1[[#This Row],[Freshwater % of Summed Score]]*Table1[[#This Row],[Scaled Summed Score]]</f>
        <v>0.11794851378672837</v>
      </c>
      <c r="AE64" s="11">
        <f>Table1[[#This Row],[Summed Raw Scores]]/MAX(Table1[Summed Raw Scores])</f>
        <v>0.23330948324313064</v>
      </c>
      <c r="AF64" s="1"/>
    </row>
    <row r="65" spans="1:32" x14ac:dyDescent="0.3">
      <c r="A65" s="8" t="s">
        <v>152</v>
      </c>
      <c r="B65" s="8" t="s">
        <v>114</v>
      </c>
      <c r="C65" s="8" t="s">
        <v>27</v>
      </c>
      <c r="D65" s="8" t="s">
        <v>250</v>
      </c>
      <c r="E65" s="14">
        <v>54.408751680000002</v>
      </c>
      <c r="F65" s="14">
        <v>-120.1624003</v>
      </c>
      <c r="G65" s="9">
        <v>126</v>
      </c>
      <c r="H65" s="8" t="s">
        <v>22</v>
      </c>
      <c r="I65" s="1">
        <v>30</v>
      </c>
      <c r="J65" s="1">
        <v>570.82349999999997</v>
      </c>
      <c r="K65" s="1">
        <v>63.989458989339575</v>
      </c>
      <c r="L65" s="9" t="s">
        <v>22</v>
      </c>
      <c r="M65" s="14">
        <v>32.181849609399997</v>
      </c>
      <c r="N65" s="1">
        <v>105.7322109375</v>
      </c>
      <c r="O65" s="1">
        <f>Table1[[#This Row],[R1 Length (km)]]+Table1[[#This Row],[T1 Length (km)]]</f>
        <v>137.9140605469</v>
      </c>
      <c r="P65" s="17">
        <v>230</v>
      </c>
      <c r="Q65" s="14">
        <f>(Table1[[#This Row],[Linear Features (km)]]*0.4)*100</f>
        <v>5516.5624218760004</v>
      </c>
      <c r="R65" s="1">
        <v>15.9</v>
      </c>
      <c r="S65" s="3">
        <f>Table1[[#This Row],[ATG (ha)]]/Table1[[#This Row],[Linear Area (ha)]]</f>
        <v>2.8822296901687078E-3</v>
      </c>
      <c r="T65" s="17" t="s">
        <v>136</v>
      </c>
      <c r="U65" s="2" t="s">
        <v>22</v>
      </c>
      <c r="V65" s="1" t="s">
        <v>22</v>
      </c>
      <c r="W65" s="1" t="s">
        <v>22</v>
      </c>
      <c r="X65" s="10">
        <v>1288.992</v>
      </c>
      <c r="Y65" s="10">
        <f>Table1[[#This Row],[Raw Terrestrial Score]]/Table1[[#This Row],[Summed Raw Scores]]</f>
        <v>0.48910863287786627</v>
      </c>
      <c r="Z65" s="10">
        <v>1346.3979999999999</v>
      </c>
      <c r="AA65" s="10">
        <f>Table1[[#This Row],[Raw Freshwater Score]]/Table1[[#This Row],[Summed Raw Scores]]</f>
        <v>0.51089136712213368</v>
      </c>
      <c r="AB65" s="10">
        <f>Table1[[#This Row],[Raw Terrestrial Score]]+Table1[[#This Row],[Raw Freshwater Score]]</f>
        <v>2635.39</v>
      </c>
      <c r="AC65" s="11">
        <f>Table1[[#This Row],[Terrestrial % of Summed Score]]*Table1[[#This Row],[Scaled Summed Score]]</f>
        <v>0.15838524199178849</v>
      </c>
      <c r="AD65" s="11">
        <f>Table1[[#This Row],[Freshwater % of Summed Score]]*Table1[[#This Row],[Scaled Summed Score]]</f>
        <v>0.16543901982887407</v>
      </c>
      <c r="AE65" s="11">
        <f>Table1[[#This Row],[Summed Raw Scores]]/MAX(Table1[Summed Raw Scores])</f>
        <v>0.3238242618206626</v>
      </c>
      <c r="AF65" s="1"/>
    </row>
    <row r="66" spans="1:32" x14ac:dyDescent="0.3">
      <c r="A66" s="8" t="s">
        <v>153</v>
      </c>
      <c r="B66" s="8" t="s">
        <v>114</v>
      </c>
      <c r="C66" s="8" t="s">
        <v>27</v>
      </c>
      <c r="D66" s="8" t="s">
        <v>250</v>
      </c>
      <c r="E66" s="9">
        <v>54.532078400000003</v>
      </c>
      <c r="F66" s="9">
        <v>-120.0978831</v>
      </c>
      <c r="G66" s="9">
        <v>96</v>
      </c>
      <c r="H66" s="8" t="s">
        <v>22</v>
      </c>
      <c r="I66" s="9">
        <v>22.8</v>
      </c>
      <c r="J66" s="1">
        <v>344.44758000000002</v>
      </c>
      <c r="K66" s="1">
        <v>80.359901262891157</v>
      </c>
      <c r="L66" s="9" t="s">
        <v>22</v>
      </c>
      <c r="M66" s="9">
        <v>14.8</v>
      </c>
      <c r="N66" s="9">
        <v>97.7</v>
      </c>
      <c r="O66" s="9">
        <f>Table1[[#This Row],[R1 Length (km)]]+Table1[[#This Row],[T1 Length (km)]]</f>
        <v>112.5</v>
      </c>
      <c r="P66" s="8">
        <v>230</v>
      </c>
      <c r="Q66" s="9">
        <f>(Table1[[#This Row],[Linear Features (km)]]*0.4)*100</f>
        <v>4500</v>
      </c>
      <c r="R66" s="1">
        <v>12.09</v>
      </c>
      <c r="S66" s="3">
        <f>Table1[[#This Row],[ATG (ha)]]/Table1[[#This Row],[Linear Area (ha)]]</f>
        <v>2.6866666666666666E-3</v>
      </c>
      <c r="T66" s="8" t="s">
        <v>136</v>
      </c>
      <c r="U66" s="2" t="s">
        <v>22</v>
      </c>
      <c r="V66" s="1" t="s">
        <v>22</v>
      </c>
      <c r="W66" s="1" t="s">
        <v>22</v>
      </c>
      <c r="X66" s="10">
        <v>555.74310000000003</v>
      </c>
      <c r="Y66" s="10">
        <f>Table1[[#This Row],[Raw Terrestrial Score]]/Table1[[#This Row],[Summed Raw Scores]]</f>
        <v>0.48621583946830288</v>
      </c>
      <c r="Z66" s="10">
        <v>587.25360000000001</v>
      </c>
      <c r="AA66" s="10">
        <f>Table1[[#This Row],[Raw Freshwater Score]]/Table1[[#This Row],[Summed Raw Scores]]</f>
        <v>0.51378416053169707</v>
      </c>
      <c r="AB66" s="10">
        <f>Table1[[#This Row],[Raw Terrestrial Score]]+Table1[[#This Row],[Raw Freshwater Score]]</f>
        <v>1142.9967000000001</v>
      </c>
      <c r="AC66" s="11">
        <f>Table1[[#This Row],[Terrestrial % of Summed Score]]*Table1[[#This Row],[Scaled Summed Score]]</f>
        <v>6.828708430988456E-2</v>
      </c>
      <c r="AD66" s="11">
        <f>Table1[[#This Row],[Freshwater % of Summed Score]]*Table1[[#This Row],[Scaled Summed Score]]</f>
        <v>7.215894555322995E-2</v>
      </c>
      <c r="AE66" s="11">
        <f>Table1[[#This Row],[Summed Raw Scores]]/MAX(Table1[Summed Raw Scores])</f>
        <v>0.14044602986311452</v>
      </c>
      <c r="AF66" s="1"/>
    </row>
    <row r="67" spans="1:32" x14ac:dyDescent="0.3">
      <c r="A67" s="8" t="s">
        <v>154</v>
      </c>
      <c r="B67" s="8" t="s">
        <v>114</v>
      </c>
      <c r="C67" s="8" t="s">
        <v>27</v>
      </c>
      <c r="D67" s="8" t="s">
        <v>250</v>
      </c>
      <c r="E67" s="14">
        <v>54.475945340000003</v>
      </c>
      <c r="F67" s="14">
        <v>-120.2898646</v>
      </c>
      <c r="G67" s="9">
        <v>135</v>
      </c>
      <c r="H67" s="8" t="s">
        <v>22</v>
      </c>
      <c r="I67" s="1">
        <v>32.4</v>
      </c>
      <c r="J67" s="1">
        <v>639.31355999999994</v>
      </c>
      <c r="K67" s="1">
        <v>58.304319594040237</v>
      </c>
      <c r="L67" s="9" t="s">
        <v>22</v>
      </c>
      <c r="M67" s="14">
        <v>6.0698486328099994</v>
      </c>
      <c r="N67" s="1">
        <v>95.404289062499998</v>
      </c>
      <c r="O67" s="1">
        <f>Table1[[#This Row],[R1 Length (km)]]+Table1[[#This Row],[T1 Length (km)]]</f>
        <v>101.47413769530999</v>
      </c>
      <c r="P67" s="17">
        <v>230</v>
      </c>
      <c r="Q67" s="14">
        <f>(Table1[[#This Row],[Linear Features (km)]]*0.4)*100</f>
        <v>4058.9655078123997</v>
      </c>
      <c r="R67" s="1">
        <v>17.18</v>
      </c>
      <c r="S67" s="3">
        <f>Table1[[#This Row],[ATG (ha)]]/Table1[[#This Row],[Linear Area (ha)]]</f>
        <v>4.2326055658598706E-3</v>
      </c>
      <c r="T67" s="17" t="s">
        <v>136</v>
      </c>
      <c r="U67" s="2" t="s">
        <v>22</v>
      </c>
      <c r="V67" s="1" t="s">
        <v>22</v>
      </c>
      <c r="W67" s="1" t="s">
        <v>22</v>
      </c>
      <c r="X67" s="10">
        <v>995.06020000000001</v>
      </c>
      <c r="Y67" s="10">
        <f>Table1[[#This Row],[Raw Terrestrial Score]]/Table1[[#This Row],[Summed Raw Scores]]</f>
        <v>0.46916371134984985</v>
      </c>
      <c r="Z67" s="10">
        <v>1125.8630000000001</v>
      </c>
      <c r="AA67" s="10">
        <f>Table1[[#This Row],[Raw Freshwater Score]]/Table1[[#This Row],[Summed Raw Scores]]</f>
        <v>0.53083628865015009</v>
      </c>
      <c r="AB67" s="10">
        <f>Table1[[#This Row],[Raw Terrestrial Score]]+Table1[[#This Row],[Raw Freshwater Score]]</f>
        <v>2120.9232000000002</v>
      </c>
      <c r="AC67" s="11">
        <f>Table1[[#This Row],[Terrestrial % of Summed Score]]*Table1[[#This Row],[Scaled Summed Score]]</f>
        <v>0.12226829225735883</v>
      </c>
      <c r="AD67" s="11">
        <f>Table1[[#This Row],[Freshwater % of Summed Score]]*Table1[[#This Row],[Scaled Summed Score]]</f>
        <v>0.13834072182341009</v>
      </c>
      <c r="AE67" s="11">
        <f>Table1[[#This Row],[Summed Raw Scores]]/MAX(Table1[Summed Raw Scores])</f>
        <v>0.26060901408076892</v>
      </c>
      <c r="AF67" s="1"/>
    </row>
    <row r="68" spans="1:32" x14ac:dyDescent="0.3">
      <c r="A68" s="8" t="s">
        <v>155</v>
      </c>
      <c r="B68" s="8" t="s">
        <v>114</v>
      </c>
      <c r="C68" s="8" t="s">
        <v>27</v>
      </c>
      <c r="D68" s="8" t="s">
        <v>250</v>
      </c>
      <c r="E68" s="9">
        <v>54.607456880000001</v>
      </c>
      <c r="F68" s="9">
        <v>-120.4986409</v>
      </c>
      <c r="G68" s="9">
        <v>144</v>
      </c>
      <c r="H68" s="8" t="s">
        <v>22</v>
      </c>
      <c r="I68" s="9">
        <v>34.799999999999997</v>
      </c>
      <c r="J68" s="1">
        <v>640.30781999999999</v>
      </c>
      <c r="K68" s="1">
        <v>53.724829135258389</v>
      </c>
      <c r="L68" s="9" t="s">
        <v>22</v>
      </c>
      <c r="M68" s="9">
        <v>8</v>
      </c>
      <c r="N68" s="9">
        <v>75.900000000000006</v>
      </c>
      <c r="O68" s="9">
        <f>Table1[[#This Row],[R1 Length (km)]]+Table1[[#This Row],[T1 Length (km)]]</f>
        <v>83.9</v>
      </c>
      <c r="P68" s="8">
        <v>230</v>
      </c>
      <c r="Q68" s="9">
        <f>(Table1[[#This Row],[Linear Features (km)]]*0.4)*100</f>
        <v>3356</v>
      </c>
      <c r="R68" s="1">
        <v>18.45</v>
      </c>
      <c r="S68" s="3">
        <f>Table1[[#This Row],[ATG (ha)]]/Table1[[#This Row],[Linear Area (ha)]]</f>
        <v>5.49761620977354E-3</v>
      </c>
      <c r="T68" s="8" t="s">
        <v>136</v>
      </c>
      <c r="U68" s="2" t="s">
        <v>22</v>
      </c>
      <c r="V68" s="1" t="s">
        <v>22</v>
      </c>
      <c r="W68" s="1" t="s">
        <v>22</v>
      </c>
      <c r="X68" s="10">
        <v>189.9632</v>
      </c>
      <c r="Y68" s="10">
        <f>Table1[[#This Row],[Raw Terrestrial Score]]/Table1[[#This Row],[Summed Raw Scores]]</f>
        <v>0.26701980082367671</v>
      </c>
      <c r="Z68" s="10">
        <v>521.45669999999996</v>
      </c>
      <c r="AA68" s="10">
        <f>Table1[[#This Row],[Raw Freshwater Score]]/Table1[[#This Row],[Summed Raw Scores]]</f>
        <v>0.73298019917632329</v>
      </c>
      <c r="AB68" s="10">
        <f>Table1[[#This Row],[Raw Terrestrial Score]]+Table1[[#This Row],[Raw Freshwater Score]]</f>
        <v>711.41989999999998</v>
      </c>
      <c r="AC68" s="11">
        <f>Table1[[#This Row],[Terrestrial % of Summed Score]]*Table1[[#This Row],[Scaled Summed Score]]</f>
        <v>2.3341779779497869E-2</v>
      </c>
      <c r="AD68" s="11">
        <f>Table1[[#This Row],[Freshwater % of Summed Score]]*Table1[[#This Row],[Scaled Summed Score]]</f>
        <v>6.4074133600316718E-2</v>
      </c>
      <c r="AE68" s="11">
        <f>Table1[[#This Row],[Summed Raw Scores]]/MAX(Table1[Summed Raw Scores])</f>
        <v>8.7415913379814594E-2</v>
      </c>
      <c r="AF68" s="1"/>
    </row>
    <row r="69" spans="1:32" x14ac:dyDescent="0.3">
      <c r="A69" s="8" t="s">
        <v>156</v>
      </c>
      <c r="B69" s="8" t="s">
        <v>114</v>
      </c>
      <c r="C69" s="8" t="s">
        <v>27</v>
      </c>
      <c r="D69" s="8" t="s">
        <v>250</v>
      </c>
      <c r="E69" s="9">
        <v>54.738847200000002</v>
      </c>
      <c r="F69" s="9">
        <v>-120.7330381</v>
      </c>
      <c r="G69" s="9">
        <v>108</v>
      </c>
      <c r="H69" s="8" t="s">
        <v>22</v>
      </c>
      <c r="I69" s="9">
        <v>26.4</v>
      </c>
      <c r="J69" s="1">
        <v>476.30748000000006</v>
      </c>
      <c r="K69" s="1">
        <v>62.376135598209594</v>
      </c>
      <c r="L69" s="9" t="s">
        <v>22</v>
      </c>
      <c r="M69" s="9">
        <v>13.4</v>
      </c>
      <c r="N69" s="9">
        <v>55.7</v>
      </c>
      <c r="O69" s="9">
        <f>Table1[[#This Row],[R1 Length (km)]]+Table1[[#This Row],[T1 Length (km)]]</f>
        <v>69.100000000000009</v>
      </c>
      <c r="P69" s="8">
        <v>230</v>
      </c>
      <c r="Q69" s="9">
        <f>(Table1[[#This Row],[Linear Features (km)]]*0.4)*100</f>
        <v>2764.0000000000005</v>
      </c>
      <c r="R69" s="1">
        <v>14</v>
      </c>
      <c r="S69" s="3">
        <f>Table1[[#This Row],[ATG (ha)]]/Table1[[#This Row],[Linear Area (ha)]]</f>
        <v>5.0651230101302451E-3</v>
      </c>
      <c r="T69" s="8" t="s">
        <v>136</v>
      </c>
      <c r="U69" s="2" t="s">
        <v>22</v>
      </c>
      <c r="V69" s="1" t="s">
        <v>22</v>
      </c>
      <c r="W69" s="1" t="s">
        <v>22</v>
      </c>
      <c r="X69" s="10">
        <v>153.7278</v>
      </c>
      <c r="Y69" s="10">
        <f>Table1[[#This Row],[Raw Terrestrial Score]]/Table1[[#This Row],[Summed Raw Scores]]</f>
        <v>0.271105311803787</v>
      </c>
      <c r="Z69" s="10">
        <v>413.31310000000002</v>
      </c>
      <c r="AA69" s="10">
        <f>Table1[[#This Row],[Raw Freshwater Score]]/Table1[[#This Row],[Summed Raw Scores]]</f>
        <v>0.72889468819621306</v>
      </c>
      <c r="AB69" s="10">
        <f>Table1[[#This Row],[Raw Terrestrial Score]]+Table1[[#This Row],[Raw Freshwater Score]]</f>
        <v>567.04089999999997</v>
      </c>
      <c r="AC69" s="11">
        <f>Table1[[#This Row],[Terrestrial % of Summed Score]]*Table1[[#This Row],[Scaled Summed Score]]</f>
        <v>1.8889345165730483E-2</v>
      </c>
      <c r="AD69" s="11">
        <f>Table1[[#This Row],[Freshwater % of Summed Score]]*Table1[[#This Row],[Scaled Summed Score]]</f>
        <v>5.0785959386773764E-2</v>
      </c>
      <c r="AE69" s="11">
        <f>Table1[[#This Row],[Summed Raw Scores]]/MAX(Table1[Summed Raw Scores])</f>
        <v>6.9675304552504244E-2</v>
      </c>
      <c r="AF69" s="1"/>
    </row>
    <row r="70" spans="1:32" x14ac:dyDescent="0.3">
      <c r="A70" s="8" t="s">
        <v>157</v>
      </c>
      <c r="B70" s="8" t="s">
        <v>114</v>
      </c>
      <c r="C70" s="8" t="s">
        <v>27</v>
      </c>
      <c r="D70" s="8" t="s">
        <v>250</v>
      </c>
      <c r="E70" s="14">
        <v>54.660196710000001</v>
      </c>
      <c r="F70" s="14">
        <v>-120.64686709999999</v>
      </c>
      <c r="G70" s="9">
        <v>99</v>
      </c>
      <c r="H70" s="8" t="s">
        <v>22</v>
      </c>
      <c r="I70" s="1">
        <v>24</v>
      </c>
      <c r="J70" s="1">
        <v>455.60760000000005</v>
      </c>
      <c r="K70" s="1">
        <v>62.647886314441195</v>
      </c>
      <c r="L70" s="9" t="s">
        <v>22</v>
      </c>
      <c r="M70" s="14">
        <v>7.4941132812499998</v>
      </c>
      <c r="N70" s="1">
        <v>66.314632812499994</v>
      </c>
      <c r="O70" s="1">
        <f>Table1[[#This Row],[R1 Length (km)]]+Table1[[#This Row],[T1 Length (km)]]</f>
        <v>73.808746093749988</v>
      </c>
      <c r="P70" s="17">
        <v>230</v>
      </c>
      <c r="Q70" s="14">
        <f>(Table1[[#This Row],[Linear Features (km)]]*0.4)*100</f>
        <v>2952.3498437499993</v>
      </c>
      <c r="R70" s="1">
        <v>12.72</v>
      </c>
      <c r="S70" s="3">
        <f>Table1[[#This Row],[ATG (ha)]]/Table1[[#This Row],[Linear Area (ha)]]</f>
        <v>4.3084324938413741E-3</v>
      </c>
      <c r="T70" s="17" t="s">
        <v>136</v>
      </c>
      <c r="U70" s="2" t="s">
        <v>22</v>
      </c>
      <c r="V70" s="1" t="s">
        <v>22</v>
      </c>
      <c r="W70" s="1" t="s">
        <v>22</v>
      </c>
      <c r="X70" s="10">
        <v>410.91399999999999</v>
      </c>
      <c r="Y70" s="10">
        <f>Table1[[#This Row],[Raw Terrestrial Score]]/Table1[[#This Row],[Summed Raw Scores]]</f>
        <v>0.38684121909294328</v>
      </c>
      <c r="Z70" s="10">
        <v>651.31510000000003</v>
      </c>
      <c r="AA70" s="10">
        <f>Table1[[#This Row],[Raw Freshwater Score]]/Table1[[#This Row],[Summed Raw Scores]]</f>
        <v>0.61315878090705667</v>
      </c>
      <c r="AB70" s="10">
        <f>Table1[[#This Row],[Raw Terrestrial Score]]+Table1[[#This Row],[Raw Freshwater Score]]</f>
        <v>1062.2291</v>
      </c>
      <c r="AC70" s="11">
        <f>Table1[[#This Row],[Terrestrial % of Summed Score]]*Table1[[#This Row],[Scaled Summed Score]]</f>
        <v>5.0491169322861421E-2</v>
      </c>
      <c r="AD70" s="11">
        <f>Table1[[#This Row],[Freshwater % of Summed Score]]*Table1[[#This Row],[Scaled Summed Score]]</f>
        <v>8.0030519759941063E-2</v>
      </c>
      <c r="AE70" s="11">
        <f>Table1[[#This Row],[Summed Raw Scores]]/MAX(Table1[Summed Raw Scores])</f>
        <v>0.13052168908280248</v>
      </c>
      <c r="AF70" s="1"/>
    </row>
    <row r="71" spans="1:32" x14ac:dyDescent="0.3">
      <c r="A71" s="8" t="s">
        <v>158</v>
      </c>
      <c r="B71" s="8" t="s">
        <v>114</v>
      </c>
      <c r="C71" s="8" t="s">
        <v>27</v>
      </c>
      <c r="D71" s="8" t="s">
        <v>250</v>
      </c>
      <c r="E71" s="9">
        <v>55.689261600000002</v>
      </c>
      <c r="F71" s="9">
        <v>-122.1239058</v>
      </c>
      <c r="G71" s="9">
        <v>102</v>
      </c>
      <c r="H71" s="8" t="s">
        <v>22</v>
      </c>
      <c r="I71" s="9">
        <v>25.2</v>
      </c>
      <c r="J71" s="1">
        <v>335.91096000000005</v>
      </c>
      <c r="K71" s="1">
        <v>68.72877135682117</v>
      </c>
      <c r="L71" s="9" t="s">
        <v>22</v>
      </c>
      <c r="M71" s="9">
        <v>1.4</v>
      </c>
      <c r="N71" s="9">
        <v>32.299999999999997</v>
      </c>
      <c r="O71" s="9">
        <f>Table1[[#This Row],[R1 Length (km)]]+Table1[[#This Row],[T1 Length (km)]]</f>
        <v>33.699999999999996</v>
      </c>
      <c r="P71" s="8">
        <v>130</v>
      </c>
      <c r="Q71" s="9">
        <f>(Table1[[#This Row],[Linear Features (km)]]*0.4)*100</f>
        <v>1347.9999999999998</v>
      </c>
      <c r="R71" s="1">
        <v>13.36</v>
      </c>
      <c r="S71" s="3">
        <f>Table1[[#This Row],[ATG (ha)]]/Table1[[#This Row],[Linear Area (ha)]]</f>
        <v>9.9109792284866483E-3</v>
      </c>
      <c r="T71" s="8" t="s">
        <v>136</v>
      </c>
      <c r="U71" s="2" t="s">
        <v>22</v>
      </c>
      <c r="V71" s="1" t="s">
        <v>22</v>
      </c>
      <c r="W71" s="1" t="s">
        <v>22</v>
      </c>
      <c r="X71" s="10">
        <v>785.17930000000001</v>
      </c>
      <c r="Y71" s="10">
        <f>Table1[[#This Row],[Raw Terrestrial Score]]/Table1[[#This Row],[Summed Raw Scores]]</f>
        <v>0.46906628794678745</v>
      </c>
      <c r="Z71" s="10">
        <v>888.74040000000002</v>
      </c>
      <c r="AA71" s="10">
        <f>Table1[[#This Row],[Raw Freshwater Score]]/Table1[[#This Row],[Summed Raw Scores]]</f>
        <v>0.5309337120532126</v>
      </c>
      <c r="AB71" s="10">
        <f>Table1[[#This Row],[Raw Terrestrial Score]]+Table1[[#This Row],[Raw Freshwater Score]]</f>
        <v>1673.9196999999999</v>
      </c>
      <c r="AC71" s="11">
        <f>Table1[[#This Row],[Terrestrial % of Summed Score]]*Table1[[#This Row],[Scaled Summed Score]]</f>
        <v>9.6479119682234729E-2</v>
      </c>
      <c r="AD71" s="11">
        <f>Table1[[#This Row],[Freshwater % of Summed Score]]*Table1[[#This Row],[Scaled Summed Score]]</f>
        <v>0.10920421796402066</v>
      </c>
      <c r="AE71" s="11">
        <f>Table1[[#This Row],[Summed Raw Scores]]/MAX(Table1[Summed Raw Scores])</f>
        <v>0.20568333764625538</v>
      </c>
      <c r="AF71" s="1"/>
    </row>
    <row r="72" spans="1:32" x14ac:dyDescent="0.3">
      <c r="A72" s="8" t="s">
        <v>159</v>
      </c>
      <c r="B72" s="8" t="s">
        <v>114</v>
      </c>
      <c r="C72" s="8" t="s">
        <v>27</v>
      </c>
      <c r="D72" s="8" t="s">
        <v>250</v>
      </c>
      <c r="E72" s="14">
        <v>55.364116840000001</v>
      </c>
      <c r="F72" s="14">
        <v>-121.4835836</v>
      </c>
      <c r="G72" s="9">
        <v>138</v>
      </c>
      <c r="H72" s="8" t="s">
        <v>22</v>
      </c>
      <c r="I72" s="1">
        <v>33.6</v>
      </c>
      <c r="J72" s="1">
        <v>562.91759999999999</v>
      </c>
      <c r="K72" s="1">
        <v>52.49959951056757</v>
      </c>
      <c r="L72" s="9" t="s">
        <v>22</v>
      </c>
      <c r="M72" s="14">
        <v>7.1597988281300005</v>
      </c>
      <c r="N72" s="1">
        <v>18.976451171874999</v>
      </c>
      <c r="O72" s="1">
        <f>Table1[[#This Row],[R1 Length (km)]]+Table1[[#This Row],[T1 Length (km)]]</f>
        <v>26.136250000004999</v>
      </c>
      <c r="P72" s="17">
        <v>230</v>
      </c>
      <c r="Q72" s="14">
        <f>(Table1[[#This Row],[Linear Features (km)]]*0.4)*100</f>
        <v>1045.4500000001999</v>
      </c>
      <c r="R72" s="1">
        <v>17.809999999999999</v>
      </c>
      <c r="S72" s="3">
        <f>Table1[[#This Row],[ATG (ha)]]/Table1[[#This Row],[Linear Area (ha)]]</f>
        <v>1.7035726242284752E-2</v>
      </c>
      <c r="T72" s="17" t="s">
        <v>136</v>
      </c>
      <c r="U72" s="2" t="s">
        <v>22</v>
      </c>
      <c r="V72" s="1" t="s">
        <v>22</v>
      </c>
      <c r="W72" s="1" t="s">
        <v>22</v>
      </c>
      <c r="X72" s="10">
        <v>107.6652</v>
      </c>
      <c r="Y72" s="10">
        <f>Table1[[#This Row],[Raw Terrestrial Score]]/Table1[[#This Row],[Summed Raw Scores]]</f>
        <v>0.35602241053823058</v>
      </c>
      <c r="Z72" s="10">
        <v>194.74610000000001</v>
      </c>
      <c r="AA72" s="10">
        <f>Table1[[#This Row],[Raw Freshwater Score]]/Table1[[#This Row],[Summed Raw Scores]]</f>
        <v>0.64397758946176953</v>
      </c>
      <c r="AB72" s="10">
        <f>Table1[[#This Row],[Raw Terrestrial Score]]+Table1[[#This Row],[Raw Freshwater Score]]</f>
        <v>302.41129999999998</v>
      </c>
      <c r="AC72" s="11">
        <f>Table1[[#This Row],[Terrestrial % of Summed Score]]*Table1[[#This Row],[Scaled Summed Score]]</f>
        <v>1.3229390683646066E-2</v>
      </c>
      <c r="AD72" s="11">
        <f>Table1[[#This Row],[Freshwater % of Summed Score]]*Table1[[#This Row],[Scaled Summed Score]]</f>
        <v>2.392947991566825E-2</v>
      </c>
      <c r="AE72" s="11">
        <f>Table1[[#This Row],[Summed Raw Scores]]/MAX(Table1[Summed Raw Scores])</f>
        <v>3.715887059931431E-2</v>
      </c>
      <c r="AF72" s="1"/>
    </row>
    <row r="73" spans="1:32" x14ac:dyDescent="0.3">
      <c r="A73" s="8" t="s">
        <v>160</v>
      </c>
      <c r="B73" s="8" t="s">
        <v>114</v>
      </c>
      <c r="C73" s="8" t="s">
        <v>27</v>
      </c>
      <c r="D73" s="8" t="s">
        <v>250</v>
      </c>
      <c r="E73" s="14">
        <v>54.924725109999997</v>
      </c>
      <c r="F73" s="14">
        <v>-121.4223738</v>
      </c>
      <c r="G73" s="9">
        <v>117</v>
      </c>
      <c r="H73" s="8" t="s">
        <v>22</v>
      </c>
      <c r="I73" s="1">
        <v>27.599999999999998</v>
      </c>
      <c r="J73" s="1">
        <v>536.13828000000001</v>
      </c>
      <c r="K73" s="1">
        <v>54.493656577696221</v>
      </c>
      <c r="L73" s="9" t="s">
        <v>22</v>
      </c>
      <c r="M73" s="14">
        <v>3.4455847168</v>
      </c>
      <c r="N73" s="1">
        <v>33.058789062499997</v>
      </c>
      <c r="O73" s="1">
        <f>Table1[[#This Row],[R1 Length (km)]]+Table1[[#This Row],[T1 Length (km)]]</f>
        <v>36.504373779299996</v>
      </c>
      <c r="P73" s="17">
        <v>230</v>
      </c>
      <c r="Q73" s="14">
        <f>(Table1[[#This Row],[Linear Features (km)]]*0.4)*100</f>
        <v>1460.174951172</v>
      </c>
      <c r="R73" s="1">
        <v>14.63</v>
      </c>
      <c r="S73" s="3">
        <f>Table1[[#This Row],[ATG (ha)]]/Table1[[#This Row],[Linear Area (ha)]]</f>
        <v>1.0019347331124483E-2</v>
      </c>
      <c r="T73" s="17" t="s">
        <v>136</v>
      </c>
      <c r="U73" s="2" t="s">
        <v>22</v>
      </c>
      <c r="V73" s="1" t="s">
        <v>22</v>
      </c>
      <c r="W73" s="1" t="s">
        <v>22</v>
      </c>
      <c r="X73" s="10">
        <v>663.57870000000003</v>
      </c>
      <c r="Y73" s="10">
        <f>Table1[[#This Row],[Raw Terrestrial Score]]/Table1[[#This Row],[Summed Raw Scores]]</f>
        <v>0.42234335529343181</v>
      </c>
      <c r="Z73" s="10">
        <v>907.60429999999997</v>
      </c>
      <c r="AA73" s="10">
        <f>Table1[[#This Row],[Raw Freshwater Score]]/Table1[[#This Row],[Summed Raw Scores]]</f>
        <v>0.57765664470656819</v>
      </c>
      <c r="AB73" s="10">
        <f>Table1[[#This Row],[Raw Terrestrial Score]]+Table1[[#This Row],[Raw Freshwater Score]]</f>
        <v>1571.183</v>
      </c>
      <c r="AC73" s="11">
        <f>Table1[[#This Row],[Terrestrial % of Summed Score]]*Table1[[#This Row],[Scaled Summed Score]]</f>
        <v>8.1537412939798271E-2</v>
      </c>
      <c r="AD73" s="11">
        <f>Table1[[#This Row],[Freshwater % of Summed Score]]*Table1[[#This Row],[Scaled Summed Score]]</f>
        <v>0.11152212479851528</v>
      </c>
      <c r="AE73" s="11">
        <f>Table1[[#This Row],[Summed Raw Scores]]/MAX(Table1[Summed Raw Scores])</f>
        <v>0.19305953773831355</v>
      </c>
      <c r="AF73" s="1"/>
    </row>
    <row r="74" spans="1:32" x14ac:dyDescent="0.3">
      <c r="A74" s="8" t="s">
        <v>161</v>
      </c>
      <c r="B74" s="8" t="s">
        <v>114</v>
      </c>
      <c r="C74" s="8" t="s">
        <v>27</v>
      </c>
      <c r="D74" s="8" t="s">
        <v>250</v>
      </c>
      <c r="E74" s="9">
        <v>54.783424879999998</v>
      </c>
      <c r="F74" s="9">
        <v>-120.28676</v>
      </c>
      <c r="G74" s="9">
        <v>156</v>
      </c>
      <c r="H74" s="8" t="s">
        <v>22</v>
      </c>
      <c r="I74" s="9">
        <v>38.4</v>
      </c>
      <c r="J74" s="1">
        <v>681.59807999999998</v>
      </c>
      <c r="K74" s="1">
        <v>53.877756587889799</v>
      </c>
      <c r="L74" s="9" t="s">
        <v>22</v>
      </c>
      <c r="M74" s="9">
        <v>7.3</v>
      </c>
      <c r="N74" s="9">
        <v>72.2</v>
      </c>
      <c r="O74" s="9">
        <f>Table1[[#This Row],[R1 Length (km)]]+Table1[[#This Row],[T1 Length (km)]]</f>
        <v>79.5</v>
      </c>
      <c r="P74" s="8">
        <v>230</v>
      </c>
      <c r="Q74" s="9">
        <f>(Table1[[#This Row],[Linear Features (km)]]*0.4)*100</f>
        <v>3180</v>
      </c>
      <c r="R74" s="1">
        <v>20.36</v>
      </c>
      <c r="S74" s="3">
        <f>Table1[[#This Row],[ATG (ha)]]/Table1[[#This Row],[Linear Area (ha)]]</f>
        <v>6.4025157232704402E-3</v>
      </c>
      <c r="T74" s="8" t="s">
        <v>136</v>
      </c>
      <c r="U74" s="2" t="s">
        <v>22</v>
      </c>
      <c r="V74" s="1" t="s">
        <v>22</v>
      </c>
      <c r="W74" s="1" t="s">
        <v>22</v>
      </c>
      <c r="X74" s="10">
        <v>382.43549999999999</v>
      </c>
      <c r="Y74" s="10">
        <f>Table1[[#This Row],[Raw Terrestrial Score]]/Table1[[#This Row],[Summed Raw Scores]]</f>
        <v>0.53401077333751867</v>
      </c>
      <c r="Z74" s="10">
        <v>333.72140000000002</v>
      </c>
      <c r="AA74" s="10">
        <f>Table1[[#This Row],[Raw Freshwater Score]]/Table1[[#This Row],[Summed Raw Scores]]</f>
        <v>0.46598922666248144</v>
      </c>
      <c r="AB74" s="10">
        <f>Table1[[#This Row],[Raw Terrestrial Score]]+Table1[[#This Row],[Raw Freshwater Score]]</f>
        <v>716.15689999999995</v>
      </c>
      <c r="AC74" s="11">
        <f>Table1[[#This Row],[Terrestrial % of Summed Score]]*Table1[[#This Row],[Scaled Summed Score]]</f>
        <v>4.6991865902775688E-2</v>
      </c>
      <c r="AD74" s="11">
        <f>Table1[[#This Row],[Freshwater % of Summed Score]]*Table1[[#This Row],[Scaled Summed Score]]</f>
        <v>4.1006107638246365E-2</v>
      </c>
      <c r="AE74" s="11">
        <f>Table1[[#This Row],[Summed Raw Scores]]/MAX(Table1[Summed Raw Scores])</f>
        <v>8.799797354102204E-2</v>
      </c>
      <c r="AF74" s="1"/>
    </row>
    <row r="75" spans="1:32" x14ac:dyDescent="0.3">
      <c r="A75" s="8" t="s">
        <v>162</v>
      </c>
      <c r="B75" s="8" t="s">
        <v>114</v>
      </c>
      <c r="C75" s="8" t="s">
        <v>27</v>
      </c>
      <c r="D75" s="8" t="s">
        <v>250</v>
      </c>
      <c r="E75" s="14">
        <v>54.862150470000003</v>
      </c>
      <c r="F75" s="14">
        <v>-121.0169033</v>
      </c>
      <c r="G75" s="9">
        <v>99</v>
      </c>
      <c r="H75" s="8" t="s">
        <v>22</v>
      </c>
      <c r="I75" s="1">
        <v>24</v>
      </c>
      <c r="J75" s="1">
        <v>462.52800000000002</v>
      </c>
      <c r="K75" s="1">
        <v>57.646413028801121</v>
      </c>
      <c r="L75" s="9" t="s">
        <v>22</v>
      </c>
      <c r="M75" s="14">
        <v>15.8065888672</v>
      </c>
      <c r="N75" s="1">
        <v>35.176449218750001</v>
      </c>
      <c r="O75" s="1">
        <f>Table1[[#This Row],[R1 Length (km)]]+Table1[[#This Row],[T1 Length (km)]]</f>
        <v>50.98303808595</v>
      </c>
      <c r="P75" s="17">
        <v>230</v>
      </c>
      <c r="Q75" s="14">
        <f>(Table1[[#This Row],[Linear Features (km)]]*0.4)*100</f>
        <v>2039.3215234380002</v>
      </c>
      <c r="R75" s="1">
        <v>12.72</v>
      </c>
      <c r="S75" s="3">
        <f>Table1[[#This Row],[ATG (ha)]]/Table1[[#This Row],[Linear Area (ha)]]</f>
        <v>6.2373685825450054E-3</v>
      </c>
      <c r="T75" s="17" t="s">
        <v>136</v>
      </c>
      <c r="U75" s="2" t="s">
        <v>22</v>
      </c>
      <c r="V75" s="1" t="s">
        <v>22</v>
      </c>
      <c r="W75" s="1" t="s">
        <v>22</v>
      </c>
      <c r="X75" s="10">
        <v>781.95899999999995</v>
      </c>
      <c r="Y75" s="10">
        <f>Table1[[#This Row],[Raw Terrestrial Score]]/Table1[[#This Row],[Summed Raw Scores]]</f>
        <v>0.46634750603122704</v>
      </c>
      <c r="Z75" s="10">
        <v>894.81420000000003</v>
      </c>
      <c r="AA75" s="10">
        <f>Table1[[#This Row],[Raw Freshwater Score]]/Table1[[#This Row],[Summed Raw Scores]]</f>
        <v>0.5336524939687729</v>
      </c>
      <c r="AB75" s="10">
        <f>Table1[[#This Row],[Raw Terrestrial Score]]+Table1[[#This Row],[Raw Freshwater Score]]</f>
        <v>1676.7732000000001</v>
      </c>
      <c r="AC75" s="11">
        <f>Table1[[#This Row],[Terrestrial % of Summed Score]]*Table1[[#This Row],[Scaled Summed Score]]</f>
        <v>9.6083424445347176E-2</v>
      </c>
      <c r="AD75" s="11">
        <f>Table1[[#This Row],[Freshwater % of Summed Score]]*Table1[[#This Row],[Scaled Summed Score]]</f>
        <v>0.10995053778820091</v>
      </c>
      <c r="AE75" s="39">
        <f>Table1[[#This Row],[Summed Raw Scores]]/MAX(Table1[Summed Raw Scores])</f>
        <v>0.20603396223354808</v>
      </c>
      <c r="AF75" s="1"/>
    </row>
    <row r="76" spans="1:32" x14ac:dyDescent="0.3">
      <c r="A76" s="8" t="s">
        <v>163</v>
      </c>
      <c r="B76" s="8" t="s">
        <v>114</v>
      </c>
      <c r="C76" s="8" t="s">
        <v>59</v>
      </c>
      <c r="D76" s="8"/>
      <c r="E76" s="9">
        <v>56.238809310000001</v>
      </c>
      <c r="F76" s="9">
        <v>-124.4981851</v>
      </c>
      <c r="G76" s="9">
        <v>207</v>
      </c>
      <c r="H76" s="8" t="s">
        <v>22</v>
      </c>
      <c r="I76" s="9">
        <v>49.199999999999996</v>
      </c>
      <c r="J76" s="9">
        <v>459.3656400000001</v>
      </c>
      <c r="K76" s="9">
        <v>121.35392801256627</v>
      </c>
      <c r="L76" s="9" t="s">
        <v>22</v>
      </c>
      <c r="M76" s="9">
        <v>3.4455849609400002</v>
      </c>
      <c r="N76" s="9">
        <v>181.21009375</v>
      </c>
      <c r="O76" s="9">
        <f>Table1[[#This Row],[R1 Length (km)]]+Table1[[#This Row],[T1 Length (km)]]</f>
        <v>184.65567871094001</v>
      </c>
      <c r="P76" s="8">
        <v>230</v>
      </c>
      <c r="Q76" s="9">
        <f>(Table1[[#This Row],[Linear Features (km)]]*0.4)*100</f>
        <v>7386.2271484376006</v>
      </c>
      <c r="R76" s="1">
        <f>2987057/10000</f>
        <v>298.70569999999998</v>
      </c>
      <c r="S76" s="3">
        <f>Table1[[#This Row],[ATG (ha)]]/Table1[[#This Row],[Linear Area (ha)]]</f>
        <v>4.0440903589484767E-2</v>
      </c>
      <c r="T76" s="8" t="s">
        <v>136</v>
      </c>
      <c r="U76" s="2" t="s">
        <v>22</v>
      </c>
      <c r="V76" s="1" t="s">
        <v>22</v>
      </c>
      <c r="W76" s="1" t="s">
        <v>22</v>
      </c>
      <c r="X76" s="10">
        <v>1416.9749999999999</v>
      </c>
      <c r="Y76" s="10">
        <f>Table1[[#This Row],[Raw Terrestrial Score]]/Table1[[#This Row],[Summed Raw Scores]]</f>
        <v>0.49574030166871857</v>
      </c>
      <c r="Z76" s="10">
        <v>1441.326</v>
      </c>
      <c r="AA76" s="10">
        <f>Table1[[#This Row],[Raw Freshwater Score]]/Table1[[#This Row],[Summed Raw Scores]]</f>
        <v>0.50425969833128148</v>
      </c>
      <c r="AB76" s="10">
        <f>Table1[[#This Row],[Raw Terrestrial Score]]+Table1[[#This Row],[Raw Freshwater Score]]</f>
        <v>2858.3009999999999</v>
      </c>
      <c r="AC76" s="11">
        <f>Table1[[#This Row],[Terrestrial % of Summed Score]]*Table1[[#This Row],[Scaled Summed Score]]</f>
        <v>0.1741111878671974</v>
      </c>
      <c r="AD76" s="11">
        <f>Table1[[#This Row],[Freshwater % of Summed Score]]*Table1[[#This Row],[Scaled Summed Score]]</f>
        <v>0.17710332360406938</v>
      </c>
      <c r="AE76" s="39">
        <f>Table1[[#This Row],[Summed Raw Scores]]/MAX(Table1[Summed Raw Scores])</f>
        <v>0.35121451147126675</v>
      </c>
      <c r="AF76" s="1"/>
    </row>
    <row r="77" spans="1:32" x14ac:dyDescent="0.3">
      <c r="A77" s="8" t="s">
        <v>164</v>
      </c>
      <c r="B77" s="8" t="s">
        <v>114</v>
      </c>
      <c r="C77" s="8" t="s">
        <v>59</v>
      </c>
      <c r="D77" s="8"/>
      <c r="E77" s="9">
        <v>55.498280790000003</v>
      </c>
      <c r="F77" s="9">
        <v>-124.4117115</v>
      </c>
      <c r="G77" s="9">
        <v>54</v>
      </c>
      <c r="H77" s="8" t="s">
        <v>22</v>
      </c>
      <c r="I77" s="9">
        <v>13.2</v>
      </c>
      <c r="J77" s="9">
        <v>157.93403999999998</v>
      </c>
      <c r="K77" s="9">
        <v>134.85350200349799</v>
      </c>
      <c r="L77" s="9" t="s">
        <v>22</v>
      </c>
      <c r="M77" s="9">
        <v>9.0012187499999996</v>
      </c>
      <c r="N77" s="9">
        <v>92.210257812500004</v>
      </c>
      <c r="O77" s="9">
        <f>Table1[[#This Row],[R1 Length (km)]]+Table1[[#This Row],[T1 Length (km)]]</f>
        <v>101.2114765625</v>
      </c>
      <c r="P77" s="8">
        <v>130</v>
      </c>
      <c r="Q77" s="9">
        <f>(Table1[[#This Row],[Linear Features (km)]]*0.4)*100</f>
        <v>4048.4590625000001</v>
      </c>
      <c r="R77" s="1">
        <f>835260.1/10000</f>
        <v>83.526009999999999</v>
      </c>
      <c r="S77" s="3">
        <f>Table1[[#This Row],[ATG (ha)]]/Table1[[#This Row],[Linear Area (ha)]]</f>
        <v>2.0631556034167012E-2</v>
      </c>
      <c r="T77" s="8" t="s">
        <v>136</v>
      </c>
      <c r="U77" s="2" t="s">
        <v>22</v>
      </c>
      <c r="V77" s="1" t="s">
        <v>22</v>
      </c>
      <c r="W77" s="1" t="s">
        <v>22</v>
      </c>
      <c r="X77" s="10">
        <v>599.82489999999996</v>
      </c>
      <c r="Y77" s="10">
        <f>Table1[[#This Row],[Raw Terrestrial Score]]/Table1[[#This Row],[Summed Raw Scores]]</f>
        <v>0.46025401928643639</v>
      </c>
      <c r="Z77" s="10">
        <v>703.42259999999999</v>
      </c>
      <c r="AA77" s="10">
        <f>Table1[[#This Row],[Raw Freshwater Score]]/Table1[[#This Row],[Summed Raw Scores]]</f>
        <v>0.53974598071356361</v>
      </c>
      <c r="AB77" s="10">
        <f>Table1[[#This Row],[Raw Terrestrial Score]]+Table1[[#This Row],[Raw Freshwater Score]]</f>
        <v>1303.2474999999999</v>
      </c>
      <c r="AC77" s="11">
        <f>Table1[[#This Row],[Terrestrial % of Summed Score]]*Table1[[#This Row],[Scaled Summed Score]]</f>
        <v>7.3703647454134963E-2</v>
      </c>
      <c r="AD77" s="11">
        <f>Table1[[#This Row],[Freshwater % of Summed Score]]*Table1[[#This Row],[Scaled Summed Score]]</f>
        <v>8.6433242970858665E-2</v>
      </c>
      <c r="AE77" s="39">
        <f>Table1[[#This Row],[Summed Raw Scores]]/MAX(Table1[Summed Raw Scores])</f>
        <v>0.16013689042499363</v>
      </c>
      <c r="AF77" s="1"/>
    </row>
    <row r="78" spans="1:32" x14ac:dyDescent="0.3">
      <c r="A78" s="8" t="s">
        <v>165</v>
      </c>
      <c r="B78" s="8" t="s">
        <v>114</v>
      </c>
      <c r="C78" s="8" t="s">
        <v>59</v>
      </c>
      <c r="D78" s="8"/>
      <c r="E78" s="9">
        <v>55.481708900000001</v>
      </c>
      <c r="F78" s="9">
        <v>-123.9167898</v>
      </c>
      <c r="G78" s="9">
        <v>117</v>
      </c>
      <c r="H78" s="8" t="s">
        <v>22</v>
      </c>
      <c r="I78" s="9">
        <v>28.799999999999997</v>
      </c>
      <c r="J78" s="9">
        <v>308.42207999999999</v>
      </c>
      <c r="K78" s="9">
        <v>106.96629348122117</v>
      </c>
      <c r="L78" s="9" t="s">
        <v>22</v>
      </c>
      <c r="M78" s="9">
        <v>1.9242641601600001</v>
      </c>
      <c r="N78" s="9">
        <v>60.264675781249998</v>
      </c>
      <c r="O78" s="9">
        <f>Table1[[#This Row],[R1 Length (km)]]+Table1[[#This Row],[T1 Length (km)]]</f>
        <v>62.188939941409998</v>
      </c>
      <c r="P78" s="8">
        <v>130</v>
      </c>
      <c r="Q78" s="9">
        <f>(Table1[[#This Row],[Linear Features (km)]]*0.4)*100</f>
        <v>2487.5575976564</v>
      </c>
      <c r="R78" s="1">
        <f>1867770/10000</f>
        <v>186.77699999999999</v>
      </c>
      <c r="S78" s="3">
        <f>Table1[[#This Row],[ATG (ha)]]/Table1[[#This Row],[Linear Area (ha)]]</f>
        <v>7.5084492586611054E-2</v>
      </c>
      <c r="T78" s="8" t="s">
        <v>136</v>
      </c>
      <c r="U78" s="2" t="s">
        <v>22</v>
      </c>
      <c r="V78" s="1" t="s">
        <v>22</v>
      </c>
      <c r="W78" s="1" t="s">
        <v>22</v>
      </c>
      <c r="X78" s="10">
        <v>573.69140000000004</v>
      </c>
      <c r="Y78" s="10">
        <f>Table1[[#This Row],[Raw Terrestrial Score]]/Table1[[#This Row],[Summed Raw Scores]]</f>
        <v>0.45332342333614695</v>
      </c>
      <c r="Z78" s="10">
        <v>691.83199999999999</v>
      </c>
      <c r="AA78" s="10">
        <f>Table1[[#This Row],[Raw Freshwater Score]]/Table1[[#This Row],[Summed Raw Scores]]</f>
        <v>0.54667657666385305</v>
      </c>
      <c r="AB78" s="10">
        <f>Table1[[#This Row],[Raw Terrestrial Score]]+Table1[[#This Row],[Raw Freshwater Score]]</f>
        <v>1265.5234</v>
      </c>
      <c r="AC78" s="11">
        <f>Table1[[#This Row],[Terrestrial % of Summed Score]]*Table1[[#This Row],[Scaled Summed Score]]</f>
        <v>7.0492486545772171E-2</v>
      </c>
      <c r="AD78" s="11">
        <f>Table1[[#This Row],[Freshwater % of Summed Score]]*Table1[[#This Row],[Scaled Summed Score]]</f>
        <v>8.5009044848736864E-2</v>
      </c>
      <c r="AE78" s="39">
        <f>Table1[[#This Row],[Summed Raw Scores]]/MAX(Table1[Summed Raw Scores])</f>
        <v>0.15550153139450903</v>
      </c>
      <c r="AF78" s="1"/>
    </row>
    <row r="79" spans="1:32" x14ac:dyDescent="0.3">
      <c r="A79" s="8" t="s">
        <v>166</v>
      </c>
      <c r="B79" s="8" t="s">
        <v>114</v>
      </c>
      <c r="C79" s="8" t="s">
        <v>59</v>
      </c>
      <c r="D79" s="8" t="s">
        <v>250</v>
      </c>
      <c r="E79" s="9">
        <v>55.22798306</v>
      </c>
      <c r="F79" s="9">
        <v>-123.42672570000001</v>
      </c>
      <c r="G79" s="9">
        <v>117</v>
      </c>
      <c r="H79" s="8" t="s">
        <v>22</v>
      </c>
      <c r="I79" s="9">
        <v>38.4</v>
      </c>
      <c r="J79" s="9">
        <v>477.38496000000004</v>
      </c>
      <c r="K79" s="9">
        <v>83.356993131118287</v>
      </c>
      <c r="L79" s="9" t="s">
        <v>22</v>
      </c>
      <c r="M79" s="9">
        <v>1.6485283203100001</v>
      </c>
      <c r="N79" s="9">
        <v>24.594826171874999</v>
      </c>
      <c r="O79" s="9">
        <f>Table1[[#This Row],[R1 Length (km)]]+Table1[[#This Row],[T1 Length (km)]]</f>
        <v>26.243354492184999</v>
      </c>
      <c r="P79" s="8">
        <v>130</v>
      </c>
      <c r="Q79" s="9">
        <f>(Table1[[#This Row],[Linear Features (km)]]*0.4)*100</f>
        <v>1049.7341796874</v>
      </c>
      <c r="R79" s="1">
        <v>20.36</v>
      </c>
      <c r="S79" s="3">
        <f>Table1[[#This Row],[ATG (ha)]]/Table1[[#This Row],[Linear Area (ha)]]</f>
        <v>1.9395386369207294E-2</v>
      </c>
      <c r="T79" s="8" t="s">
        <v>136</v>
      </c>
      <c r="U79" s="2" t="s">
        <v>22</v>
      </c>
      <c r="V79" s="1" t="s">
        <v>22</v>
      </c>
      <c r="W79" s="1" t="s">
        <v>22</v>
      </c>
      <c r="X79" s="10">
        <v>329.01400000000001</v>
      </c>
      <c r="Y79" s="10">
        <f>Table1[[#This Row],[Raw Terrestrial Score]]/Table1[[#This Row],[Summed Raw Scores]]</f>
        <v>0.3798300142528323</v>
      </c>
      <c r="Z79" s="10">
        <v>537.19979999999998</v>
      </c>
      <c r="AA79" s="10">
        <f>Table1[[#This Row],[Raw Freshwater Score]]/Table1[[#This Row],[Summed Raw Scores]]</f>
        <v>0.62016998574716775</v>
      </c>
      <c r="AB79" s="10">
        <f>Table1[[#This Row],[Raw Terrestrial Score]]+Table1[[#This Row],[Raw Freshwater Score]]</f>
        <v>866.21379999999999</v>
      </c>
      <c r="AC79" s="11">
        <f>Table1[[#This Row],[Terrestrial % of Summed Score]]*Table1[[#This Row],[Scaled Summed Score]]</f>
        <v>4.0427684585076021E-2</v>
      </c>
      <c r="AD79" s="11">
        <f>Table1[[#This Row],[Freshwater % of Summed Score]]*Table1[[#This Row],[Scaled Summed Score]]</f>
        <v>6.6008571287440407E-2</v>
      </c>
      <c r="AE79" s="39">
        <f>Table1[[#This Row],[Summed Raw Scores]]/MAX(Table1[Summed Raw Scores])</f>
        <v>0.10643625587251643</v>
      </c>
      <c r="AF79" s="1"/>
    </row>
    <row r="80" spans="1:32" x14ac:dyDescent="0.3">
      <c r="A80" s="8" t="s">
        <v>167</v>
      </c>
      <c r="B80" s="8" t="s">
        <v>114</v>
      </c>
      <c r="C80" s="8" t="s">
        <v>27</v>
      </c>
      <c r="D80" s="8" t="s">
        <v>250</v>
      </c>
      <c r="E80" s="14">
        <v>55.543307339999998</v>
      </c>
      <c r="F80" s="14">
        <v>-122.3474683</v>
      </c>
      <c r="G80" s="9">
        <v>126</v>
      </c>
      <c r="H80" s="8" t="s">
        <v>22</v>
      </c>
      <c r="I80" s="1">
        <v>30</v>
      </c>
      <c r="J80" s="1">
        <v>518.37300000000005</v>
      </c>
      <c r="K80" s="1">
        <v>59.692496414795102</v>
      </c>
      <c r="L80" s="9" t="s">
        <v>22</v>
      </c>
      <c r="M80" s="14">
        <v>4.9526914062499996</v>
      </c>
      <c r="N80" s="1">
        <v>52.425691406250003</v>
      </c>
      <c r="O80" s="1">
        <f>Table1[[#This Row],[R1 Length (km)]]+Table1[[#This Row],[T1 Length (km)]]</f>
        <v>57.3783828125</v>
      </c>
      <c r="P80" s="17">
        <v>130</v>
      </c>
      <c r="Q80" s="14">
        <f>(Table1[[#This Row],[Linear Features (km)]]*0.4)*100</f>
        <v>2295.1353125000001</v>
      </c>
      <c r="R80" s="1">
        <v>15.9</v>
      </c>
      <c r="S80" s="3">
        <f>Table1[[#This Row],[ATG (ha)]]/Table1[[#This Row],[Linear Area (ha)]]</f>
        <v>6.927696120313168E-3</v>
      </c>
      <c r="T80" s="17" t="s">
        <v>136</v>
      </c>
      <c r="U80" s="2" t="s">
        <v>22</v>
      </c>
      <c r="V80" s="1" t="s">
        <v>22</v>
      </c>
      <c r="W80" s="1" t="s">
        <v>22</v>
      </c>
      <c r="X80" s="10">
        <v>656.76279999999997</v>
      </c>
      <c r="Y80" s="10">
        <f>Table1[[#This Row],[Raw Terrestrial Score]]/Table1[[#This Row],[Summed Raw Scores]]</f>
        <v>0.46111971234835214</v>
      </c>
      <c r="Z80" s="10">
        <v>767.51549999999997</v>
      </c>
      <c r="AA80" s="10">
        <f>Table1[[#This Row],[Raw Freshwater Score]]/Table1[[#This Row],[Summed Raw Scores]]</f>
        <v>0.53888028765164786</v>
      </c>
      <c r="AB80" s="10">
        <f>Table1[[#This Row],[Raw Terrestrial Score]]+Table1[[#This Row],[Raw Freshwater Score]]</f>
        <v>1424.2782999999999</v>
      </c>
      <c r="AC80" s="11">
        <f>Table1[[#This Row],[Terrestrial % of Summed Score]]*Table1[[#This Row],[Scaled Summed Score]]</f>
        <v>8.0699907376620333E-2</v>
      </c>
      <c r="AD80" s="11">
        <f>Table1[[#This Row],[Freshwater % of Summed Score]]*Table1[[#This Row],[Scaled Summed Score]]</f>
        <v>9.4308675461095615E-2</v>
      </c>
      <c r="AE80" s="39">
        <f>Table1[[#This Row],[Summed Raw Scores]]/MAX(Table1[Summed Raw Scores])</f>
        <v>0.17500858283771595</v>
      </c>
      <c r="AF80" s="1"/>
    </row>
    <row r="81" spans="1:32" x14ac:dyDescent="0.3">
      <c r="A81" s="8" t="s">
        <v>168</v>
      </c>
      <c r="B81" s="8" t="s">
        <v>114</v>
      </c>
      <c r="C81" s="8" t="s">
        <v>27</v>
      </c>
      <c r="D81" s="8" t="s">
        <v>250</v>
      </c>
      <c r="E81" s="14">
        <v>55.088797079999999</v>
      </c>
      <c r="F81" s="14">
        <v>-120.8807972</v>
      </c>
      <c r="G81" s="9">
        <v>108</v>
      </c>
      <c r="H81" s="8" t="s">
        <v>22</v>
      </c>
      <c r="I81" s="9">
        <v>26.4</v>
      </c>
      <c r="J81" s="9">
        <v>349.97952000000004</v>
      </c>
      <c r="K81" s="9">
        <v>74.776098252114934</v>
      </c>
      <c r="L81" s="9" t="s">
        <v>22</v>
      </c>
      <c r="M81" s="9">
        <v>0.6</v>
      </c>
      <c r="N81" s="9">
        <v>18.7</v>
      </c>
      <c r="O81" s="9">
        <f>Table1[[#This Row],[R1 Length (km)]]+Table1[[#This Row],[T1 Length (km)]]</f>
        <v>19.3</v>
      </c>
      <c r="P81" s="8">
        <v>230</v>
      </c>
      <c r="Q81" s="9">
        <f>(Table1[[#This Row],[Linear Features (km)]]*0.4)*100</f>
        <v>772.00000000000011</v>
      </c>
      <c r="R81" s="1">
        <v>14</v>
      </c>
      <c r="S81" s="3">
        <f>Table1[[#This Row],[ATG (ha)]]/Table1[[#This Row],[Linear Area (ha)]]</f>
        <v>1.8134715025906734E-2</v>
      </c>
      <c r="T81" s="8" t="s">
        <v>136</v>
      </c>
      <c r="U81" s="2" t="s">
        <v>22</v>
      </c>
      <c r="V81" s="1" t="s">
        <v>22</v>
      </c>
      <c r="W81" s="1" t="s">
        <v>22</v>
      </c>
      <c r="X81" s="10">
        <v>174.3604</v>
      </c>
      <c r="Y81" s="10">
        <f>Table1[[#This Row],[Raw Terrestrial Score]]/Table1[[#This Row],[Summed Raw Scores]]</f>
        <v>0.5425696507721548</v>
      </c>
      <c r="Z81" s="10">
        <v>147</v>
      </c>
      <c r="AA81" s="10">
        <f>Table1[[#This Row],[Raw Freshwater Score]]/Table1[[#This Row],[Summed Raw Scores]]</f>
        <v>0.45743034922784509</v>
      </c>
      <c r="AB81" s="10">
        <f>Table1[[#This Row],[Raw Terrestrial Score]]+Table1[[#This Row],[Raw Freshwater Score]]</f>
        <v>321.36040000000003</v>
      </c>
      <c r="AC81" s="11">
        <f>Table1[[#This Row],[Terrestrial % of Summed Score]]*Table1[[#This Row],[Scaled Summed Score]]</f>
        <v>2.1424581492968955E-2</v>
      </c>
      <c r="AD81" s="11">
        <f>Table1[[#This Row],[Freshwater % of Summed Score]]*Table1[[#This Row],[Scaled Summed Score]]</f>
        <v>1.8062664913973795E-2</v>
      </c>
      <c r="AE81" s="39">
        <f>Table1[[#This Row],[Summed Raw Scores]]/MAX(Table1[Summed Raw Scores])</f>
        <v>3.9487246406942754E-2</v>
      </c>
      <c r="AF81" s="1"/>
    </row>
    <row r="82" spans="1:32" x14ac:dyDescent="0.3">
      <c r="A82" s="8" t="s">
        <v>169</v>
      </c>
      <c r="B82" s="8" t="s">
        <v>114</v>
      </c>
      <c r="C82" s="8" t="s">
        <v>27</v>
      </c>
      <c r="D82" s="8" t="s">
        <v>250</v>
      </c>
      <c r="E82" s="14">
        <v>55.438547239999998</v>
      </c>
      <c r="F82" s="14">
        <v>-122.1718735</v>
      </c>
      <c r="G82" s="9">
        <v>153</v>
      </c>
      <c r="H82" s="8" t="s">
        <v>22</v>
      </c>
      <c r="I82" s="1">
        <v>36</v>
      </c>
      <c r="J82" s="1">
        <v>694.58039999999994</v>
      </c>
      <c r="K82" s="1">
        <v>50.959020257979866</v>
      </c>
      <c r="L82" s="9" t="s">
        <v>22</v>
      </c>
      <c r="M82" s="9">
        <v>4.9000000000000004</v>
      </c>
      <c r="N82" s="1">
        <v>45.674933593749998</v>
      </c>
      <c r="O82" s="1">
        <f>Table1[[#This Row],[R1 Length (km)]]+Table1[[#This Row],[T1 Length (km)]]</f>
        <v>50.574933593749996</v>
      </c>
      <c r="P82" s="17">
        <v>130</v>
      </c>
      <c r="Q82" s="14">
        <f>(Table1[[#This Row],[Linear Features (km)]]*0.4)*100</f>
        <v>2022.99734375</v>
      </c>
      <c r="R82" s="1">
        <v>19.09</v>
      </c>
      <c r="S82" s="3">
        <f>Table1[[#This Row],[ATG (ha)]]/Table1[[#This Row],[Linear Area (ha)]]</f>
        <v>9.4364928648957846E-3</v>
      </c>
      <c r="T82" s="17" t="s">
        <v>136</v>
      </c>
      <c r="U82" s="2" t="s">
        <v>22</v>
      </c>
      <c r="V82" s="1" t="s">
        <v>22</v>
      </c>
      <c r="W82" s="1" t="s">
        <v>22</v>
      </c>
      <c r="X82" s="10">
        <v>609.39559999999994</v>
      </c>
      <c r="Y82" s="10">
        <f>Table1[[#This Row],[Raw Terrestrial Score]]/Table1[[#This Row],[Summed Raw Scores]]</f>
        <v>0.45340770642420264</v>
      </c>
      <c r="Z82" s="10">
        <v>734.63890000000004</v>
      </c>
      <c r="AA82" s="10">
        <f>Table1[[#This Row],[Raw Freshwater Score]]/Table1[[#This Row],[Summed Raw Scores]]</f>
        <v>0.54659229357579742</v>
      </c>
      <c r="AB82" s="10">
        <f>Table1[[#This Row],[Raw Terrestrial Score]]+Table1[[#This Row],[Raw Freshwater Score]]</f>
        <v>1344.0345</v>
      </c>
      <c r="AC82" s="11">
        <f>Table1[[#This Row],[Terrestrial % of Summed Score]]*Table1[[#This Row],[Scaled Summed Score]]</f>
        <v>7.487964981530619E-2</v>
      </c>
      <c r="AD82" s="11">
        <f>Table1[[#This Row],[Freshwater % of Summed Score]]*Table1[[#This Row],[Scaled Summed Score]]</f>
        <v>9.0268954309321803E-2</v>
      </c>
      <c r="AE82" s="39">
        <f>Table1[[#This Row],[Summed Raw Scores]]/MAX(Table1[Summed Raw Scores])</f>
        <v>0.16514860412462798</v>
      </c>
      <c r="AF82" s="1"/>
    </row>
    <row r="83" spans="1:32" x14ac:dyDescent="0.3">
      <c r="A83" s="8" t="s">
        <v>170</v>
      </c>
      <c r="B83" s="8" t="s">
        <v>114</v>
      </c>
      <c r="C83" s="8" t="s">
        <v>27</v>
      </c>
      <c r="D83" s="8"/>
      <c r="E83" s="9">
        <v>55.576506389999999</v>
      </c>
      <c r="F83" s="9">
        <v>-121.70082429999999</v>
      </c>
      <c r="G83" s="9">
        <v>87</v>
      </c>
      <c r="H83" s="8" t="s">
        <v>22</v>
      </c>
      <c r="I83" s="9">
        <v>21.599999999999998</v>
      </c>
      <c r="J83" s="9">
        <v>213.57755999999998</v>
      </c>
      <c r="K83" s="9">
        <v>98.6800376344559</v>
      </c>
      <c r="L83" s="9" t="s">
        <v>22</v>
      </c>
      <c r="M83" s="9">
        <v>0.8</v>
      </c>
      <c r="N83" s="9">
        <v>15.891168945312501</v>
      </c>
      <c r="O83" s="9">
        <f>Table1[[#This Row],[R1 Length (km)]]+Table1[[#This Row],[T1 Length (km)]]</f>
        <v>16.691168945312501</v>
      </c>
      <c r="P83" s="8">
        <v>130</v>
      </c>
      <c r="Q83" s="9">
        <f>(Table1[[#This Row],[Linear Features (km)]]*0.4)*100</f>
        <v>667.64675781250014</v>
      </c>
      <c r="R83" s="1">
        <f>1542378/10000</f>
        <v>154.23779999999999</v>
      </c>
      <c r="S83" s="3">
        <f>Table1[[#This Row],[ATG (ha)]]/Table1[[#This Row],[Linear Area (ha)]]</f>
        <v>0.2310170733178572</v>
      </c>
      <c r="T83" s="8" t="s">
        <v>136</v>
      </c>
      <c r="U83" s="2" t="s">
        <v>22</v>
      </c>
      <c r="V83" s="1" t="s">
        <v>22</v>
      </c>
      <c r="W83" s="1" t="s">
        <v>22</v>
      </c>
      <c r="X83" s="10">
        <v>56.809229999999999</v>
      </c>
      <c r="Y83" s="10">
        <f>Table1[[#This Row],[Raw Terrestrial Score]]/Table1[[#This Row],[Summed Raw Scores]]</f>
        <v>0.40509632488295649</v>
      </c>
      <c r="Z83" s="10">
        <v>83.427120000000002</v>
      </c>
      <c r="AA83" s="10">
        <f>Table1[[#This Row],[Raw Freshwater Score]]/Table1[[#This Row],[Summed Raw Scores]]</f>
        <v>0.59490367511704345</v>
      </c>
      <c r="AB83" s="10">
        <f>Table1[[#This Row],[Raw Terrestrial Score]]+Table1[[#This Row],[Raw Freshwater Score]]</f>
        <v>140.23635000000002</v>
      </c>
      <c r="AC83" s="11">
        <f>Table1[[#This Row],[Terrestrial % of Summed Score]]*Table1[[#This Row],[Scaled Summed Score]]</f>
        <v>6.9804495612984189E-3</v>
      </c>
      <c r="AD83" s="11">
        <f>Table1[[#This Row],[Freshwater % of Summed Score]]*Table1[[#This Row],[Scaled Summed Score]]</f>
        <v>1.0251130022434569E-2</v>
      </c>
      <c r="AE83" s="11">
        <f>Table1[[#This Row],[Summed Raw Scores]]/MAX(Table1[Summed Raw Scores])</f>
        <v>1.7231579583732989E-2</v>
      </c>
      <c r="AF83" s="1"/>
    </row>
    <row r="84" spans="1:32" x14ac:dyDescent="0.3">
      <c r="A84" s="8" t="s">
        <v>171</v>
      </c>
      <c r="B84" s="8" t="s">
        <v>114</v>
      </c>
      <c r="C84" s="8" t="s">
        <v>27</v>
      </c>
      <c r="D84" s="8" t="s">
        <v>250</v>
      </c>
      <c r="E84" s="9">
        <v>55.808584250000003</v>
      </c>
      <c r="F84" s="9">
        <v>-121.38396040000001</v>
      </c>
      <c r="G84" s="9">
        <v>150</v>
      </c>
      <c r="H84" s="8" t="s">
        <v>22</v>
      </c>
      <c r="I84" s="9">
        <v>36</v>
      </c>
      <c r="J84" s="9">
        <v>383.81940000000003</v>
      </c>
      <c r="K84" s="9">
        <v>84.166982229582743</v>
      </c>
      <c r="L84" s="9" t="s">
        <v>22</v>
      </c>
      <c r="M84" s="9">
        <v>0.1</v>
      </c>
      <c r="N84" s="9">
        <v>20</v>
      </c>
      <c r="O84" s="9">
        <f>Table1[[#This Row],[R1 Length (km)]]+Table1[[#This Row],[T1 Length (km)]]</f>
        <v>20.100000000000001</v>
      </c>
      <c r="P84" s="8">
        <v>130</v>
      </c>
      <c r="Q84" s="9">
        <f>(Table1[[#This Row],[Linear Features (km)]]*0.4)*100</f>
        <v>804.00000000000011</v>
      </c>
      <c r="R84" s="1">
        <f>((PI()*(45^2))*Table1[[#This Row],[Number of Turbines - WIND]])/10000</f>
        <v>19.085175370557995</v>
      </c>
      <c r="S84" s="3">
        <f>Table1[[#This Row],[ATG (ha)]]/Table1[[#This Row],[Linear Area (ha)]]</f>
        <v>2.3737780311639294E-2</v>
      </c>
      <c r="T84" s="8" t="s">
        <v>115</v>
      </c>
      <c r="U84" s="8">
        <v>30</v>
      </c>
      <c r="V84" s="1" t="s">
        <v>22</v>
      </c>
      <c r="W84" s="1" t="s">
        <v>22</v>
      </c>
      <c r="X84" s="10">
        <f>12.92114+6.255355</f>
        <v>19.176494999999999</v>
      </c>
      <c r="Y84" s="10">
        <f>Table1[[#This Row],[Raw Terrestrial Score]]/Table1[[#This Row],[Summed Raw Scores]]</f>
        <v>0.14506807928383186</v>
      </c>
      <c r="Z84" s="10">
        <f>69.10525+43.90788</f>
        <v>113.01312999999999</v>
      </c>
      <c r="AA84" s="10">
        <f>Table1[[#This Row],[Raw Freshwater Score]]/Table1[[#This Row],[Summed Raw Scores]]</f>
        <v>0.85493192071616819</v>
      </c>
      <c r="AB84" s="10">
        <f>Table1[[#This Row],[Raw Terrestrial Score]]+Table1[[#This Row],[Raw Freshwater Score]]</f>
        <v>132.18962499999998</v>
      </c>
      <c r="AC84" s="11">
        <f>Table1[[#This Row],[Terrestrial % of Summed Score]]*Table1[[#This Row],[Scaled Summed Score]]</f>
        <v>2.3563170299965575E-3</v>
      </c>
      <c r="AD84" s="11">
        <f>Table1[[#This Row],[Freshwater % of Summed Score]]*Table1[[#This Row],[Scaled Summed Score]]</f>
        <v>1.3886519034485437E-2</v>
      </c>
      <c r="AE84" s="39">
        <f>Table1[[#This Row],[Summed Raw Scores]]/MAX(Table1[Summed Raw Scores])</f>
        <v>1.6242836064481993E-2</v>
      </c>
      <c r="AF84" s="1"/>
    </row>
    <row r="85" spans="1:32" x14ac:dyDescent="0.3">
      <c r="A85" s="8" t="s">
        <v>172</v>
      </c>
      <c r="B85" s="8" t="s">
        <v>114</v>
      </c>
      <c r="C85" s="8" t="s">
        <v>27</v>
      </c>
      <c r="D85" s="8" t="s">
        <v>250</v>
      </c>
      <c r="E85" s="9">
        <v>55.548454599999999</v>
      </c>
      <c r="F85" s="9">
        <v>-120.7554162</v>
      </c>
      <c r="G85" s="9">
        <v>351</v>
      </c>
      <c r="H85" s="8" t="s">
        <v>22</v>
      </c>
      <c r="I85" s="9">
        <v>84</v>
      </c>
      <c r="J85" s="9">
        <v>952.91280000000006</v>
      </c>
      <c r="K85" s="9">
        <v>77.43051985602311</v>
      </c>
      <c r="L85" s="9" t="s">
        <v>22</v>
      </c>
      <c r="M85" s="9">
        <v>1.4</v>
      </c>
      <c r="N85" s="9">
        <v>54.8</v>
      </c>
      <c r="O85" s="9">
        <f>Table1[[#This Row],[R1 Length (km)]]+Table1[[#This Row],[T1 Length (km)]]</f>
        <v>56.199999999999996</v>
      </c>
      <c r="P85" s="8">
        <v>230</v>
      </c>
      <c r="Q85" s="9">
        <f>(Table1[[#This Row],[Linear Features (km)]]*0.4)*100</f>
        <v>2248</v>
      </c>
      <c r="R85" s="1">
        <v>44.53</v>
      </c>
      <c r="S85" s="3">
        <f>Table1[[#This Row],[ATG (ha)]]/Table1[[#This Row],[Linear Area (ha)]]</f>
        <v>1.9808718861209964E-2</v>
      </c>
      <c r="T85" s="8" t="s">
        <v>136</v>
      </c>
      <c r="U85" s="2" t="s">
        <v>22</v>
      </c>
      <c r="V85" s="1" t="s">
        <v>22</v>
      </c>
      <c r="W85" s="1" t="s">
        <v>22</v>
      </c>
      <c r="X85" s="10">
        <v>220.4101</v>
      </c>
      <c r="Y85" s="10">
        <f>Table1[[#This Row],[Raw Terrestrial Score]]/Table1[[#This Row],[Summed Raw Scores]]</f>
        <v>0.42968047585516922</v>
      </c>
      <c r="Z85" s="10">
        <v>292.55270000000002</v>
      </c>
      <c r="AA85" s="10">
        <f>Table1[[#This Row],[Raw Freshwater Score]]/Table1[[#This Row],[Summed Raw Scores]]</f>
        <v>0.57031952414483078</v>
      </c>
      <c r="AB85" s="10">
        <f>Table1[[#This Row],[Raw Terrestrial Score]]+Table1[[#This Row],[Raw Freshwater Score]]</f>
        <v>512.96280000000002</v>
      </c>
      <c r="AC85" s="11">
        <f>Table1[[#This Row],[Terrestrial % of Summed Score]]*Table1[[#This Row],[Scaled Summed Score]]</f>
        <v>2.708295088405072E-2</v>
      </c>
      <c r="AD85" s="11">
        <f>Table1[[#This Row],[Freshwater % of Summed Score]]*Table1[[#This Row],[Scaled Summed Score]]</f>
        <v>3.5947492447471439E-2</v>
      </c>
      <c r="AE85" s="39">
        <f>Table1[[#This Row],[Summed Raw Scores]]/MAX(Table1[Summed Raw Scores])</f>
        <v>6.3030443331522162E-2</v>
      </c>
      <c r="AF85" s="1"/>
    </row>
    <row r="86" spans="1:32" x14ac:dyDescent="0.3">
      <c r="A86" s="8" t="s">
        <v>173</v>
      </c>
      <c r="B86" s="8" t="s">
        <v>114</v>
      </c>
      <c r="C86" s="8" t="s">
        <v>27</v>
      </c>
      <c r="D86" s="8" t="s">
        <v>250</v>
      </c>
      <c r="E86" s="9">
        <v>55.960574549999997</v>
      </c>
      <c r="F86" s="9">
        <v>-120.86637829999999</v>
      </c>
      <c r="G86" s="9">
        <v>171</v>
      </c>
      <c r="H86" s="8" t="s">
        <v>22</v>
      </c>
      <c r="I86" s="9">
        <v>42</v>
      </c>
      <c r="J86" s="9">
        <v>456.5274</v>
      </c>
      <c r="K86" s="9">
        <v>91.951307550862538</v>
      </c>
      <c r="L86" s="9" t="s">
        <v>22</v>
      </c>
      <c r="M86" s="9">
        <v>4.4041630859400005</v>
      </c>
      <c r="N86" s="9">
        <v>72.494023437500005</v>
      </c>
      <c r="O86" s="9">
        <f>Table1[[#This Row],[R1 Length (km)]]+Table1[[#This Row],[T1 Length (km)]]</f>
        <v>76.898186523440003</v>
      </c>
      <c r="P86" s="8">
        <v>230</v>
      </c>
      <c r="Q86" s="9">
        <f>(Table1[[#This Row],[Linear Features (km)]]*0.4)*100</f>
        <v>3075.9274609376002</v>
      </c>
      <c r="R86" s="1">
        <v>22.27</v>
      </c>
      <c r="S86" s="3">
        <f>Table1[[#This Row],[ATG (ha)]]/Table1[[#This Row],[Linear Area (ha)]]</f>
        <v>7.2400927144139109E-3</v>
      </c>
      <c r="T86" s="8" t="s">
        <v>136</v>
      </c>
      <c r="U86" s="2" t="s">
        <v>22</v>
      </c>
      <c r="V86" s="1" t="s">
        <v>22</v>
      </c>
      <c r="W86" s="1" t="s">
        <v>22</v>
      </c>
      <c r="X86" s="10">
        <v>622.38850000000002</v>
      </c>
      <c r="Y86" s="10">
        <f>Table1[[#This Row],[Raw Terrestrial Score]]/Table1[[#This Row],[Summed Raw Scores]]</f>
        <v>0.77517822017834659</v>
      </c>
      <c r="Z86" s="10">
        <v>180.50880000000001</v>
      </c>
      <c r="AA86" s="10">
        <f>Table1[[#This Row],[Raw Freshwater Score]]/Table1[[#This Row],[Summed Raw Scores]]</f>
        <v>0.22482177982165338</v>
      </c>
      <c r="AB86" s="10">
        <f>Table1[[#This Row],[Raw Terrestrial Score]]+Table1[[#This Row],[Raw Freshwater Score]]</f>
        <v>802.89730000000009</v>
      </c>
      <c r="AC86" s="11">
        <f>Table1[[#This Row],[Terrestrial % of Summed Score]]*Table1[[#This Row],[Scaled Summed Score]]</f>
        <v>7.6476155930685588E-2</v>
      </c>
      <c r="AD86" s="11">
        <f>Table1[[#This Row],[Freshwater % of Summed Score]]*Table1[[#This Row],[Scaled Summed Score]]</f>
        <v>2.2180067812404849E-2</v>
      </c>
      <c r="AE86" s="39">
        <f>Table1[[#This Row],[Summed Raw Scores]]/MAX(Table1[Summed Raw Scores])</f>
        <v>9.8656223743090438E-2</v>
      </c>
      <c r="AF86" s="1"/>
    </row>
    <row r="87" spans="1:32" x14ac:dyDescent="0.3">
      <c r="A87" s="8" t="s">
        <v>174</v>
      </c>
      <c r="B87" s="8" t="s">
        <v>114</v>
      </c>
      <c r="C87" s="8" t="s">
        <v>27</v>
      </c>
      <c r="D87" s="8" t="s">
        <v>250</v>
      </c>
      <c r="E87" s="9">
        <v>56.54299082</v>
      </c>
      <c r="F87" s="9">
        <v>-123.0058961</v>
      </c>
      <c r="G87" s="9">
        <v>72</v>
      </c>
      <c r="H87" s="8" t="s">
        <v>22</v>
      </c>
      <c r="I87" s="9">
        <v>16.8</v>
      </c>
      <c r="J87" s="9">
        <v>283.66631999999998</v>
      </c>
      <c r="K87" s="9">
        <v>86.422963406889508</v>
      </c>
      <c r="L87" s="9" t="s">
        <v>22</v>
      </c>
      <c r="M87" s="9">
        <v>10.212486328100001</v>
      </c>
      <c r="N87" s="9">
        <v>85.097687500000006</v>
      </c>
      <c r="O87" s="9">
        <f>Table1[[#This Row],[R1 Length (km)]]+Table1[[#This Row],[T1 Length (km)]]</f>
        <v>95.310173828100005</v>
      </c>
      <c r="P87" s="8">
        <v>130</v>
      </c>
      <c r="Q87" s="9">
        <f>(Table1[[#This Row],[Linear Features (km)]]*0.4)*100</f>
        <v>3812.4069531240002</v>
      </c>
      <c r="R87" s="1">
        <v>8.91</v>
      </c>
      <c r="S87" s="3">
        <f>Table1[[#This Row],[ATG (ha)]]/Table1[[#This Row],[Linear Area (ha)]]</f>
        <v>2.3371062191298543E-3</v>
      </c>
      <c r="T87" s="8" t="s">
        <v>136</v>
      </c>
      <c r="U87" s="2" t="s">
        <v>22</v>
      </c>
      <c r="V87" s="1" t="s">
        <v>22</v>
      </c>
      <c r="W87" s="1" t="s">
        <v>22</v>
      </c>
      <c r="X87" s="10">
        <v>514.48069999999996</v>
      </c>
      <c r="Y87" s="10">
        <f>Table1[[#This Row],[Raw Terrestrial Score]]/Table1[[#This Row],[Summed Raw Scores]]</f>
        <v>0.41133871107916214</v>
      </c>
      <c r="Z87" s="10">
        <v>736.26639999999998</v>
      </c>
      <c r="AA87" s="10">
        <f>Table1[[#This Row],[Raw Freshwater Score]]/Table1[[#This Row],[Summed Raw Scores]]</f>
        <v>0.5886612889208378</v>
      </c>
      <c r="AB87" s="10">
        <f>Table1[[#This Row],[Raw Terrestrial Score]]+Table1[[#This Row],[Raw Freshwater Score]]</f>
        <v>1250.7471</v>
      </c>
      <c r="AC87" s="11">
        <f>Table1[[#This Row],[Terrestrial % of Summed Score]]*Table1[[#This Row],[Scaled Summed Score]]</f>
        <v>6.3216955706167879E-2</v>
      </c>
      <c r="AD87" s="11">
        <f>Table1[[#This Row],[Freshwater % of Summed Score]]*Table1[[#This Row],[Scaled Summed Score]]</f>
        <v>9.0468933813726518E-2</v>
      </c>
      <c r="AE87" s="39">
        <f>Table1[[#This Row],[Summed Raw Scores]]/MAX(Table1[Summed Raw Scores])</f>
        <v>0.1536858895198944</v>
      </c>
      <c r="AF87" s="1"/>
    </row>
    <row r="88" spans="1:32" x14ac:dyDescent="0.3">
      <c r="A88" s="8" t="s">
        <v>175</v>
      </c>
      <c r="B88" s="8" t="s">
        <v>114</v>
      </c>
      <c r="C88" s="8" t="s">
        <v>27</v>
      </c>
      <c r="D88" s="8" t="s">
        <v>250</v>
      </c>
      <c r="E88" s="9">
        <v>55.866821960000003</v>
      </c>
      <c r="F88" s="9">
        <v>-121.7623816</v>
      </c>
      <c r="G88" s="9">
        <v>129</v>
      </c>
      <c r="H88" s="8" t="s">
        <v>22</v>
      </c>
      <c r="I88" s="9">
        <v>31.2</v>
      </c>
      <c r="J88" s="9">
        <v>344.60088000000002</v>
      </c>
      <c r="K88" s="9">
        <v>84.35861942811421</v>
      </c>
      <c r="L88" s="9" t="s">
        <v>22</v>
      </c>
      <c r="M88" s="9">
        <v>3.9213208007799998</v>
      </c>
      <c r="N88" s="9">
        <v>23.785281250000001</v>
      </c>
      <c r="O88" s="9">
        <f>Table1[[#This Row],[R1 Length (km)]]+Table1[[#This Row],[T1 Length (km)]]</f>
        <v>27.706602050779999</v>
      </c>
      <c r="P88" s="8">
        <v>130</v>
      </c>
      <c r="Q88" s="9">
        <f>(Table1[[#This Row],[Linear Features (km)]]*0.4)*100</f>
        <v>1108.2640820312001</v>
      </c>
      <c r="R88" s="1">
        <v>16.54</v>
      </c>
      <c r="S88" s="3">
        <f>Table1[[#This Row],[ATG (ha)]]/Table1[[#This Row],[Linear Area (ha)]]</f>
        <v>1.4924240772727995E-2</v>
      </c>
      <c r="T88" s="8" t="s">
        <v>136</v>
      </c>
      <c r="U88" s="2" t="s">
        <v>22</v>
      </c>
      <c r="V88" s="1" t="s">
        <v>22</v>
      </c>
      <c r="W88" s="1" t="s">
        <v>22</v>
      </c>
      <c r="X88" s="10">
        <v>183.3913</v>
      </c>
      <c r="Y88" s="10">
        <f>Table1[[#This Row],[Raw Terrestrial Score]]/Table1[[#This Row],[Summed Raw Scores]]</f>
        <v>0.45764556389649036</v>
      </c>
      <c r="Z88" s="10">
        <v>217.3365</v>
      </c>
      <c r="AA88" s="10">
        <f>Table1[[#This Row],[Raw Freshwater Score]]/Table1[[#This Row],[Summed Raw Scores]]</f>
        <v>0.54235443610350964</v>
      </c>
      <c r="AB88" s="10">
        <f>Table1[[#This Row],[Raw Terrestrial Score]]+Table1[[#This Row],[Raw Freshwater Score]]</f>
        <v>400.7278</v>
      </c>
      <c r="AC88" s="11">
        <f>Table1[[#This Row],[Terrestrial % of Summed Score]]*Table1[[#This Row],[Scaled Summed Score]]</f>
        <v>2.2534255782571719E-2</v>
      </c>
      <c r="AD88" s="11">
        <f>Table1[[#This Row],[Freshwater % of Summed Score]]*Table1[[#This Row],[Scaled Summed Score]]</f>
        <v>2.6705281449495688E-2</v>
      </c>
      <c r="AE88" s="39">
        <f>Table1[[#This Row],[Summed Raw Scores]]/MAX(Table1[Summed Raw Scores])</f>
        <v>4.9239537232067407E-2</v>
      </c>
      <c r="AF88" s="1"/>
    </row>
    <row r="89" spans="1:32" x14ac:dyDescent="0.3">
      <c r="A89" s="8" t="s">
        <v>176</v>
      </c>
      <c r="B89" s="8" t="s">
        <v>114</v>
      </c>
      <c r="C89" s="8" t="s">
        <v>27</v>
      </c>
      <c r="D89" s="8" t="s">
        <v>250</v>
      </c>
      <c r="E89" s="9">
        <v>55.729118999999997</v>
      </c>
      <c r="F89" s="9">
        <v>-121.80133600000001</v>
      </c>
      <c r="G89" s="9">
        <v>186</v>
      </c>
      <c r="H89" s="8" t="s">
        <v>22</v>
      </c>
      <c r="I89" s="9">
        <v>45.6</v>
      </c>
      <c r="J89" s="9">
        <v>549.25199999999995</v>
      </c>
      <c r="K89" s="9">
        <v>76.208568497958495</v>
      </c>
      <c r="L89" s="9" t="s">
        <v>22</v>
      </c>
      <c r="M89" s="9">
        <v>8.5299999999999994</v>
      </c>
      <c r="N89" s="9">
        <v>26.352185546874999</v>
      </c>
      <c r="O89" s="9">
        <f>Table1[[#This Row],[R1 Length (km)]]+Table1[[#This Row],[T1 Length (km)]]</f>
        <v>34.882185546875</v>
      </c>
      <c r="P89" s="8">
        <v>230</v>
      </c>
      <c r="Q89" s="9">
        <f>(Table1[[#This Row],[Linear Features (km)]]*0.4)*100</f>
        <v>1395.2874218750001</v>
      </c>
      <c r="R89" s="1">
        <v>24.17</v>
      </c>
      <c r="S89" s="3">
        <f>Table1[[#This Row],[ATG (ha)]]/Table1[[#This Row],[Linear Area (ha)]]</f>
        <v>1.7322595775657559E-2</v>
      </c>
      <c r="T89" s="8" t="s">
        <v>136</v>
      </c>
      <c r="U89" s="2" t="s">
        <v>22</v>
      </c>
      <c r="V89" s="1" t="s">
        <v>22</v>
      </c>
      <c r="W89" s="1" t="s">
        <v>22</v>
      </c>
      <c r="X89" s="10">
        <v>543.53679999999997</v>
      </c>
      <c r="Y89" s="10">
        <f>Table1[[#This Row],[Raw Terrestrial Score]]/Table1[[#This Row],[Summed Raw Scores]]</f>
        <v>0.47253805216918965</v>
      </c>
      <c r="Z89" s="10">
        <v>606.71299999999997</v>
      </c>
      <c r="AA89" s="10">
        <f>Table1[[#This Row],[Raw Freshwater Score]]/Table1[[#This Row],[Summed Raw Scores]]</f>
        <v>0.52746194783081024</v>
      </c>
      <c r="AB89" s="10">
        <f>Table1[[#This Row],[Raw Terrestrial Score]]+Table1[[#This Row],[Raw Freshwater Score]]</f>
        <v>1150.2498000000001</v>
      </c>
      <c r="AC89" s="11">
        <f>Table1[[#This Row],[Terrestrial % of Summed Score]]*Table1[[#This Row],[Scaled Summed Score]]</f>
        <v>6.6787231883085663E-2</v>
      </c>
      <c r="AD89" s="11">
        <f>Table1[[#This Row],[Freshwater % of Summed Score]]*Table1[[#This Row],[Scaled Summed Score]]</f>
        <v>7.4550024611916885E-2</v>
      </c>
      <c r="AE89" s="39">
        <f>Table1[[#This Row],[Summed Raw Scores]]/MAX(Table1[Summed Raw Scores])</f>
        <v>0.14133725649500256</v>
      </c>
      <c r="AF89" s="1"/>
    </row>
    <row r="90" spans="1:32" x14ac:dyDescent="0.3">
      <c r="A90" s="8" t="s">
        <v>177</v>
      </c>
      <c r="B90" s="8" t="s">
        <v>114</v>
      </c>
      <c r="C90" s="8" t="s">
        <v>27</v>
      </c>
      <c r="D90" s="8" t="s">
        <v>250</v>
      </c>
      <c r="E90" s="9">
        <v>55.229832969999997</v>
      </c>
      <c r="F90" s="9">
        <v>-121.17872</v>
      </c>
      <c r="G90" s="9">
        <v>117</v>
      </c>
      <c r="H90" s="8" t="s">
        <v>22</v>
      </c>
      <c r="I90" s="9">
        <v>28.799999999999997</v>
      </c>
      <c r="J90" s="9">
        <v>417.64176000000003</v>
      </c>
      <c r="K90" s="9">
        <v>74.026330439887317</v>
      </c>
      <c r="L90" s="9" t="s">
        <v>22</v>
      </c>
      <c r="M90" s="9">
        <v>1.2</v>
      </c>
      <c r="N90" s="9">
        <v>10.5</v>
      </c>
      <c r="O90" s="9">
        <f>Table1[[#This Row],[R1 Length (km)]]+Table1[[#This Row],[T1 Length (km)]]</f>
        <v>11.7</v>
      </c>
      <c r="P90" s="8">
        <v>230</v>
      </c>
      <c r="Q90" s="9">
        <f>(Table1[[#This Row],[Linear Features (km)]]*0.4)*100</f>
        <v>468</v>
      </c>
      <c r="R90" s="1">
        <v>15.27</v>
      </c>
      <c r="S90" s="3">
        <f>Table1[[#This Row],[ATG (ha)]]/Table1[[#This Row],[Linear Area (ha)]]</f>
        <v>3.2628205128205127E-2</v>
      </c>
      <c r="T90" s="8" t="s">
        <v>136</v>
      </c>
      <c r="U90" s="2" t="s">
        <v>22</v>
      </c>
      <c r="V90" s="1" t="s">
        <v>22</v>
      </c>
      <c r="W90" s="1" t="s">
        <v>22</v>
      </c>
      <c r="X90" s="10">
        <v>379.13569999999999</v>
      </c>
      <c r="Y90" s="10">
        <f>Table1[[#This Row],[Raw Terrestrial Score]]/Table1[[#This Row],[Summed Raw Scores]]</f>
        <v>0.52823859813577623</v>
      </c>
      <c r="Z90" s="10">
        <v>338.6</v>
      </c>
      <c r="AA90" s="10">
        <f>Table1[[#This Row],[Raw Freshwater Score]]/Table1[[#This Row],[Summed Raw Scores]]</f>
        <v>0.47176140186422388</v>
      </c>
      <c r="AB90" s="10">
        <f>Table1[[#This Row],[Raw Terrestrial Score]]+Table1[[#This Row],[Raw Freshwater Score]]</f>
        <v>717.73569999999995</v>
      </c>
      <c r="AC90" s="11">
        <f>Table1[[#This Row],[Terrestrial % of Summed Score]]*Table1[[#This Row],[Scaled Summed Score]]</f>
        <v>4.6586402081802016E-2</v>
      </c>
      <c r="AD90" s="11">
        <f>Table1[[#This Row],[Freshwater % of Summed Score]]*Table1[[#This Row],[Scaled Summed Score]]</f>
        <v>4.1605566937901552E-2</v>
      </c>
      <c r="AE90" s="39">
        <f>Table1[[#This Row],[Summed Raw Scores]]/MAX(Table1[Summed Raw Scores])</f>
        <v>8.8191969019703553E-2</v>
      </c>
      <c r="AF90" s="1"/>
    </row>
    <row r="91" spans="1:32" x14ac:dyDescent="0.3">
      <c r="A91" s="8" t="s">
        <v>178</v>
      </c>
      <c r="B91" s="8" t="s">
        <v>114</v>
      </c>
      <c r="C91" s="8" t="s">
        <v>27</v>
      </c>
      <c r="D91" s="8" t="s">
        <v>250</v>
      </c>
      <c r="E91" s="14">
        <v>55.162438520000002</v>
      </c>
      <c r="F91" s="14">
        <v>-121.5944693</v>
      </c>
      <c r="G91" s="9">
        <v>45</v>
      </c>
      <c r="H91" s="8" t="s">
        <v>22</v>
      </c>
      <c r="I91" s="1">
        <v>10.799999999999999</v>
      </c>
      <c r="J91" s="1">
        <v>196.35101999999998</v>
      </c>
      <c r="K91" s="1">
        <v>62.521940881479459</v>
      </c>
      <c r="L91" s="9" t="s">
        <v>22</v>
      </c>
      <c r="M91" s="14">
        <v>3.1798994140599999</v>
      </c>
      <c r="N91" s="1">
        <v>30.518376953124999</v>
      </c>
      <c r="O91" s="1">
        <f>Table1[[#This Row],[R1 Length (km)]]+Table1[[#This Row],[T1 Length (km)]]</f>
        <v>33.698276367185002</v>
      </c>
      <c r="P91" s="17">
        <v>69</v>
      </c>
      <c r="Q91" s="14">
        <f>(Table1[[#This Row],[Linear Features (km)]]*0.4)*100</f>
        <v>1347.9310546874001</v>
      </c>
      <c r="R91" s="1">
        <v>5.73</v>
      </c>
      <c r="S91" s="3">
        <f>Table1[[#This Row],[ATG (ha)]]/Table1[[#This Row],[Linear Area (ha)]]</f>
        <v>4.2509592609162421E-3</v>
      </c>
      <c r="T91" s="17" t="s">
        <v>136</v>
      </c>
      <c r="U91" s="2" t="s">
        <v>22</v>
      </c>
      <c r="V91" s="1" t="s">
        <v>22</v>
      </c>
      <c r="W91" s="1" t="s">
        <v>22</v>
      </c>
      <c r="X91" s="10">
        <v>280.92419999999998</v>
      </c>
      <c r="Y91" s="10">
        <f>Table1[[#This Row],[Raw Terrestrial Score]]/Table1[[#This Row],[Summed Raw Scores]]</f>
        <v>0.49033397437217702</v>
      </c>
      <c r="Z91" s="10">
        <v>292</v>
      </c>
      <c r="AA91" s="10">
        <f>Table1[[#This Row],[Raw Freshwater Score]]/Table1[[#This Row],[Summed Raw Scores]]</f>
        <v>0.50966602562782304</v>
      </c>
      <c r="AB91" s="10">
        <f>Table1[[#This Row],[Raw Terrestrial Score]]+Table1[[#This Row],[Raw Freshwater Score]]</f>
        <v>572.92419999999993</v>
      </c>
      <c r="AC91" s="11">
        <f>Table1[[#This Row],[Terrestrial % of Summed Score]]*Table1[[#This Row],[Scaled Summed Score]]</f>
        <v>3.451863735255889E-2</v>
      </c>
      <c r="AD91" s="11">
        <f>Table1[[#This Row],[Freshwater % of Summed Score]]*Table1[[#This Row],[Scaled Summed Score]]</f>
        <v>3.5879579284900327E-2</v>
      </c>
      <c r="AE91" s="39">
        <f>Table1[[#This Row],[Summed Raw Scores]]/MAX(Table1[Summed Raw Scores])</f>
        <v>7.039821663745921E-2</v>
      </c>
      <c r="AF91" s="1"/>
    </row>
    <row r="92" spans="1:32" x14ac:dyDescent="0.3">
      <c r="A92" s="8" t="s">
        <v>179</v>
      </c>
      <c r="B92" s="8" t="s">
        <v>114</v>
      </c>
      <c r="C92" s="8" t="s">
        <v>27</v>
      </c>
      <c r="D92" s="8" t="s">
        <v>250</v>
      </c>
      <c r="E92" s="9">
        <v>55.351133089999998</v>
      </c>
      <c r="F92" s="9">
        <v>-121.08614369999999</v>
      </c>
      <c r="G92" s="9">
        <v>63</v>
      </c>
      <c r="H92" s="8" t="s">
        <v>22</v>
      </c>
      <c r="I92" s="9">
        <v>15.6</v>
      </c>
      <c r="J92" s="9">
        <v>275.98818</v>
      </c>
      <c r="K92" s="9">
        <v>65.30162752178073</v>
      </c>
      <c r="L92" s="9" t="s">
        <v>22</v>
      </c>
      <c r="M92" s="9">
        <v>1.8</v>
      </c>
      <c r="N92" s="9">
        <v>23.4</v>
      </c>
      <c r="O92" s="9">
        <f>Table1[[#This Row],[R1 Length (km)]]+Table1[[#This Row],[T1 Length (km)]]</f>
        <v>25.2</v>
      </c>
      <c r="P92" s="8">
        <v>230</v>
      </c>
      <c r="Q92" s="9">
        <f>(Table1[[#This Row],[Linear Features (km)]]*0.4)*100</f>
        <v>1008</v>
      </c>
      <c r="R92" s="1">
        <v>8.27</v>
      </c>
      <c r="S92" s="3">
        <f>Table1[[#This Row],[ATG (ha)]]/Table1[[#This Row],[Linear Area (ha)]]</f>
        <v>8.2043650793650787E-3</v>
      </c>
      <c r="T92" s="8" t="s">
        <v>136</v>
      </c>
      <c r="U92" s="2" t="s">
        <v>22</v>
      </c>
      <c r="V92" s="1" t="s">
        <v>22</v>
      </c>
      <c r="W92" s="1" t="s">
        <v>22</v>
      </c>
      <c r="X92" s="10">
        <v>179.4785</v>
      </c>
      <c r="Y92" s="10">
        <f>Table1[[#This Row],[Raw Terrestrial Score]]/Table1[[#This Row],[Summed Raw Scores]]</f>
        <v>0.4802535935700924</v>
      </c>
      <c r="Z92" s="10">
        <v>194.23759999999999</v>
      </c>
      <c r="AA92" s="10">
        <f>Table1[[#This Row],[Raw Freshwater Score]]/Table1[[#This Row],[Summed Raw Scores]]</f>
        <v>0.51974640642990766</v>
      </c>
      <c r="AB92" s="10">
        <f>Table1[[#This Row],[Raw Terrestrial Score]]+Table1[[#This Row],[Raw Freshwater Score]]</f>
        <v>373.71609999999998</v>
      </c>
      <c r="AC92" s="11">
        <f>Table1[[#This Row],[Terrestrial % of Summed Score]]*Table1[[#This Row],[Scaled Summed Score]]</f>
        <v>2.2053469420154057E-2</v>
      </c>
      <c r="AD92" s="11">
        <f>Table1[[#This Row],[Freshwater % of Summed Score]]*Table1[[#This Row],[Scaled Summed Score]]</f>
        <v>2.3866997840098481E-2</v>
      </c>
      <c r="AE92" s="39">
        <f>Table1[[#This Row],[Summed Raw Scores]]/MAX(Table1[Summed Raw Scores])</f>
        <v>4.5920467260252534E-2</v>
      </c>
      <c r="AF92" s="1"/>
    </row>
    <row r="93" spans="1:32" x14ac:dyDescent="0.3">
      <c r="A93" s="8" t="s">
        <v>180</v>
      </c>
      <c r="B93" s="8" t="s">
        <v>114</v>
      </c>
      <c r="C93" s="8" t="s">
        <v>27</v>
      </c>
      <c r="D93" s="8"/>
      <c r="E93" s="9">
        <v>54.702274119999998</v>
      </c>
      <c r="F93" s="9">
        <v>-120.40647</v>
      </c>
      <c r="G93" s="9">
        <v>39</v>
      </c>
      <c r="H93" s="8" t="s">
        <v>22</v>
      </c>
      <c r="I93" s="9">
        <v>9.6</v>
      </c>
      <c r="J93" s="9">
        <v>151.23263999999998</v>
      </c>
      <c r="K93" s="9">
        <v>107.36558583383237</v>
      </c>
      <c r="L93" s="9" t="s">
        <v>22</v>
      </c>
      <c r="M93" s="9">
        <v>2.1384777831999999</v>
      </c>
      <c r="N93" s="9">
        <v>69.236664062499997</v>
      </c>
      <c r="O93" s="9">
        <f>Table1[[#This Row],[R1 Length (km)]]+Table1[[#This Row],[T1 Length (km)]]</f>
        <v>71.3751418457</v>
      </c>
      <c r="P93" s="8">
        <v>230</v>
      </c>
      <c r="Q93" s="9">
        <f>(Table1[[#This Row],[Linear Features (km)]]*0.4)*100</f>
        <v>2855.005673828</v>
      </c>
      <c r="R93" s="1">
        <f>607232.1/10000</f>
        <v>60.723209999999995</v>
      </c>
      <c r="S93" s="3">
        <f>Table1[[#This Row],[ATG (ha)]]/Table1[[#This Row],[Linear Area (ha)]]</f>
        <v>2.12690330378861E-2</v>
      </c>
      <c r="T93" s="8" t="s">
        <v>136</v>
      </c>
      <c r="U93" s="2" t="s">
        <v>22</v>
      </c>
      <c r="V93" s="1" t="s">
        <v>22</v>
      </c>
      <c r="W93" s="1" t="s">
        <v>22</v>
      </c>
      <c r="X93" s="10">
        <v>236.90950000000001</v>
      </c>
      <c r="Y93" s="10">
        <f>Table1[[#This Row],[Raw Terrestrial Score]]/Table1[[#This Row],[Summed Raw Scores]]</f>
        <v>0.45116183320136088</v>
      </c>
      <c r="Z93" s="10">
        <v>288.20030000000003</v>
      </c>
      <c r="AA93" s="10">
        <f>Table1[[#This Row],[Raw Freshwater Score]]/Table1[[#This Row],[Summed Raw Scores]]</f>
        <v>0.54883816679863906</v>
      </c>
      <c r="AB93" s="10">
        <f>Table1[[#This Row],[Raw Terrestrial Score]]+Table1[[#This Row],[Raw Freshwater Score]]</f>
        <v>525.10980000000006</v>
      </c>
      <c r="AC93" s="11">
        <f>Table1[[#This Row],[Terrestrial % of Summed Score]]*Table1[[#This Row],[Scaled Summed Score]]</f>
        <v>2.9110319139027726E-2</v>
      </c>
      <c r="AD93" s="11">
        <f>Table1[[#This Row],[Freshwater % of Summed Score]]*Table1[[#This Row],[Scaled Summed Score]]</f>
        <v>3.5412690115691994E-2</v>
      </c>
      <c r="AE93" s="11">
        <f>Table1[[#This Row],[Summed Raw Scores]]/MAX(Table1[Summed Raw Scores])</f>
        <v>6.4523009254719724E-2</v>
      </c>
      <c r="AF93" s="1"/>
    </row>
    <row r="94" spans="1:32" x14ac:dyDescent="0.3">
      <c r="A94" s="8" t="s">
        <v>181</v>
      </c>
      <c r="B94" s="8" t="s">
        <v>114</v>
      </c>
      <c r="C94" s="8" t="s">
        <v>27</v>
      </c>
      <c r="D94" s="8" t="s">
        <v>250</v>
      </c>
      <c r="E94" s="9">
        <v>55.077247999999997</v>
      </c>
      <c r="F94" s="9">
        <v>-121.11845</v>
      </c>
      <c r="G94" s="9">
        <v>54</v>
      </c>
      <c r="H94" s="8" t="s">
        <v>22</v>
      </c>
      <c r="I94" s="9">
        <v>13.2</v>
      </c>
      <c r="J94" s="9">
        <v>216.81</v>
      </c>
      <c r="K94" s="9">
        <v>76.420343570647532</v>
      </c>
      <c r="L94" s="9" t="s">
        <v>22</v>
      </c>
      <c r="M94" s="9">
        <v>6.8</v>
      </c>
      <c r="N94" s="9">
        <v>8.4</v>
      </c>
      <c r="O94" s="9">
        <f>Table1[[#This Row],[R1 Length (km)]]+Table1[[#This Row],[T1 Length (km)]]</f>
        <v>15.2</v>
      </c>
      <c r="P94" s="8">
        <v>69</v>
      </c>
      <c r="Q94" s="9">
        <f>(Table1[[#This Row],[Linear Features (km)]]*0.4)*100</f>
        <v>608</v>
      </c>
      <c r="R94" s="1">
        <v>7</v>
      </c>
      <c r="S94" s="3">
        <f>Table1[[#This Row],[ATG (ha)]]/Table1[[#This Row],[Linear Area (ha)]]</f>
        <v>1.1513157894736841E-2</v>
      </c>
      <c r="T94" s="8" t="s">
        <v>136</v>
      </c>
      <c r="U94" s="2" t="s">
        <v>22</v>
      </c>
      <c r="V94" s="1" t="s">
        <v>22</v>
      </c>
      <c r="W94" s="1" t="s">
        <v>22</v>
      </c>
      <c r="X94" s="10">
        <v>54.586309999999997</v>
      </c>
      <c r="Y94" s="10">
        <f>Table1[[#This Row],[Raw Terrestrial Score]]/Table1[[#This Row],[Summed Raw Scores]]</f>
        <v>0.34118104875231109</v>
      </c>
      <c r="Z94" s="10">
        <v>105.4059</v>
      </c>
      <c r="AA94" s="10">
        <f>Table1[[#This Row],[Raw Freshwater Score]]/Table1[[#This Row],[Summed Raw Scores]]</f>
        <v>0.65881895124768886</v>
      </c>
      <c r="AB94" s="10">
        <f>Table1[[#This Row],[Raw Terrestrial Score]]+Table1[[#This Row],[Raw Freshwater Score]]</f>
        <v>159.99221</v>
      </c>
      <c r="AC94" s="11">
        <f>Table1[[#This Row],[Terrestrial % of Summed Score]]*Table1[[#This Row],[Scaled Summed Score]]</f>
        <v>6.7073076627231073E-3</v>
      </c>
      <c r="AD94" s="11">
        <f>Table1[[#This Row],[Freshwater % of Summed Score]]*Table1[[#This Row],[Scaled Summed Score]]</f>
        <v>1.2951778582692725E-2</v>
      </c>
      <c r="AE94" s="39">
        <f>Table1[[#This Row],[Summed Raw Scores]]/MAX(Table1[Summed Raw Scores])</f>
        <v>1.9659086245415833E-2</v>
      </c>
      <c r="AF94" s="1"/>
    </row>
    <row r="95" spans="1:32" x14ac:dyDescent="0.3">
      <c r="A95" s="8" t="s">
        <v>182</v>
      </c>
      <c r="B95" s="8" t="s">
        <v>114</v>
      </c>
      <c r="C95" s="8" t="s">
        <v>27</v>
      </c>
      <c r="D95" s="8"/>
      <c r="E95" s="9">
        <v>55.66993652</v>
      </c>
      <c r="F95" s="9">
        <v>-122.2744455</v>
      </c>
      <c r="G95" s="9">
        <v>33</v>
      </c>
      <c r="H95" s="8" t="s">
        <v>22</v>
      </c>
      <c r="I95" s="9">
        <v>8.4</v>
      </c>
      <c r="J95" s="9">
        <v>126.3192</v>
      </c>
      <c r="K95" s="9">
        <v>93.660845770732664</v>
      </c>
      <c r="L95" s="9" t="s">
        <v>22</v>
      </c>
      <c r="M95" s="9">
        <v>2.6727924804700001</v>
      </c>
      <c r="N95" s="9">
        <v>20.558074218750001</v>
      </c>
      <c r="O95" s="9">
        <f>Table1[[#This Row],[R1 Length (km)]]+Table1[[#This Row],[T1 Length (km)]]</f>
        <v>23.230866699220002</v>
      </c>
      <c r="P95" s="8">
        <v>69</v>
      </c>
      <c r="Q95" s="9">
        <f>(Table1[[#This Row],[Linear Features (km)]]*0.4)*100</f>
        <v>929.23466796880007</v>
      </c>
      <c r="R95" s="1">
        <f>618138/10000</f>
        <v>61.813800000000001</v>
      </c>
      <c r="S95" s="3">
        <f>Table1[[#This Row],[ATG (ha)]]/Table1[[#This Row],[Linear Area (ha)]]</f>
        <v>6.6521194409500287E-2</v>
      </c>
      <c r="T95" s="8" t="s">
        <v>136</v>
      </c>
      <c r="U95" s="2" t="s">
        <v>22</v>
      </c>
      <c r="V95" s="1" t="s">
        <v>22</v>
      </c>
      <c r="W95" s="1" t="s">
        <v>22</v>
      </c>
      <c r="X95" s="10">
        <v>1042.691</v>
      </c>
      <c r="Y95" s="10">
        <f>Table1[[#This Row],[Raw Terrestrial Score]]/Table1[[#This Row],[Summed Raw Scores]]</f>
        <v>0.48753700277412687</v>
      </c>
      <c r="Z95" s="10">
        <v>1096</v>
      </c>
      <c r="AA95" s="10">
        <f>Table1[[#This Row],[Raw Freshwater Score]]/Table1[[#This Row],[Summed Raw Scores]]</f>
        <v>0.5124629972258733</v>
      </c>
      <c r="AB95" s="10">
        <f>Table1[[#This Row],[Raw Terrestrial Score]]+Table1[[#This Row],[Raw Freshwater Score]]</f>
        <v>2138.6909999999998</v>
      </c>
      <c r="AC95" s="11">
        <f>Table1[[#This Row],[Terrestrial % of Summed Score]]*Table1[[#This Row],[Scaled Summed Score]]</f>
        <v>0.1281209397402466</v>
      </c>
      <c r="AD95" s="11">
        <f>Table1[[#This Row],[Freshwater % of Summed Score]]*Table1[[#This Row],[Scaled Summed Score]]</f>
        <v>0.13467129758989987</v>
      </c>
      <c r="AE95" s="39">
        <f>Table1[[#This Row],[Summed Raw Scores]]/MAX(Table1[Summed Raw Scores])</f>
        <v>0.26279223733014645</v>
      </c>
      <c r="AF95" s="1"/>
    </row>
    <row r="96" spans="1:32" x14ac:dyDescent="0.3">
      <c r="A96" s="8" t="s">
        <v>183</v>
      </c>
      <c r="B96" s="8" t="s">
        <v>114</v>
      </c>
      <c r="C96" s="8" t="s">
        <v>27</v>
      </c>
      <c r="D96" s="8" t="s">
        <v>250</v>
      </c>
      <c r="E96" s="9">
        <v>54.960041250000003</v>
      </c>
      <c r="F96" s="9">
        <v>-120.59689109999999</v>
      </c>
      <c r="G96" s="9">
        <v>150</v>
      </c>
      <c r="H96" s="8" t="s">
        <v>22</v>
      </c>
      <c r="I96" s="9">
        <v>36</v>
      </c>
      <c r="J96" s="9">
        <v>569.35620000000006</v>
      </c>
      <c r="K96" s="9">
        <v>62.193665264181391</v>
      </c>
      <c r="L96" s="9" t="s">
        <v>22</v>
      </c>
      <c r="M96" s="9">
        <v>0.2</v>
      </c>
      <c r="N96" s="9">
        <v>43.3</v>
      </c>
      <c r="O96" s="9">
        <f>Table1[[#This Row],[R1 Length (km)]]+Table1[[#This Row],[T1 Length (km)]]</f>
        <v>43.5</v>
      </c>
      <c r="P96" s="8">
        <v>230</v>
      </c>
      <c r="Q96" s="9">
        <f>(Table1[[#This Row],[Linear Features (km)]]*0.4)*100</f>
        <v>1740.0000000000002</v>
      </c>
      <c r="R96" s="1">
        <v>19.09</v>
      </c>
      <c r="S96" s="3">
        <f>Table1[[#This Row],[ATG (ha)]]/Table1[[#This Row],[Linear Area (ha)]]</f>
        <v>1.097126436781609E-2</v>
      </c>
      <c r="T96" s="8" t="s">
        <v>136</v>
      </c>
      <c r="U96" s="2" t="s">
        <v>22</v>
      </c>
      <c r="V96" s="1" t="s">
        <v>22</v>
      </c>
      <c r="W96" s="1" t="s">
        <v>22</v>
      </c>
      <c r="X96" s="10">
        <v>311.14420000000001</v>
      </c>
      <c r="Y96" s="10">
        <f>Table1[[#This Row],[Raw Terrestrial Score]]/Table1[[#This Row],[Summed Raw Scores]]</f>
        <v>0.64774112854991761</v>
      </c>
      <c r="Z96" s="10">
        <v>169.20849999999999</v>
      </c>
      <c r="AA96" s="10">
        <f>Table1[[#This Row],[Raw Freshwater Score]]/Table1[[#This Row],[Summed Raw Scores]]</f>
        <v>0.35225887145008233</v>
      </c>
      <c r="AB96" s="10">
        <f>Table1[[#This Row],[Raw Terrestrial Score]]+Table1[[#This Row],[Raw Freshwater Score]]</f>
        <v>480.35270000000003</v>
      </c>
      <c r="AC96" s="11">
        <f>Table1[[#This Row],[Terrestrial % of Summed Score]]*Table1[[#This Row],[Scaled Summed Score]]</f>
        <v>3.8231928058003031E-2</v>
      </c>
      <c r="AD96" s="11">
        <f>Table1[[#This Row],[Freshwater % of Summed Score]]*Table1[[#This Row],[Scaled Summed Score]]</f>
        <v>2.0791540381606358E-2</v>
      </c>
      <c r="AE96" s="39">
        <f>Table1[[#This Row],[Summed Raw Scores]]/MAX(Table1[Summed Raw Scores])</f>
        <v>5.9023468439609393E-2</v>
      </c>
      <c r="AF96" s="1"/>
    </row>
    <row r="97" spans="1:32" x14ac:dyDescent="0.3">
      <c r="A97" s="8" t="s">
        <v>34</v>
      </c>
      <c r="B97" s="8" t="s">
        <v>24</v>
      </c>
      <c r="C97" s="8" t="s">
        <v>32</v>
      </c>
      <c r="D97" s="8" t="s">
        <v>250</v>
      </c>
      <c r="E97" s="14">
        <v>50.6678</v>
      </c>
      <c r="F97" s="14">
        <v>-123.47042500000001</v>
      </c>
      <c r="G97" s="9">
        <v>99</v>
      </c>
      <c r="H97" s="9">
        <v>89</v>
      </c>
      <c r="I97" s="9" t="s">
        <v>22</v>
      </c>
      <c r="J97" s="15">
        <v>656.90040010200858</v>
      </c>
      <c r="K97" s="13">
        <v>97.683961438932542</v>
      </c>
      <c r="L97" s="9" t="s">
        <v>22</v>
      </c>
      <c r="M97" s="14">
        <v>0.75</v>
      </c>
      <c r="N97" s="1">
        <v>66.571992187500001</v>
      </c>
      <c r="O97" s="1">
        <f>Table1[[#This Row],[R1 Length (km)]]+Table1[[#This Row],[T1 Length (km)]]</f>
        <v>67.321992187500001</v>
      </c>
      <c r="P97" s="2">
        <v>230</v>
      </c>
      <c r="Q97" s="1">
        <f>(Table1[[#This Row],[Linear Features (km)]]*0.4)*100</f>
        <v>2692.8796875000003</v>
      </c>
      <c r="R97" s="1">
        <v>26.5</v>
      </c>
      <c r="S97" s="3">
        <f>Table1[[#This Row],[ATG (ha)]]/Table1[[#This Row],[Linear Area (ha)]]</f>
        <v>9.8407664193129671E-3</v>
      </c>
      <c r="T97" s="2" t="s">
        <v>22</v>
      </c>
      <c r="U97" s="2" t="s">
        <v>22</v>
      </c>
      <c r="V97" s="1" t="s">
        <v>22</v>
      </c>
      <c r="W97" s="1" t="s">
        <v>22</v>
      </c>
      <c r="X97" s="10">
        <v>833.52049999999997</v>
      </c>
      <c r="Y97" s="10">
        <f>Table1[[#This Row],[Raw Terrestrial Score]]/Table1[[#This Row],[Summed Raw Scores]]</f>
        <v>0.30412270419914345</v>
      </c>
      <c r="Z97" s="10">
        <v>1907.2170000000001</v>
      </c>
      <c r="AA97" s="10">
        <f>Table1[[#This Row],[Raw Freshwater Score]]/Table1[[#This Row],[Summed Raw Scores]]</f>
        <v>0.69587729580085655</v>
      </c>
      <c r="AB97" s="10">
        <f>Table1[[#This Row],[Raw Terrestrial Score]]+Table1[[#This Row],[Raw Freshwater Score]]</f>
        <v>2740.7375000000002</v>
      </c>
      <c r="AC97" s="11">
        <f>Table1[[#This Row],[Terrestrial % of Summed Score]]*Table1[[#This Row],[Scaled Summed Score]]</f>
        <v>0.1024190577580129</v>
      </c>
      <c r="AD97" s="11">
        <f>Table1[[#This Row],[Freshwater % of Summed Score]]*Table1[[#This Row],[Scaled Summed Score]]</f>
        <v>0.23434980672948549</v>
      </c>
      <c r="AE97" s="39">
        <f>Table1[[#This Row],[Summed Raw Scores]]/MAX(Table1[Summed Raw Scores])</f>
        <v>0.33676886448749838</v>
      </c>
      <c r="AF97" s="1"/>
    </row>
    <row r="98" spans="1:32" x14ac:dyDescent="0.3">
      <c r="A98" s="8" t="s">
        <v>46</v>
      </c>
      <c r="B98" s="8" t="s">
        <v>42</v>
      </c>
      <c r="C98" s="8" t="s">
        <v>21</v>
      </c>
      <c r="D98" s="8" t="s">
        <v>250</v>
      </c>
      <c r="E98" s="12">
        <v>49.311390001299998</v>
      </c>
      <c r="F98" s="12">
        <v>-125.72295</v>
      </c>
      <c r="G98" s="9">
        <v>500</v>
      </c>
      <c r="H98" s="9" t="s">
        <v>22</v>
      </c>
      <c r="I98" s="1">
        <v>408</v>
      </c>
      <c r="J98" s="8" t="s">
        <v>22</v>
      </c>
      <c r="K98" s="8" t="s">
        <v>22</v>
      </c>
      <c r="L98" s="13">
        <v>193.71809398773007</v>
      </c>
      <c r="M98" s="12">
        <v>1.9727923584</v>
      </c>
      <c r="N98" s="1">
        <v>82.961731573007143</v>
      </c>
      <c r="O98" s="1">
        <f>Table1[[#This Row],[R1 Length (km)]]+Table1[[#This Row],[T1 Length (km)]]</f>
        <v>84.934523931407142</v>
      </c>
      <c r="P98" s="2">
        <v>500</v>
      </c>
      <c r="Q98" s="1">
        <f>(Table1[[#This Row],[Linear Features (km)]]*0.4)*100</f>
        <v>3397.3809572562859</v>
      </c>
      <c r="R98" s="1">
        <v>74.47</v>
      </c>
      <c r="S98" s="3">
        <f>Table1[[#This Row],[ATG (ha)]]/Table1[[#This Row],[Linear Area (ha)]]</f>
        <v>2.1919826165194538E-2</v>
      </c>
      <c r="T98" s="2" t="s">
        <v>22</v>
      </c>
      <c r="U98" s="2" t="s">
        <v>22</v>
      </c>
      <c r="V98" s="1" t="s">
        <v>22</v>
      </c>
      <c r="W98" s="1" t="s">
        <v>22</v>
      </c>
      <c r="X98" s="10">
        <v>783.49369999999999</v>
      </c>
      <c r="Y98" s="10">
        <f>Table1[[#This Row],[Raw Terrestrial Score]]/Table1[[#This Row],[Summed Raw Scores]]</f>
        <v>0.43397219243351348</v>
      </c>
      <c r="Z98" s="10">
        <v>1021.907</v>
      </c>
      <c r="AA98" s="10">
        <f>Table1[[#This Row],[Raw Freshwater Score]]/Table1[[#This Row],[Summed Raw Scores]]</f>
        <v>0.56602780756648652</v>
      </c>
      <c r="AB98" s="10">
        <f>Table1[[#This Row],[Raw Terrestrial Score]]+Table1[[#This Row],[Raw Freshwater Score]]</f>
        <v>1805.4007000000001</v>
      </c>
      <c r="AC98" s="11">
        <f>Table1[[#This Row],[Terrestrial % of Summed Score]]*Table1[[#This Row],[Scaled Summed Score]]</f>
        <v>9.6272001124554502E-2</v>
      </c>
      <c r="AD98" s="11">
        <f>Table1[[#This Row],[Freshwater % of Summed Score]]*Table1[[#This Row],[Scaled Summed Score]]</f>
        <v>0.12556710009689948</v>
      </c>
      <c r="AE98" s="39">
        <f>Table1[[#This Row],[Summed Raw Scores]]/MAX(Table1[Summed Raw Scores])</f>
        <v>0.22183910122145398</v>
      </c>
      <c r="AF98" s="1"/>
    </row>
    <row r="99" spans="1:32" x14ac:dyDescent="0.3">
      <c r="A99" s="8" t="s">
        <v>52</v>
      </c>
      <c r="B99" s="8" t="s">
        <v>53</v>
      </c>
      <c r="C99" s="8" t="s">
        <v>32</v>
      </c>
      <c r="D99" s="8" t="s">
        <v>250</v>
      </c>
      <c r="E99" s="9">
        <v>50.371716999999997</v>
      </c>
      <c r="F99" s="9">
        <v>-122.7530678</v>
      </c>
      <c r="G99" s="9">
        <v>15.82</v>
      </c>
      <c r="H99" s="9" t="s">
        <v>22</v>
      </c>
      <c r="I99" s="9">
        <v>2</v>
      </c>
      <c r="J99" s="9">
        <v>37</v>
      </c>
      <c r="K99" s="9">
        <v>86.53</v>
      </c>
      <c r="L99" s="9" t="s">
        <v>22</v>
      </c>
      <c r="M99" s="9">
        <f>200.000000002/1000</f>
        <v>0.20000000000199999</v>
      </c>
      <c r="N99" s="9">
        <f>5234.07068874/1000</f>
        <v>5.2340706887400001</v>
      </c>
      <c r="O99" s="9">
        <f>Table1[[#This Row],[R1 Length (km)]]+Table1[[#This Row],[T1 Length (km)]]</f>
        <v>5.4340706887420005</v>
      </c>
      <c r="P99" s="8">
        <v>69</v>
      </c>
      <c r="Q99" s="9">
        <f>(Table1[[#This Row],[Linear Features (km)]]*0.4)*100</f>
        <v>217.36282754968005</v>
      </c>
      <c r="R99" s="1">
        <v>6.85</v>
      </c>
      <c r="S99" s="3">
        <f>Table1[[#This Row],[ATG (ha)]]/Table1[[#This Row],[Linear Area (ha)]]</f>
        <v>3.1514128138742471E-2</v>
      </c>
      <c r="T99" s="2" t="s">
        <v>22</v>
      </c>
      <c r="U99" s="2" t="s">
        <v>22</v>
      </c>
      <c r="V99" s="1" t="s">
        <v>22</v>
      </c>
      <c r="W99" s="1" t="s">
        <v>22</v>
      </c>
      <c r="X99" s="10">
        <v>115.499</v>
      </c>
      <c r="Y99" s="10">
        <f>Table1[[#This Row],[Raw Terrestrial Score]]/Table1[[#This Row],[Summed Raw Scores]]</f>
        <v>0.59382824590357786</v>
      </c>
      <c r="Z99" s="10">
        <v>79</v>
      </c>
      <c r="AA99" s="10">
        <f>Table1[[#This Row],[Raw Freshwater Score]]/Table1[[#This Row],[Summed Raw Scores]]</f>
        <v>0.40617175409642209</v>
      </c>
      <c r="AB99" s="10">
        <f>Table1[[#This Row],[Raw Terrestrial Score]]+Table1[[#This Row],[Raw Freshwater Score]]</f>
        <v>194.499</v>
      </c>
      <c r="AC99" s="11">
        <f>Table1[[#This Row],[Terrestrial % of Summed Score]]*Table1[[#This Row],[Scaled Summed Score]]</f>
        <v>1.4191970985707887E-2</v>
      </c>
      <c r="AD99" s="11">
        <f>Table1[[#This Row],[Freshwater % of Summed Score]]*Table1[[#This Row],[Scaled Summed Score]]</f>
        <v>9.7071464503668704E-3</v>
      </c>
      <c r="AE99" s="39">
        <f>Table1[[#This Row],[Summed Raw Scores]]/MAX(Table1[Summed Raw Scores])</f>
        <v>2.3899117436074757E-2</v>
      </c>
      <c r="AF99" s="1"/>
    </row>
    <row r="100" spans="1:32" x14ac:dyDescent="0.3">
      <c r="A100" s="8" t="s">
        <v>54</v>
      </c>
      <c r="B100" s="8" t="s">
        <v>53</v>
      </c>
      <c r="C100" s="8" t="s">
        <v>32</v>
      </c>
      <c r="D100" s="8" t="s">
        <v>250</v>
      </c>
      <c r="E100" s="12">
        <v>49.712198797900001</v>
      </c>
      <c r="F100" s="12">
        <v>-122.750093851</v>
      </c>
      <c r="G100" s="9">
        <v>27.09</v>
      </c>
      <c r="H100" s="9" t="s">
        <v>22</v>
      </c>
      <c r="I100" s="9">
        <v>4</v>
      </c>
      <c r="J100" s="9">
        <v>78</v>
      </c>
      <c r="K100" s="9">
        <v>85.28</v>
      </c>
      <c r="L100" s="9" t="s">
        <v>22</v>
      </c>
      <c r="M100" s="12">
        <v>0.1</v>
      </c>
      <c r="N100" s="1">
        <v>65.222750000000005</v>
      </c>
      <c r="O100" s="1">
        <f>Table1[[#This Row],[R1 Length (km)]]+Table1[[#This Row],[T1 Length (km)]]</f>
        <v>65.322749999999999</v>
      </c>
      <c r="P100" s="2">
        <v>69</v>
      </c>
      <c r="Q100" s="1">
        <f>(Table1[[#This Row],[Linear Features (km)]]*0.4)*100</f>
        <v>2612.9100000000003</v>
      </c>
      <c r="R100" s="1">
        <v>5.01</v>
      </c>
      <c r="S100" s="3">
        <f>Table1[[#This Row],[ATG (ha)]]/Table1[[#This Row],[Linear Area (ha)]]</f>
        <v>1.9174024363640535E-3</v>
      </c>
      <c r="T100" s="2" t="s">
        <v>22</v>
      </c>
      <c r="U100" s="2" t="s">
        <v>22</v>
      </c>
      <c r="V100" s="1" t="s">
        <v>22</v>
      </c>
      <c r="W100" s="1" t="s">
        <v>22</v>
      </c>
      <c r="X100" s="10">
        <v>363.91070000000002</v>
      </c>
      <c r="Y100" s="10">
        <f>Table1[[#This Row],[Raw Terrestrial Score]]/Table1[[#This Row],[Summed Raw Scores]]</f>
        <v>0.20514600875906552</v>
      </c>
      <c r="Z100" s="10">
        <v>1410</v>
      </c>
      <c r="AA100" s="10">
        <f>Table1[[#This Row],[Raw Freshwater Score]]/Table1[[#This Row],[Summed Raw Scores]]</f>
        <v>0.79485399124093459</v>
      </c>
      <c r="AB100" s="10">
        <f>Table1[[#This Row],[Raw Terrestrial Score]]+Table1[[#This Row],[Raw Freshwater Score]]</f>
        <v>1773.9106999999999</v>
      </c>
      <c r="AC100" s="11">
        <f>Table1[[#This Row],[Terrestrial % of Summed Score]]*Table1[[#This Row],[Scaled Summed Score]]</f>
        <v>4.4715626072854724E-2</v>
      </c>
      <c r="AD100" s="11">
        <f>Table1[[#This Row],[Freshwater % of Summed Score]]*Table1[[#This Row],[Scaled Summed Score]]</f>
        <v>0.17325413284832009</v>
      </c>
      <c r="AE100" s="39">
        <f>Table1[[#This Row],[Summed Raw Scores]]/MAX(Table1[Summed Raw Scores])</f>
        <v>0.21796975892117479</v>
      </c>
      <c r="AF100" s="1"/>
    </row>
    <row r="101" spans="1:32" x14ac:dyDescent="0.3">
      <c r="A101" s="8" t="s">
        <v>55</v>
      </c>
      <c r="B101" s="8" t="s">
        <v>53</v>
      </c>
      <c r="C101" s="8" t="s">
        <v>56</v>
      </c>
      <c r="D101" s="8" t="s">
        <v>250</v>
      </c>
      <c r="E101" s="12">
        <v>51.656905572900001</v>
      </c>
      <c r="F101" s="12">
        <v>-118.616383477</v>
      </c>
      <c r="G101" s="9">
        <v>49.27</v>
      </c>
      <c r="H101" s="9" t="s">
        <v>22</v>
      </c>
      <c r="I101" s="9">
        <v>7</v>
      </c>
      <c r="J101" s="9">
        <v>151</v>
      </c>
      <c r="K101" s="9">
        <v>84.37</v>
      </c>
      <c r="L101" s="9" t="s">
        <v>22</v>
      </c>
      <c r="M101" s="12">
        <v>0.14142135620100002</v>
      </c>
      <c r="N101" s="1">
        <v>4.7698486328124998</v>
      </c>
      <c r="O101" s="1">
        <f>Table1[[#This Row],[R1 Length (km)]]+Table1[[#This Row],[T1 Length (km)]]</f>
        <v>4.9112699890134994</v>
      </c>
      <c r="P101" s="2">
        <v>69</v>
      </c>
      <c r="Q101" s="1">
        <f>(Table1[[#This Row],[Linear Features (km)]]*0.4)*100</f>
        <v>196.45079956053999</v>
      </c>
      <c r="R101" s="1">
        <v>5.75</v>
      </c>
      <c r="S101" s="3">
        <f>Table1[[#This Row],[ATG (ha)]]/Table1[[#This Row],[Linear Area (ha)]]</f>
        <v>2.926941510476281E-2</v>
      </c>
      <c r="T101" s="2" t="s">
        <v>22</v>
      </c>
      <c r="U101" s="2" t="s">
        <v>22</v>
      </c>
      <c r="V101" s="1" t="s">
        <v>22</v>
      </c>
      <c r="W101" s="1" t="s">
        <v>22</v>
      </c>
      <c r="X101" s="10">
        <v>41.267020000000002</v>
      </c>
      <c r="Y101" s="10">
        <f>Table1[[#This Row],[Raw Terrestrial Score]]/Table1[[#This Row],[Summed Raw Scores]]</f>
        <v>0.41280279225687289</v>
      </c>
      <c r="Z101" s="10">
        <v>58.700859999999999</v>
      </c>
      <c r="AA101" s="10">
        <f>Table1[[#This Row],[Raw Freshwater Score]]/Table1[[#This Row],[Summed Raw Scores]]</f>
        <v>0.587197207743127</v>
      </c>
      <c r="AB101" s="10">
        <f>Table1[[#This Row],[Raw Terrestrial Score]]+Table1[[#This Row],[Raw Freshwater Score]]</f>
        <v>99.967880000000008</v>
      </c>
      <c r="AC101" s="11">
        <f>Table1[[#This Row],[Terrestrial % of Summed Score]]*Table1[[#This Row],[Scaled Summed Score]]</f>
        <v>5.070696287471122E-3</v>
      </c>
      <c r="AD101" s="11">
        <f>Table1[[#This Row],[Freshwater % of Summed Score]]*Table1[[#This Row],[Scaled Summed Score]]</f>
        <v>7.2128841111706648E-3</v>
      </c>
      <c r="AE101" s="39">
        <f>Table1[[#This Row],[Summed Raw Scores]]/MAX(Table1[Summed Raw Scores])</f>
        <v>1.2283580398641789E-2</v>
      </c>
      <c r="AF101" s="1"/>
    </row>
    <row r="102" spans="1:32" x14ac:dyDescent="0.3">
      <c r="A102" s="8" t="s">
        <v>184</v>
      </c>
      <c r="B102" s="8" t="s">
        <v>114</v>
      </c>
      <c r="C102" s="8" t="s">
        <v>25</v>
      </c>
      <c r="D102" s="8" t="s">
        <v>250</v>
      </c>
      <c r="E102" s="9">
        <v>51.005977790000003</v>
      </c>
      <c r="F102" s="9">
        <v>-120.4973311</v>
      </c>
      <c r="G102" s="9">
        <v>171</v>
      </c>
      <c r="H102" s="8" t="s">
        <v>22</v>
      </c>
      <c r="I102" s="9">
        <v>58.8</v>
      </c>
      <c r="J102" s="9">
        <v>613.38396</v>
      </c>
      <c r="K102" s="9">
        <v>86.696270973203369</v>
      </c>
      <c r="L102" s="9" t="s">
        <v>22</v>
      </c>
      <c r="M102" s="9">
        <v>0.3</v>
      </c>
      <c r="N102" s="9">
        <v>43.9</v>
      </c>
      <c r="O102" s="9">
        <f>Table1[[#This Row],[R1 Length (km)]]+Table1[[#This Row],[T1 Length (km)]]</f>
        <v>44.199999999999996</v>
      </c>
      <c r="P102" s="8">
        <v>230</v>
      </c>
      <c r="Q102" s="9">
        <f>(Table1[[#This Row],[Linear Features (km)]]*0.4)*100</f>
        <v>1768</v>
      </c>
      <c r="R102" s="1">
        <f>((PI()*(45^2))*Table1[[#This Row],[Number of Turbines - WIND]])/10000</f>
        <v>31.17245310524472</v>
      </c>
      <c r="S102" s="3">
        <f>Table1[[#This Row],[ATG (ha)]]/Table1[[#This Row],[Linear Area (ha)]]</f>
        <v>1.7631478000704026E-2</v>
      </c>
      <c r="T102" s="8" t="s">
        <v>115</v>
      </c>
      <c r="U102" s="8">
        <v>49</v>
      </c>
      <c r="V102" s="1" t="s">
        <v>22</v>
      </c>
      <c r="W102" s="1" t="s">
        <v>22</v>
      </c>
      <c r="X102" s="10">
        <f>657.6574+60.78119</f>
        <v>718.43859000000009</v>
      </c>
      <c r="Y102" s="10">
        <f>Table1[[#This Row],[Raw Terrestrial Score]]/Table1[[#This Row],[Summed Raw Scores]]</f>
        <v>0.32442735066656825</v>
      </c>
      <c r="Z102" s="10">
        <f>1083.331+412.7126</f>
        <v>1496.0436</v>
      </c>
      <c r="AA102" s="10">
        <f>Table1[[#This Row],[Raw Freshwater Score]]/Table1[[#This Row],[Summed Raw Scores]]</f>
        <v>0.67557264933343164</v>
      </c>
      <c r="AB102" s="10">
        <f>Table1[[#This Row],[Raw Terrestrial Score]]+Table1[[#This Row],[Raw Freshwater Score]]</f>
        <v>2214.4821900000002</v>
      </c>
      <c r="AC102" s="11">
        <f>Table1[[#This Row],[Terrestrial % of Summed Score]]*Table1[[#This Row],[Scaled Summed Score]]</f>
        <v>8.8278336819304803E-2</v>
      </c>
      <c r="AD102" s="11">
        <f>Table1[[#This Row],[Freshwater % of Summed Score]]*Table1[[#This Row],[Scaled Summed Score]]</f>
        <v>0.18382676356119079</v>
      </c>
      <c r="AE102" s="39">
        <f>Table1[[#This Row],[Summed Raw Scores]]/MAX(Table1[Summed Raw Scores])</f>
        <v>0.27210510038049562</v>
      </c>
      <c r="AF102" s="1"/>
    </row>
    <row r="103" spans="1:32" x14ac:dyDescent="0.3">
      <c r="A103" s="8" t="s">
        <v>185</v>
      </c>
      <c r="B103" s="8" t="s">
        <v>114</v>
      </c>
      <c r="C103" s="8" t="s">
        <v>25</v>
      </c>
      <c r="D103" s="8"/>
      <c r="E103" s="9">
        <v>50.930347140000002</v>
      </c>
      <c r="F103" s="9">
        <v>-121.1762619</v>
      </c>
      <c r="G103" s="9">
        <v>69</v>
      </c>
      <c r="H103" s="8" t="s">
        <v>22</v>
      </c>
      <c r="I103" s="9">
        <v>16.8</v>
      </c>
      <c r="J103" s="9">
        <v>169.12056000000001</v>
      </c>
      <c r="K103" s="9">
        <v>109.20568239922603</v>
      </c>
      <c r="L103" s="9" t="s">
        <v>22</v>
      </c>
      <c r="M103" s="9">
        <v>0.1</v>
      </c>
      <c r="N103" s="9">
        <v>35.428636718749999</v>
      </c>
      <c r="O103" s="9">
        <f>Table1[[#This Row],[R1 Length (km)]]+Table1[[#This Row],[T1 Length (km)]]</f>
        <v>35.528636718750001</v>
      </c>
      <c r="P103" s="8">
        <v>130</v>
      </c>
      <c r="Q103" s="9">
        <f>(Table1[[#This Row],[Linear Features (km)]]*0.4)*100</f>
        <v>1421.1454687500002</v>
      </c>
      <c r="R103" s="1">
        <f>((PI()*(45^2))*Table1[[#This Row],[Number of Turbines - WIND]])/10000</f>
        <v>8.906415172927062</v>
      </c>
      <c r="S103" s="3">
        <f>Table1[[#This Row],[ATG (ha)]]/Table1[[#This Row],[Linear Area (ha)]]</f>
        <v>6.2670679172350287E-3</v>
      </c>
      <c r="T103" s="8" t="s">
        <v>115</v>
      </c>
      <c r="U103" s="8">
        <v>14</v>
      </c>
      <c r="V103" s="1" t="s">
        <v>22</v>
      </c>
      <c r="W103" s="1" t="s">
        <v>22</v>
      </c>
      <c r="X103" s="10">
        <f>668.9141+42.80531</f>
        <v>711.71940999999993</v>
      </c>
      <c r="Y103" s="10">
        <f>Table1[[#This Row],[Raw Terrestrial Score]]/Table1[[#This Row],[Summed Raw Scores]]</f>
        <v>0.41968298187871628</v>
      </c>
      <c r="Z103" s="10">
        <f>885+99.13065</f>
        <v>984.13065000000006</v>
      </c>
      <c r="AA103" s="10">
        <f>Table1[[#This Row],[Raw Freshwater Score]]/Table1[[#This Row],[Summed Raw Scores]]</f>
        <v>0.58031701812128367</v>
      </c>
      <c r="AB103" s="10">
        <f>Table1[[#This Row],[Raw Terrestrial Score]]+Table1[[#This Row],[Raw Freshwater Score]]</f>
        <v>1695.85006</v>
      </c>
      <c r="AC103" s="11">
        <f>Table1[[#This Row],[Terrestrial % of Summed Score]]*Table1[[#This Row],[Scaled Summed Score]]</f>
        <v>8.7452715752388638E-2</v>
      </c>
      <c r="AD103" s="11">
        <f>Table1[[#This Row],[Freshwater % of Summed Score]]*Table1[[#This Row],[Scaled Summed Score]]</f>
        <v>0.12092532083347772</v>
      </c>
      <c r="AE103" s="39">
        <f>Table1[[#This Row],[Summed Raw Scores]]/MAX(Table1[Summed Raw Scores])</f>
        <v>0.20837803658586637</v>
      </c>
      <c r="AF103" s="1"/>
    </row>
    <row r="104" spans="1:32" x14ac:dyDescent="0.3">
      <c r="A104" s="8" t="s">
        <v>186</v>
      </c>
      <c r="B104" s="8" t="s">
        <v>114</v>
      </c>
      <c r="C104" s="8" t="s">
        <v>25</v>
      </c>
      <c r="D104" s="8" t="s">
        <v>250</v>
      </c>
      <c r="E104" s="9">
        <v>51.02296982</v>
      </c>
      <c r="F104" s="9">
        <v>-121.1465226</v>
      </c>
      <c r="G104" s="9">
        <v>150</v>
      </c>
      <c r="H104" s="8" t="s">
        <v>22</v>
      </c>
      <c r="I104" s="9">
        <v>36.479999999999997</v>
      </c>
      <c r="J104" s="9">
        <v>392.26579199999998</v>
      </c>
      <c r="K104" s="9">
        <v>86.678770695404879</v>
      </c>
      <c r="L104" s="9" t="s">
        <v>22</v>
      </c>
      <c r="M104" s="9">
        <v>0.1</v>
      </c>
      <c r="N104" s="9">
        <v>43</v>
      </c>
      <c r="O104" s="9">
        <f>Table1[[#This Row],[R1 Length (km)]]+Table1[[#This Row],[T1 Length (km)]]</f>
        <v>43.1</v>
      </c>
      <c r="P104" s="8">
        <v>130</v>
      </c>
      <c r="Q104" s="9">
        <f>(Table1[[#This Row],[Linear Features (km)]]*0.4)*100</f>
        <v>1724.0000000000002</v>
      </c>
      <c r="R104" s="1">
        <f>((PI()*(45^2))*Table1[[#This Row],[Number of Turbines - WIND]])/10000</f>
        <v>19.085175370557995</v>
      </c>
      <c r="S104" s="3">
        <f>Table1[[#This Row],[ATG (ha)]]/Table1[[#This Row],[Linear Area (ha)]]</f>
        <v>1.1070287337910668E-2</v>
      </c>
      <c r="T104" s="8" t="s">
        <v>115</v>
      </c>
      <c r="U104" s="8">
        <v>30</v>
      </c>
      <c r="V104" s="1" t="s">
        <v>22</v>
      </c>
      <c r="W104" s="1" t="s">
        <v>22</v>
      </c>
      <c r="X104" s="10">
        <f>602.6853+104.7562</f>
        <v>707.44150000000002</v>
      </c>
      <c r="Y104" s="10">
        <f>Table1[[#This Row],[Raw Terrestrial Score]]/Table1[[#This Row],[Summed Raw Scores]]</f>
        <v>0.44244530188991366</v>
      </c>
      <c r="Z104" s="10">
        <f>718.4603+173.0337</f>
        <v>891.49399999999991</v>
      </c>
      <c r="AA104" s="10">
        <f>Table1[[#This Row],[Raw Freshwater Score]]/Table1[[#This Row],[Summed Raw Scores]]</f>
        <v>0.55755469811008629</v>
      </c>
      <c r="AB104" s="10">
        <f>Table1[[#This Row],[Raw Terrestrial Score]]+Table1[[#This Row],[Raw Freshwater Score]]</f>
        <v>1598.9355</v>
      </c>
      <c r="AC104" s="11">
        <f>Table1[[#This Row],[Terrestrial % of Summed Score]]*Table1[[#This Row],[Scaled Summed Score]]</f>
        <v>8.6927066399585001E-2</v>
      </c>
      <c r="AD104" s="11">
        <f>Table1[[#This Row],[Freshwater % of Summed Score]]*Table1[[#This Row],[Scaled Summed Score]]</f>
        <v>0.10954256731168813</v>
      </c>
      <c r="AE104" s="39">
        <f>Table1[[#This Row],[Summed Raw Scores]]/MAX(Table1[Summed Raw Scores])</f>
        <v>0.19646963371127313</v>
      </c>
      <c r="AF104" s="1"/>
    </row>
    <row r="105" spans="1:32" x14ac:dyDescent="0.3">
      <c r="A105" s="8" t="s">
        <v>187</v>
      </c>
      <c r="B105" s="8" t="s">
        <v>114</v>
      </c>
      <c r="C105" s="8" t="s">
        <v>25</v>
      </c>
      <c r="D105" s="8" t="s">
        <v>250</v>
      </c>
      <c r="E105" s="9">
        <v>50.631984799999998</v>
      </c>
      <c r="F105" s="9">
        <v>-121.1327119</v>
      </c>
      <c r="G105" s="9">
        <v>96</v>
      </c>
      <c r="H105" s="8" t="s">
        <v>22</v>
      </c>
      <c r="I105" s="9">
        <v>24</v>
      </c>
      <c r="J105" s="9">
        <v>279.7944</v>
      </c>
      <c r="K105" s="9">
        <v>84.949897322398115</v>
      </c>
      <c r="L105" s="9" t="s">
        <v>22</v>
      </c>
      <c r="M105" s="9">
        <v>2.2000000000000002</v>
      </c>
      <c r="N105" s="9">
        <v>28.8</v>
      </c>
      <c r="O105" s="9">
        <f>Table1[[#This Row],[R1 Length (km)]]+Table1[[#This Row],[T1 Length (km)]]</f>
        <v>31</v>
      </c>
      <c r="P105" s="8">
        <v>130</v>
      </c>
      <c r="Q105" s="9">
        <f>(Table1[[#This Row],[Linear Features (km)]]*0.4)*100</f>
        <v>1240</v>
      </c>
      <c r="R105" s="1">
        <f>((PI()*(45^2))*Table1[[#This Row],[Number of Turbines - WIND]])/10000</f>
        <v>12.723450247038663</v>
      </c>
      <c r="S105" s="3">
        <f>Table1[[#This Row],[ATG (ha)]]/Table1[[#This Row],[Linear Area (ha)]]</f>
        <v>1.0260846973418277E-2</v>
      </c>
      <c r="T105" s="8" t="s">
        <v>188</v>
      </c>
      <c r="U105" s="8">
        <v>20</v>
      </c>
      <c r="V105" s="1" t="s">
        <v>22</v>
      </c>
      <c r="W105" s="1" t="s">
        <v>22</v>
      </c>
      <c r="X105" s="10">
        <v>343.9588</v>
      </c>
      <c r="Y105" s="10">
        <f>Table1[[#This Row],[Raw Terrestrial Score]]/Table1[[#This Row],[Summed Raw Scores]]</f>
        <v>0.44076662084622203</v>
      </c>
      <c r="Z105" s="10">
        <v>436.40609999999998</v>
      </c>
      <c r="AA105" s="10">
        <f>Table1[[#This Row],[Raw Freshwater Score]]/Table1[[#This Row],[Summed Raw Scores]]</f>
        <v>0.55923337915377791</v>
      </c>
      <c r="AB105" s="10">
        <f>Table1[[#This Row],[Raw Terrestrial Score]]+Table1[[#This Row],[Raw Freshwater Score]]</f>
        <v>780.36490000000003</v>
      </c>
      <c r="AC105" s="11">
        <f>Table1[[#This Row],[Terrestrial % of Summed Score]]*Table1[[#This Row],[Scaled Summed Score]]</f>
        <v>4.2264030942942378E-2</v>
      </c>
      <c r="AD105" s="11">
        <f>Table1[[#This Row],[Freshwater % of Summed Score]]*Table1[[#This Row],[Scaled Summed Score]]</f>
        <v>5.3623518032068981E-2</v>
      </c>
      <c r="AE105" s="39">
        <f>Table1[[#This Row],[Summed Raw Scores]]/MAX(Table1[Summed Raw Scores])</f>
        <v>9.5887548975011366E-2</v>
      </c>
      <c r="AF105" s="1"/>
    </row>
    <row r="106" spans="1:32" x14ac:dyDescent="0.3">
      <c r="A106" s="8" t="s">
        <v>189</v>
      </c>
      <c r="B106" s="8" t="s">
        <v>114</v>
      </c>
      <c r="C106" s="8" t="s">
        <v>25</v>
      </c>
      <c r="D106" s="8" t="s">
        <v>250</v>
      </c>
      <c r="E106" s="9">
        <v>50.597885300000002</v>
      </c>
      <c r="F106" s="9">
        <v>-120.67581060000001</v>
      </c>
      <c r="G106" s="9">
        <v>144</v>
      </c>
      <c r="H106" s="8" t="s">
        <v>22</v>
      </c>
      <c r="I106" s="9">
        <v>34.799999999999997</v>
      </c>
      <c r="J106" s="9">
        <v>388.55417999999997</v>
      </c>
      <c r="K106" s="9">
        <v>81.42411060961723</v>
      </c>
      <c r="L106" s="9" t="s">
        <v>22</v>
      </c>
      <c r="M106" s="9">
        <v>0.3</v>
      </c>
      <c r="N106" s="9">
        <v>21</v>
      </c>
      <c r="O106" s="9">
        <f>Table1[[#This Row],[R1 Length (km)]]+Table1[[#This Row],[T1 Length (km)]]</f>
        <v>21.3</v>
      </c>
      <c r="P106" s="8">
        <v>130</v>
      </c>
      <c r="Q106" s="9">
        <f>(Table1[[#This Row],[Linear Features (km)]]*0.4)*100</f>
        <v>852.00000000000011</v>
      </c>
      <c r="R106" s="1">
        <f>((PI()*(45^2))*Table1[[#This Row],[Number of Turbines - WIND]])/10000</f>
        <v>18.449002858206061</v>
      </c>
      <c r="S106" s="3">
        <f>Table1[[#This Row],[ATG (ha)]]/Table1[[#This Row],[Linear Area (ha)]]</f>
        <v>2.1653759223246548E-2</v>
      </c>
      <c r="T106" s="8" t="s">
        <v>188</v>
      </c>
      <c r="U106" s="8">
        <v>29</v>
      </c>
      <c r="V106" s="1" t="s">
        <v>22</v>
      </c>
      <c r="W106" s="1" t="s">
        <v>22</v>
      </c>
      <c r="X106" s="10">
        <v>142.30770000000001</v>
      </c>
      <c r="Y106" s="10">
        <f>Table1[[#This Row],[Raw Terrestrial Score]]/Table1[[#This Row],[Summed Raw Scores]]</f>
        <v>0.40526912486255628</v>
      </c>
      <c r="Z106" s="10">
        <v>208.83600000000001</v>
      </c>
      <c r="AA106" s="10">
        <f>Table1[[#This Row],[Raw Freshwater Score]]/Table1[[#This Row],[Summed Raw Scores]]</f>
        <v>0.59473087513744372</v>
      </c>
      <c r="AB106" s="10">
        <f>Table1[[#This Row],[Raw Terrestrial Score]]+Table1[[#This Row],[Raw Freshwater Score]]</f>
        <v>351.14370000000002</v>
      </c>
      <c r="AC106" s="11">
        <f>Table1[[#This Row],[Terrestrial % of Summed Score]]*Table1[[#This Row],[Scaled Summed Score]]</f>
        <v>1.7486097277403464E-2</v>
      </c>
      <c r="AD106" s="11">
        <f>Table1[[#This Row],[Freshwater % of Summed Score]]*Table1[[#This Row],[Scaled Summed Score]]</f>
        <v>2.5660780203909061E-2</v>
      </c>
      <c r="AE106" s="39">
        <f>Table1[[#This Row],[Summed Raw Scores]]/MAX(Table1[Summed Raw Scores])</f>
        <v>4.3146877481312525E-2</v>
      </c>
      <c r="AF106" s="1"/>
    </row>
    <row r="107" spans="1:32" x14ac:dyDescent="0.3">
      <c r="A107" s="8" t="s">
        <v>190</v>
      </c>
      <c r="B107" s="8" t="s">
        <v>114</v>
      </c>
      <c r="C107" s="8" t="s">
        <v>25</v>
      </c>
      <c r="D107" s="8" t="s">
        <v>250</v>
      </c>
      <c r="E107" s="9">
        <v>50.438525319999997</v>
      </c>
      <c r="F107" s="9">
        <v>-121.0431569</v>
      </c>
      <c r="G107" s="9">
        <v>129</v>
      </c>
      <c r="H107" s="8" t="s">
        <v>22</v>
      </c>
      <c r="I107" s="9">
        <v>31.2</v>
      </c>
      <c r="J107" s="9">
        <v>320.00280000000004</v>
      </c>
      <c r="K107" s="9">
        <v>89.222821877244428</v>
      </c>
      <c r="L107" s="9" t="s">
        <v>22</v>
      </c>
      <c r="M107" s="9">
        <v>1.6899497070299998</v>
      </c>
      <c r="N107" s="9">
        <v>17.96984765625</v>
      </c>
      <c r="O107" s="9">
        <f>Table1[[#This Row],[R1 Length (km)]]+Table1[[#This Row],[T1 Length (km)]]</f>
        <v>19.659797363279999</v>
      </c>
      <c r="P107" s="8">
        <v>130</v>
      </c>
      <c r="Q107" s="9">
        <f>(Table1[[#This Row],[Linear Features (km)]]*0.4)*100</f>
        <v>786.39189453120002</v>
      </c>
      <c r="R107" s="1">
        <f>((PI()*(45^2))*Table1[[#This Row],[Number of Turbines - WIND]])/10000</f>
        <v>16.54048532115026</v>
      </c>
      <c r="S107" s="3">
        <f>Table1[[#This Row],[ATG (ha)]]/Table1[[#This Row],[Linear Area (ha)]]</f>
        <v>2.1033387343101638E-2</v>
      </c>
      <c r="T107" s="8" t="s">
        <v>115</v>
      </c>
      <c r="U107" s="8">
        <v>26</v>
      </c>
      <c r="V107" s="1" t="s">
        <v>22</v>
      </c>
      <c r="W107" s="1" t="s">
        <v>22</v>
      </c>
      <c r="X107" s="10">
        <f>203.79+62.93112</f>
        <v>266.72111999999998</v>
      </c>
      <c r="Y107" s="10">
        <f>Table1[[#This Row],[Raw Terrestrial Score]]/Table1[[#This Row],[Summed Raw Scores]]</f>
        <v>0.34251300810709168</v>
      </c>
      <c r="Z107" s="10">
        <f>381.6374+130.3597</f>
        <v>511.99710000000005</v>
      </c>
      <c r="AA107" s="10">
        <f>Table1[[#This Row],[Raw Freshwater Score]]/Table1[[#This Row],[Summed Raw Scores]]</f>
        <v>0.65748699189290838</v>
      </c>
      <c r="AB107" s="10">
        <f>Table1[[#This Row],[Raw Terrestrial Score]]+Table1[[#This Row],[Raw Freshwater Score]]</f>
        <v>778.71821999999997</v>
      </c>
      <c r="AC107" s="11">
        <f>Table1[[#This Row],[Terrestrial % of Summed Score]]*Table1[[#This Row],[Scaled Summed Score]]</f>
        <v>3.2773430041087036E-2</v>
      </c>
      <c r="AD107" s="11">
        <f>Table1[[#This Row],[Freshwater % of Summed Score]]*Table1[[#This Row],[Scaled Summed Score]]</f>
        <v>6.2911782681811801E-2</v>
      </c>
      <c r="AE107" s="39">
        <f>Table1[[#This Row],[Summed Raw Scores]]/MAX(Table1[Summed Raw Scores])</f>
        <v>9.568521272289883E-2</v>
      </c>
      <c r="AF107" s="1"/>
    </row>
    <row r="108" spans="1:32" x14ac:dyDescent="0.3">
      <c r="A108" s="8" t="s">
        <v>191</v>
      </c>
      <c r="B108" s="8" t="s">
        <v>114</v>
      </c>
      <c r="C108" s="8" t="s">
        <v>25</v>
      </c>
      <c r="D108" s="8"/>
      <c r="E108" s="9">
        <v>50.360553060000001</v>
      </c>
      <c r="F108" s="9">
        <v>-120.57558160000001</v>
      </c>
      <c r="G108" s="9">
        <v>117</v>
      </c>
      <c r="H108" s="8" t="s">
        <v>22</v>
      </c>
      <c r="I108" s="9">
        <v>28.799999999999997</v>
      </c>
      <c r="J108" s="9">
        <v>291.07727999999997</v>
      </c>
      <c r="K108" s="9">
        <v>92.450222284973009</v>
      </c>
      <c r="L108" s="9" t="s">
        <v>22</v>
      </c>
      <c r="M108" s="9">
        <v>2.3071069335900001</v>
      </c>
      <c r="N108" s="9">
        <v>18.539697265625001</v>
      </c>
      <c r="O108" s="9">
        <f>Table1[[#This Row],[R1 Length (km)]]+Table1[[#This Row],[T1 Length (km)]]</f>
        <v>20.846804199215001</v>
      </c>
      <c r="P108" s="8">
        <v>130</v>
      </c>
      <c r="Q108" s="9">
        <f>(Table1[[#This Row],[Linear Features (km)]]*0.4)*100</f>
        <v>833.87216796860014</v>
      </c>
      <c r="R108" s="1">
        <f>((PI()*(45^2))*Table1[[#This Row],[Number of Turbines - WIND]])/10000</f>
        <v>15.268140296446392</v>
      </c>
      <c r="S108" s="3">
        <f>Table1[[#This Row],[ATG (ha)]]/Table1[[#This Row],[Linear Area (ha)]]</f>
        <v>1.8309929126956209E-2</v>
      </c>
      <c r="T108" s="8" t="s">
        <v>115</v>
      </c>
      <c r="U108" s="8">
        <v>24</v>
      </c>
      <c r="V108" s="1" t="s">
        <v>22</v>
      </c>
      <c r="W108" s="1" t="s">
        <v>22</v>
      </c>
      <c r="X108" s="10">
        <f>235.9083+108.8936</f>
        <v>344.80189999999999</v>
      </c>
      <c r="Y108" s="10">
        <f>Table1[[#This Row],[Raw Terrestrial Score]]/Table1[[#This Row],[Summed Raw Scores]]</f>
        <v>0.46250206065799138</v>
      </c>
      <c r="Z108" s="10">
        <f>288.0369+112.6755</f>
        <v>400.7124</v>
      </c>
      <c r="AA108" s="10">
        <f>Table1[[#This Row],[Raw Freshwater Score]]/Table1[[#This Row],[Summed Raw Scores]]</f>
        <v>0.53749793934200851</v>
      </c>
      <c r="AB108" s="10">
        <f>Table1[[#This Row],[Raw Terrestrial Score]]+Table1[[#This Row],[Raw Freshwater Score]]</f>
        <v>745.51430000000005</v>
      </c>
      <c r="AC108" s="11">
        <f>Table1[[#This Row],[Terrestrial % of Summed Score]]*Table1[[#This Row],[Scaled Summed Score]]</f>
        <v>4.2367627084363951E-2</v>
      </c>
      <c r="AD108" s="11">
        <f>Table1[[#This Row],[Freshwater % of Summed Score]]*Table1[[#This Row],[Scaled Summed Score]]</f>
        <v>4.9237644952885934E-2</v>
      </c>
      <c r="AE108" s="39">
        <f>Table1[[#This Row],[Summed Raw Scores]]/MAX(Table1[Summed Raw Scores])</f>
        <v>9.1605272037249899E-2</v>
      </c>
      <c r="AF108" s="1"/>
    </row>
    <row r="109" spans="1:32" x14ac:dyDescent="0.3">
      <c r="A109" s="8" t="s">
        <v>192</v>
      </c>
      <c r="B109" s="8" t="s">
        <v>114</v>
      </c>
      <c r="C109" s="8" t="s">
        <v>25</v>
      </c>
      <c r="D109" s="8"/>
      <c r="E109" s="9">
        <v>50.337349539999998</v>
      </c>
      <c r="F109" s="9">
        <v>-120.2431879</v>
      </c>
      <c r="G109" s="9">
        <v>96</v>
      </c>
      <c r="H109" s="8" t="s">
        <v>22</v>
      </c>
      <c r="I109" s="9">
        <v>22.8</v>
      </c>
      <c r="J109" s="9">
        <v>233.51532</v>
      </c>
      <c r="K109" s="9">
        <v>95.607254920173048</v>
      </c>
      <c r="L109" s="9" t="s">
        <v>22</v>
      </c>
      <c r="M109" s="9">
        <v>0.66568542480500004</v>
      </c>
      <c r="N109" s="9">
        <v>22.027921875000001</v>
      </c>
      <c r="O109" s="9">
        <f>Table1[[#This Row],[R1 Length (km)]]+Table1[[#This Row],[T1 Length (km)]]</f>
        <v>22.693607299805002</v>
      </c>
      <c r="P109" s="8">
        <v>130</v>
      </c>
      <c r="Q109" s="9">
        <f>(Table1[[#This Row],[Linear Features (km)]]*0.4)*100</f>
        <v>907.74429199220015</v>
      </c>
      <c r="R109" s="1">
        <f>((PI()*(45^2))*Table1[[#This Row],[Number of Turbines - WIND]])/10000</f>
        <v>12.087277734686728</v>
      </c>
      <c r="S109" s="3">
        <f>Table1[[#This Row],[ATG (ha)]]/Table1[[#This Row],[Linear Area (ha)]]</f>
        <v>1.3315729816553436E-2</v>
      </c>
      <c r="T109" s="8" t="s">
        <v>115</v>
      </c>
      <c r="U109" s="8">
        <v>19</v>
      </c>
      <c r="V109" s="1" t="s">
        <v>22</v>
      </c>
      <c r="W109" s="1" t="s">
        <v>22</v>
      </c>
      <c r="X109" s="10">
        <f>347.1542+85.12455</f>
        <v>432.27875</v>
      </c>
      <c r="Y109" s="10">
        <f>Table1[[#This Row],[Raw Terrestrial Score]]/Table1[[#This Row],[Summed Raw Scores]]</f>
        <v>0.51068262828179634</v>
      </c>
      <c r="Z109" s="10">
        <f>325.6363+88.55735</f>
        <v>414.19364999999999</v>
      </c>
      <c r="AA109" s="10">
        <f>Table1[[#This Row],[Raw Freshwater Score]]/Table1[[#This Row],[Summed Raw Scores]]</f>
        <v>0.48931737171820366</v>
      </c>
      <c r="AB109" s="10">
        <f>Table1[[#This Row],[Raw Terrestrial Score]]+Table1[[#This Row],[Raw Freshwater Score]]</f>
        <v>846.47239999999999</v>
      </c>
      <c r="AC109" s="11">
        <f>Table1[[#This Row],[Terrestrial % of Summed Score]]*Table1[[#This Row],[Scaled Summed Score]]</f>
        <v>5.3116368780145917E-2</v>
      </c>
      <c r="AD109" s="11">
        <f>Table1[[#This Row],[Freshwater % of Summed Score]]*Table1[[#This Row],[Scaled Summed Score]]</f>
        <v>5.0894157207113891E-2</v>
      </c>
      <c r="AE109" s="39">
        <f>Table1[[#This Row],[Summed Raw Scores]]/MAX(Table1[Summed Raw Scores])</f>
        <v>0.10401052598725981</v>
      </c>
      <c r="AF109" s="1"/>
    </row>
    <row r="110" spans="1:32" x14ac:dyDescent="0.3">
      <c r="A110" s="8" t="s">
        <v>193</v>
      </c>
      <c r="B110" s="8" t="s">
        <v>114</v>
      </c>
      <c r="C110" s="8" t="s">
        <v>25</v>
      </c>
      <c r="D110" s="8" t="s">
        <v>250</v>
      </c>
      <c r="E110" s="9">
        <v>50.469392810000002</v>
      </c>
      <c r="F110" s="9">
        <v>-119.96195470000001</v>
      </c>
      <c r="G110" s="9">
        <v>117</v>
      </c>
      <c r="H110" s="8" t="s">
        <v>22</v>
      </c>
      <c r="I110" s="9">
        <v>27.599999999999998</v>
      </c>
      <c r="J110" s="9">
        <v>332.44200000000001</v>
      </c>
      <c r="K110" s="9">
        <v>80.465695323400553</v>
      </c>
      <c r="L110" s="9" t="s">
        <v>22</v>
      </c>
      <c r="M110" s="9">
        <v>0.3</v>
      </c>
      <c r="N110" s="9">
        <v>35</v>
      </c>
      <c r="O110" s="9">
        <f>Table1[[#This Row],[R1 Length (km)]]+Table1[[#This Row],[T1 Length (km)]]</f>
        <v>35.299999999999997</v>
      </c>
      <c r="P110" s="8">
        <v>130</v>
      </c>
      <c r="Q110" s="9">
        <f>(Table1[[#This Row],[Linear Features (km)]]*0.4)*100</f>
        <v>1412</v>
      </c>
      <c r="R110" s="1">
        <f>((PI()*(45^2))*Table1[[#This Row],[Number of Turbines - WIND]])/10000</f>
        <v>14.631967784094462</v>
      </c>
      <c r="S110" s="3">
        <f>Table1[[#This Row],[ATG (ha)]]/Table1[[#This Row],[Linear Area (ha)]]</f>
        <v>1.0362583416497494E-2</v>
      </c>
      <c r="T110" s="8" t="s">
        <v>115</v>
      </c>
      <c r="U110" s="8">
        <v>23</v>
      </c>
      <c r="V110" s="1" t="s">
        <v>22</v>
      </c>
      <c r="W110" s="1" t="s">
        <v>22</v>
      </c>
      <c r="X110" s="10">
        <f>508.8613+12.9929</f>
        <v>521.85419999999999</v>
      </c>
      <c r="Y110" s="10">
        <f>Table1[[#This Row],[Raw Terrestrial Score]]/Table1[[#This Row],[Summed Raw Scores]]</f>
        <v>0.43756181134458644</v>
      </c>
      <c r="Z110" s="10">
        <f>540.7121+130.0748</f>
        <v>670.78689999999995</v>
      </c>
      <c r="AA110" s="10">
        <f>Table1[[#This Row],[Raw Freshwater Score]]/Table1[[#This Row],[Summed Raw Scores]]</f>
        <v>0.56243818865541362</v>
      </c>
      <c r="AB110" s="10">
        <f>Table1[[#This Row],[Raw Terrestrial Score]]+Table1[[#This Row],[Raw Freshwater Score]]</f>
        <v>1192.6410999999998</v>
      </c>
      <c r="AC110" s="11">
        <f>Table1[[#This Row],[Terrestrial % of Summed Score]]*Table1[[#This Row],[Scaled Summed Score]]</f>
        <v>6.412297652074736E-2</v>
      </c>
      <c r="AD110" s="11">
        <f>Table1[[#This Row],[Freshwater % of Summed Score]]*Table1[[#This Row],[Scaled Summed Score]]</f>
        <v>8.2423122471994875E-2</v>
      </c>
      <c r="AE110" s="39">
        <f>Table1[[#This Row],[Summed Raw Scores]]/MAX(Table1[Summed Raw Scores])</f>
        <v>0.14654609899274224</v>
      </c>
      <c r="AF110" s="1"/>
    </row>
    <row r="111" spans="1:32" x14ac:dyDescent="0.3">
      <c r="A111" s="8" t="s">
        <v>194</v>
      </c>
      <c r="B111" s="8" t="s">
        <v>114</v>
      </c>
      <c r="C111" s="8" t="s">
        <v>87</v>
      </c>
      <c r="D111" s="8" t="s">
        <v>250</v>
      </c>
      <c r="E111" s="9">
        <v>50.614013720000003</v>
      </c>
      <c r="F111" s="9">
        <v>-119.4703877</v>
      </c>
      <c r="G111" s="9">
        <v>138</v>
      </c>
      <c r="H111" s="8" t="s">
        <v>22</v>
      </c>
      <c r="I111" s="9">
        <v>33.6</v>
      </c>
      <c r="J111" s="9">
        <v>366.44832000000002</v>
      </c>
      <c r="K111" s="9">
        <v>83.191183022405298</v>
      </c>
      <c r="L111" s="9" t="s">
        <v>22</v>
      </c>
      <c r="M111" s="9">
        <v>0.2</v>
      </c>
      <c r="N111" s="9">
        <v>18.899999999999999</v>
      </c>
      <c r="O111" s="9">
        <f>Table1[[#This Row],[R1 Length (km)]]+Table1[[#This Row],[T1 Length (km)]]</f>
        <v>19.099999999999998</v>
      </c>
      <c r="P111" s="8">
        <v>130</v>
      </c>
      <c r="Q111" s="9">
        <f>(Table1[[#This Row],[Linear Features (km)]]*0.4)*100</f>
        <v>764</v>
      </c>
      <c r="R111" s="1">
        <f>((PI()*(45^2))*Table1[[#This Row],[Number of Turbines - WIND]])/10000</f>
        <v>17.812830345854124</v>
      </c>
      <c r="S111" s="3">
        <f>Table1[[#This Row],[ATG (ha)]]/Table1[[#This Row],[Linear Area (ha)]]</f>
        <v>2.3315222965777649E-2</v>
      </c>
      <c r="T111" s="8" t="s">
        <v>115</v>
      </c>
      <c r="U111" s="8">
        <v>28</v>
      </c>
      <c r="V111" s="1" t="s">
        <v>22</v>
      </c>
      <c r="W111" s="1" t="s">
        <v>22</v>
      </c>
      <c r="X111" s="10">
        <f>80.27171+10.7826</f>
        <v>91.054310000000001</v>
      </c>
      <c r="Y111" s="10">
        <f>Table1[[#This Row],[Raw Terrestrial Score]]/Table1[[#This Row],[Summed Raw Scores]]</f>
        <v>0.13925594292296792</v>
      </c>
      <c r="Z111" s="10">
        <f>391+171.8087</f>
        <v>562.80870000000004</v>
      </c>
      <c r="AA111" s="10">
        <f>Table1[[#This Row],[Raw Freshwater Score]]/Table1[[#This Row],[Summed Raw Scores]]</f>
        <v>0.86074405707703217</v>
      </c>
      <c r="AB111" s="10">
        <f>Table1[[#This Row],[Raw Terrestrial Score]]+Table1[[#This Row],[Raw Freshwater Score]]</f>
        <v>653.86301000000003</v>
      </c>
      <c r="AC111" s="11">
        <f>Table1[[#This Row],[Terrestrial % of Summed Score]]*Table1[[#This Row],[Scaled Summed Score]]</f>
        <v>1.1188323064646894E-2</v>
      </c>
      <c r="AD111" s="11">
        <f>Table1[[#This Row],[Freshwater % of Summed Score]]*Table1[[#This Row],[Scaled Summed Score]]</f>
        <v>6.9155271828361939E-2</v>
      </c>
      <c r="AE111" s="39">
        <f>Table1[[#This Row],[Summed Raw Scores]]/MAX(Table1[Summed Raw Scores])</f>
        <v>8.0343594893008824E-2</v>
      </c>
      <c r="AF111" s="1"/>
    </row>
    <row r="112" spans="1:32" x14ac:dyDescent="0.3">
      <c r="A112" s="8" t="s">
        <v>195</v>
      </c>
      <c r="B112" s="8" t="s">
        <v>114</v>
      </c>
      <c r="C112" s="8" t="s">
        <v>87</v>
      </c>
      <c r="D112" s="8" t="s">
        <v>250</v>
      </c>
      <c r="E112" s="9">
        <v>50.342679080000003</v>
      </c>
      <c r="F112" s="9">
        <v>-119.65686049999999</v>
      </c>
      <c r="G112" s="9">
        <v>186</v>
      </c>
      <c r="H112" s="8" t="s">
        <v>22</v>
      </c>
      <c r="I112" s="9">
        <v>44.4</v>
      </c>
      <c r="J112" s="9">
        <v>583.90218000000004</v>
      </c>
      <c r="K112" s="9">
        <v>73.214955174331507</v>
      </c>
      <c r="L112" s="9" t="s">
        <v>22</v>
      </c>
      <c r="M112" s="9">
        <v>0.1</v>
      </c>
      <c r="N112" s="9">
        <v>51.7</v>
      </c>
      <c r="O112" s="9">
        <f>Table1[[#This Row],[R1 Length (km)]]+Table1[[#This Row],[T1 Length (km)]]</f>
        <v>51.800000000000004</v>
      </c>
      <c r="P112" s="8">
        <v>230</v>
      </c>
      <c r="Q112" s="9">
        <f>(Table1[[#This Row],[Linear Features (km)]]*0.4)*100</f>
        <v>2072.0000000000005</v>
      </c>
      <c r="R112" s="1">
        <f>((PI()*(45^2))*Table1[[#This Row],[Number of Turbines - WIND]])/10000</f>
        <v>23.538382957021522</v>
      </c>
      <c r="S112" s="3">
        <f>Table1[[#This Row],[ATG (ha)]]/Table1[[#This Row],[Linear Area (ha)]]</f>
        <v>1.1360223434855944E-2</v>
      </c>
      <c r="T112" s="8" t="s">
        <v>115</v>
      </c>
      <c r="U112" s="8">
        <v>37</v>
      </c>
      <c r="V112" s="1" t="s">
        <v>22</v>
      </c>
      <c r="W112" s="1" t="s">
        <v>22</v>
      </c>
      <c r="X112" s="10">
        <f>435.9838+13.60593</f>
        <v>449.58972999999997</v>
      </c>
      <c r="Y112" s="10">
        <f>Table1[[#This Row],[Raw Terrestrial Score]]/Table1[[#This Row],[Summed Raw Scores]]</f>
        <v>0.57963514718111864</v>
      </c>
      <c r="Z112" s="10">
        <f>219.5467+106.5062</f>
        <v>326.05290000000002</v>
      </c>
      <c r="AA112" s="10">
        <f>Table1[[#This Row],[Raw Freshwater Score]]/Table1[[#This Row],[Summed Raw Scores]]</f>
        <v>0.42036485281888131</v>
      </c>
      <c r="AB112" s="10">
        <f>Table1[[#This Row],[Raw Terrestrial Score]]+Table1[[#This Row],[Raw Freshwater Score]]</f>
        <v>775.64263000000005</v>
      </c>
      <c r="AC112" s="11">
        <f>Table1[[#This Row],[Terrestrial % of Summed Score]]*Table1[[#This Row],[Scaled Summed Score]]</f>
        <v>5.5243460147986069E-2</v>
      </c>
      <c r="AD112" s="11">
        <f>Table1[[#This Row],[Freshwater % of Summed Score]]*Table1[[#This Row],[Scaled Summed Score]]</f>
        <v>4.0063838618567396E-2</v>
      </c>
      <c r="AE112" s="39">
        <f>Table1[[#This Row],[Summed Raw Scores]]/MAX(Table1[Summed Raw Scores])</f>
        <v>9.5307298766553472E-2</v>
      </c>
      <c r="AF112" s="1"/>
    </row>
    <row r="113" spans="1:32" x14ac:dyDescent="0.3">
      <c r="A113" s="8" t="s">
        <v>196</v>
      </c>
      <c r="B113" s="8" t="s">
        <v>114</v>
      </c>
      <c r="C113" s="8" t="s">
        <v>87</v>
      </c>
      <c r="D113" s="8" t="s">
        <v>250</v>
      </c>
      <c r="E113" s="9">
        <v>50.018305660000003</v>
      </c>
      <c r="F113" s="9">
        <v>-118.79677030000001</v>
      </c>
      <c r="G113" s="9">
        <v>162</v>
      </c>
      <c r="H113" s="8" t="s">
        <v>22</v>
      </c>
      <c r="I113" s="9">
        <v>56.4</v>
      </c>
      <c r="J113" s="9">
        <v>618.81515999999988</v>
      </c>
      <c r="K113" s="9">
        <v>85.512634441569176</v>
      </c>
      <c r="L113" s="9" t="s">
        <v>22</v>
      </c>
      <c r="M113" s="9">
        <v>1</v>
      </c>
      <c r="N113" s="9">
        <v>66.8</v>
      </c>
      <c r="O113" s="9">
        <f>Table1[[#This Row],[R1 Length (km)]]+Table1[[#This Row],[T1 Length (km)]]</f>
        <v>67.8</v>
      </c>
      <c r="P113" s="8">
        <v>230</v>
      </c>
      <c r="Q113" s="9">
        <f>(Table1[[#This Row],[Linear Features (km)]]*0.4)*100</f>
        <v>2712</v>
      </c>
      <c r="R113" s="1">
        <f>((PI()*(45^2))*Table1[[#This Row],[Number of Turbines - WIND]])/10000</f>
        <v>29.900108080540853</v>
      </c>
      <c r="S113" s="3">
        <f>Table1[[#This Row],[ATG (ha)]]/Table1[[#This Row],[Linear Area (ha)]]</f>
        <v>1.1025113599019488E-2</v>
      </c>
      <c r="T113" s="8" t="s">
        <v>115</v>
      </c>
      <c r="U113" s="8">
        <v>47</v>
      </c>
      <c r="V113" s="1" t="s">
        <v>22</v>
      </c>
      <c r="W113" s="1" t="s">
        <v>22</v>
      </c>
      <c r="X113" s="10">
        <f>998.4667+349.1881</f>
        <v>1347.6548</v>
      </c>
      <c r="Y113" s="10">
        <f>Table1[[#This Row],[Raw Terrestrial Score]]/Table1[[#This Row],[Summed Raw Scores]]</f>
        <v>0.47383149084158166</v>
      </c>
      <c r="Z113" s="10">
        <f>1136.219+360.2909</f>
        <v>1496.5099</v>
      </c>
      <c r="AA113" s="10">
        <f>Table1[[#This Row],[Raw Freshwater Score]]/Table1[[#This Row],[Summed Raw Scores]]</f>
        <v>0.52616850915841828</v>
      </c>
      <c r="AB113" s="10">
        <f>Table1[[#This Row],[Raw Terrestrial Score]]+Table1[[#This Row],[Raw Freshwater Score]]</f>
        <v>2844.1647000000003</v>
      </c>
      <c r="AC113" s="11">
        <f>Table1[[#This Row],[Terrestrial % of Summed Score]]*Table1[[#This Row],[Scaled Summed Score]]</f>
        <v>0.165593449470125</v>
      </c>
      <c r="AD113" s="11">
        <f>Table1[[#This Row],[Freshwater % of Summed Score]]*Table1[[#This Row],[Scaled Summed Score]]</f>
        <v>0.1838840603003023</v>
      </c>
      <c r="AE113" s="39">
        <f>Table1[[#This Row],[Summed Raw Scores]]/MAX(Table1[Summed Raw Scores])</f>
        <v>0.3494775097704273</v>
      </c>
      <c r="AF113" s="1"/>
    </row>
    <row r="114" spans="1:32" x14ac:dyDescent="0.3">
      <c r="A114" s="8" t="s">
        <v>197</v>
      </c>
      <c r="B114" s="8" t="s">
        <v>114</v>
      </c>
      <c r="C114" s="8" t="s">
        <v>87</v>
      </c>
      <c r="D114" s="8" t="s">
        <v>250</v>
      </c>
      <c r="E114" s="9">
        <v>50.190878660000003</v>
      </c>
      <c r="F114" s="9">
        <v>-119.67523540000001</v>
      </c>
      <c r="G114" s="9">
        <v>81</v>
      </c>
      <c r="H114" s="8" t="s">
        <v>22</v>
      </c>
      <c r="I114" s="9">
        <v>20.399999999999999</v>
      </c>
      <c r="J114" s="9">
        <v>258.37619999999998</v>
      </c>
      <c r="K114" s="9">
        <v>85.143636170844871</v>
      </c>
      <c r="L114" s="9" t="s">
        <v>22</v>
      </c>
      <c r="M114" s="9">
        <v>0.1</v>
      </c>
      <c r="N114" s="9">
        <v>36.799999999999997</v>
      </c>
      <c r="O114" s="9">
        <f>Table1[[#This Row],[R1 Length (km)]]+Table1[[#This Row],[T1 Length (km)]]</f>
        <v>36.9</v>
      </c>
      <c r="P114" s="8">
        <v>130</v>
      </c>
      <c r="Q114" s="9">
        <f>(Table1[[#This Row],[Linear Features (km)]]*0.4)*100</f>
        <v>1476</v>
      </c>
      <c r="R114" s="1">
        <f>((PI()*(45^2))*Table1[[#This Row],[Number of Turbines - WIND]])/10000</f>
        <v>10.814932709982862</v>
      </c>
      <c r="S114" s="3">
        <f>Table1[[#This Row],[ATG (ha)]]/Table1[[#This Row],[Linear Area (ha)]]</f>
        <v>7.3271901829152185E-3</v>
      </c>
      <c r="T114" s="8" t="s">
        <v>115</v>
      </c>
      <c r="U114" s="8">
        <v>17</v>
      </c>
      <c r="V114" s="1" t="s">
        <v>22</v>
      </c>
      <c r="W114" s="1" t="s">
        <v>22</v>
      </c>
      <c r="X114" s="10">
        <f>543.637+11.25231</f>
        <v>554.88930999999991</v>
      </c>
      <c r="Y114" s="10">
        <f>Table1[[#This Row],[Raw Terrestrial Score]]/Table1[[#This Row],[Summed Raw Scores]]</f>
        <v>0.61144934678177554</v>
      </c>
      <c r="Z114" s="10">
        <f>245.0174+107.5917</f>
        <v>352.60910000000001</v>
      </c>
      <c r="AA114" s="10">
        <f>Table1[[#This Row],[Raw Freshwater Score]]/Table1[[#This Row],[Summed Raw Scores]]</f>
        <v>0.38855065321822441</v>
      </c>
      <c r="AB114" s="10">
        <f>Table1[[#This Row],[Raw Terrestrial Score]]+Table1[[#This Row],[Raw Freshwater Score]]</f>
        <v>907.49840999999992</v>
      </c>
      <c r="AC114" s="11">
        <f>Table1[[#This Row],[Terrestrial % of Summed Score]]*Table1[[#This Row],[Scaled Summed Score]]</f>
        <v>6.818217463181038E-2</v>
      </c>
      <c r="AD114" s="11">
        <f>Table1[[#This Row],[Freshwater % of Summed Score]]*Table1[[#This Row],[Scaled Summed Score]]</f>
        <v>4.3326938904203249E-2</v>
      </c>
      <c r="AE114" s="39">
        <f>Table1[[#This Row],[Summed Raw Scores]]/MAX(Table1[Summed Raw Scores])</f>
        <v>0.11150911353601364</v>
      </c>
      <c r="AF114" s="1"/>
    </row>
    <row r="115" spans="1:32" x14ac:dyDescent="0.3">
      <c r="A115" s="8" t="s">
        <v>198</v>
      </c>
      <c r="B115" s="8" t="s">
        <v>114</v>
      </c>
      <c r="C115" s="8" t="s">
        <v>25</v>
      </c>
      <c r="D115" s="8" t="s">
        <v>250</v>
      </c>
      <c r="E115" s="9">
        <v>50.09076254</v>
      </c>
      <c r="F115" s="9">
        <v>-119.7530118</v>
      </c>
      <c r="G115" s="9">
        <v>303</v>
      </c>
      <c r="H115" s="8" t="s">
        <v>22</v>
      </c>
      <c r="I115" s="9">
        <v>73.2</v>
      </c>
      <c r="J115" s="9">
        <v>902.53403999999989</v>
      </c>
      <c r="K115" s="9">
        <v>75.242059453167954</v>
      </c>
      <c r="L115" s="9" t="s">
        <v>22</v>
      </c>
      <c r="M115" s="9">
        <v>0</v>
      </c>
      <c r="N115" s="9">
        <v>79.900000000000006</v>
      </c>
      <c r="O115" s="9">
        <f>Table1[[#This Row],[R1 Length (km)]]+Table1[[#This Row],[T1 Length (km)]]</f>
        <v>79.900000000000006</v>
      </c>
      <c r="P115" s="8">
        <v>230</v>
      </c>
      <c r="Q115" s="9">
        <f>(Table1[[#This Row],[Linear Features (km)]]*0.4)*100</f>
        <v>3196.0000000000005</v>
      </c>
      <c r="R115" s="1">
        <f>((PI()*(45^2))*Table1[[#This Row],[Number of Turbines - WIND]])/10000</f>
        <v>38.806523253467915</v>
      </c>
      <c r="S115" s="3">
        <f>Table1[[#This Row],[ATG (ha)]]/Table1[[#This Row],[Linear Area (ha)]]</f>
        <v>1.2142216287067556E-2</v>
      </c>
      <c r="T115" s="8" t="s">
        <v>115</v>
      </c>
      <c r="U115" s="8">
        <v>61</v>
      </c>
      <c r="V115" s="1" t="s">
        <v>22</v>
      </c>
      <c r="W115" s="1" t="s">
        <v>22</v>
      </c>
      <c r="X115" s="10">
        <f>824.1015+92.51847</f>
        <v>916.61996999999997</v>
      </c>
      <c r="Y115" s="10">
        <f>Table1[[#This Row],[Raw Terrestrial Score]]/Table1[[#This Row],[Summed Raw Scores]]</f>
        <v>0.42801668268643511</v>
      </c>
      <c r="Z115" s="10">
        <f>957.0462+267.8858</f>
        <v>1224.932</v>
      </c>
      <c r="AA115" s="10">
        <f>Table1[[#This Row],[Raw Freshwater Score]]/Table1[[#This Row],[Summed Raw Scores]]</f>
        <v>0.57198331731356489</v>
      </c>
      <c r="AB115" s="10">
        <f>Table1[[#This Row],[Raw Terrestrial Score]]+Table1[[#This Row],[Raw Freshwater Score]]</f>
        <v>2141.55197</v>
      </c>
      <c r="AC115" s="11">
        <f>Table1[[#This Row],[Terrestrial % of Summed Score]]*Table1[[#This Row],[Scaled Summed Score]]</f>
        <v>0.11262992769773275</v>
      </c>
      <c r="AD115" s="11">
        <f>Table1[[#This Row],[Freshwater % of Summed Score]]*Table1[[#This Row],[Scaled Summed Score]]</f>
        <v>0.15051385209798471</v>
      </c>
      <c r="AE115" s="39">
        <f>Table1[[#This Row],[Summed Raw Scores]]/MAX(Table1[Summed Raw Scores])</f>
        <v>0.26314377979571746</v>
      </c>
      <c r="AF115" s="1"/>
    </row>
    <row r="116" spans="1:32" x14ac:dyDescent="0.3">
      <c r="A116" s="8" t="s">
        <v>199</v>
      </c>
      <c r="B116" s="8" t="s">
        <v>114</v>
      </c>
      <c r="C116" s="8" t="s">
        <v>25</v>
      </c>
      <c r="D116" s="8" t="s">
        <v>250</v>
      </c>
      <c r="E116" s="9">
        <v>51.20302839</v>
      </c>
      <c r="F116" s="9">
        <v>-122.80802730000001</v>
      </c>
      <c r="G116" s="9">
        <v>117</v>
      </c>
      <c r="H116" s="8" t="s">
        <v>22</v>
      </c>
      <c r="I116" s="9">
        <v>27.599999999999998</v>
      </c>
      <c r="J116" s="9">
        <v>349.46706</v>
      </c>
      <c r="K116" s="9">
        <v>91.343677990623945</v>
      </c>
      <c r="L116" s="9" t="s">
        <v>22</v>
      </c>
      <c r="M116" s="9">
        <v>2.7</v>
      </c>
      <c r="N116" s="9">
        <v>69.8</v>
      </c>
      <c r="O116" s="9">
        <f>Table1[[#This Row],[R1 Length (km)]]+Table1[[#This Row],[T1 Length (km)]]</f>
        <v>72.5</v>
      </c>
      <c r="P116" s="8">
        <v>230</v>
      </c>
      <c r="Q116" s="9">
        <f>(Table1[[#This Row],[Linear Features (km)]]*0.4)*100</f>
        <v>2900</v>
      </c>
      <c r="R116" s="1">
        <v>14.63</v>
      </c>
      <c r="S116" s="3">
        <f>Table1[[#This Row],[ATG (ha)]]/Table1[[#This Row],[Linear Area (ha)]]</f>
        <v>5.0448275862068973E-3</v>
      </c>
      <c r="T116" s="8" t="s">
        <v>136</v>
      </c>
      <c r="U116" s="2" t="s">
        <v>22</v>
      </c>
      <c r="V116" s="1" t="s">
        <v>22</v>
      </c>
      <c r="W116" s="1" t="s">
        <v>22</v>
      </c>
      <c r="X116" s="10">
        <v>784.87789999999995</v>
      </c>
      <c r="Y116" s="10">
        <f>Table1[[#This Row],[Raw Terrestrial Score]]/Table1[[#This Row],[Summed Raw Scores]]</f>
        <v>0.3754157419519748</v>
      </c>
      <c r="Z116" s="10">
        <v>1305.8119999999999</v>
      </c>
      <c r="AA116" s="10">
        <f>Table1[[#This Row],[Raw Freshwater Score]]/Table1[[#This Row],[Summed Raw Scores]]</f>
        <v>0.6245842580480252</v>
      </c>
      <c r="AB116" s="10">
        <f>Table1[[#This Row],[Raw Terrestrial Score]]+Table1[[#This Row],[Raw Freshwater Score]]</f>
        <v>2090.6898999999999</v>
      </c>
      <c r="AC116" s="11">
        <f>Table1[[#This Row],[Terrestrial % of Summed Score]]*Table1[[#This Row],[Scaled Summed Score]]</f>
        <v>9.6442085075397491E-2</v>
      </c>
      <c r="AD116" s="11">
        <f>Table1[[#This Row],[Freshwater % of Summed Score]]*Table1[[#This Row],[Scaled Summed Score]]</f>
        <v>0.16045200405881596</v>
      </c>
      <c r="AE116" s="39">
        <f>Table1[[#This Row],[Summed Raw Scores]]/MAX(Table1[Summed Raw Scores])</f>
        <v>0.25689408913421347</v>
      </c>
      <c r="AF116" s="1"/>
    </row>
    <row r="117" spans="1:32" x14ac:dyDescent="0.3">
      <c r="A117" s="8" t="s">
        <v>200</v>
      </c>
      <c r="B117" s="8" t="s">
        <v>114</v>
      </c>
      <c r="C117" s="8" t="s">
        <v>25</v>
      </c>
      <c r="D117" s="8" t="s">
        <v>250</v>
      </c>
      <c r="E117" s="9">
        <v>51.175719659999999</v>
      </c>
      <c r="F117" s="9">
        <v>-122.474124</v>
      </c>
      <c r="G117" s="9">
        <v>54</v>
      </c>
      <c r="H117" s="8" t="s">
        <v>22</v>
      </c>
      <c r="I117" s="9">
        <v>13.2</v>
      </c>
      <c r="J117" s="9">
        <v>160.05395999999999</v>
      </c>
      <c r="K117" s="9">
        <v>89.798275246286522</v>
      </c>
      <c r="L117" s="9" t="s">
        <v>22</v>
      </c>
      <c r="M117" s="9">
        <v>2.6</v>
      </c>
      <c r="N117" s="9">
        <v>38.5</v>
      </c>
      <c r="O117" s="9">
        <f>Table1[[#This Row],[R1 Length (km)]]+Table1[[#This Row],[T1 Length (km)]]</f>
        <v>41.1</v>
      </c>
      <c r="P117" s="8">
        <v>69</v>
      </c>
      <c r="Q117" s="9">
        <f>(Table1[[#This Row],[Linear Features (km)]]*0.4)*100</f>
        <v>1644.0000000000002</v>
      </c>
      <c r="R117" s="1">
        <v>7</v>
      </c>
      <c r="S117" s="3">
        <f>Table1[[#This Row],[ATG (ha)]]/Table1[[#This Row],[Linear Area (ha)]]</f>
        <v>4.2579075425790746E-3</v>
      </c>
      <c r="T117" s="8" t="s">
        <v>136</v>
      </c>
      <c r="U117" s="2" t="s">
        <v>22</v>
      </c>
      <c r="V117" s="1" t="s">
        <v>22</v>
      </c>
      <c r="W117" s="1" t="s">
        <v>22</v>
      </c>
      <c r="X117" s="10">
        <v>240.34549999999999</v>
      </c>
      <c r="Y117" s="10">
        <f>Table1[[#This Row],[Raw Terrestrial Score]]/Table1[[#This Row],[Summed Raw Scores]]</f>
        <v>0.31692584482065433</v>
      </c>
      <c r="Z117" s="10">
        <v>518.01959999999997</v>
      </c>
      <c r="AA117" s="10">
        <f>Table1[[#This Row],[Raw Freshwater Score]]/Table1[[#This Row],[Summed Raw Scores]]</f>
        <v>0.68307415517934567</v>
      </c>
      <c r="AB117" s="10">
        <f>Table1[[#This Row],[Raw Terrestrial Score]]+Table1[[#This Row],[Raw Freshwater Score]]</f>
        <v>758.36509999999998</v>
      </c>
      <c r="AC117" s="11">
        <f>Table1[[#This Row],[Terrestrial % of Summed Score]]*Table1[[#This Row],[Scaled Summed Score]]</f>
        <v>2.9532518571982917E-2</v>
      </c>
      <c r="AD117" s="11">
        <f>Table1[[#This Row],[Freshwater % of Summed Score]]*Table1[[#This Row],[Scaled Summed Score]]</f>
        <v>6.3651799004562859E-2</v>
      </c>
      <c r="AE117" s="39">
        <f>Table1[[#This Row],[Summed Raw Scores]]/MAX(Table1[Summed Raw Scores])</f>
        <v>9.3184317576545772E-2</v>
      </c>
      <c r="AF117" s="1"/>
    </row>
    <row r="118" spans="1:32" x14ac:dyDescent="0.3">
      <c r="A118" s="8" t="s">
        <v>201</v>
      </c>
      <c r="B118" s="8" t="s">
        <v>114</v>
      </c>
      <c r="C118" s="8" t="s">
        <v>25</v>
      </c>
      <c r="D118" s="8" t="s">
        <v>250</v>
      </c>
      <c r="E118" s="9">
        <v>51.025660500000001</v>
      </c>
      <c r="F118" s="9">
        <v>-122.15500520000001</v>
      </c>
      <c r="G118" s="9">
        <v>39</v>
      </c>
      <c r="H118" s="8" t="s">
        <v>22</v>
      </c>
      <c r="I118" s="9">
        <v>9.6</v>
      </c>
      <c r="J118" s="9">
        <v>124.21679999999999</v>
      </c>
      <c r="K118" s="9">
        <v>88.564118456528348</v>
      </c>
      <c r="L118" s="9" t="s">
        <v>22</v>
      </c>
      <c r="M118" s="9">
        <v>1.1000000000000001</v>
      </c>
      <c r="N118" s="9">
        <v>30</v>
      </c>
      <c r="O118" s="9">
        <f>Table1[[#This Row],[R1 Length (km)]]+Table1[[#This Row],[T1 Length (km)]]</f>
        <v>31.1</v>
      </c>
      <c r="P118" s="8">
        <v>69</v>
      </c>
      <c r="Q118" s="9">
        <f>(Table1[[#This Row],[Linear Features (km)]]*0.4)*100</f>
        <v>1244.0000000000002</v>
      </c>
      <c r="R118" s="1">
        <v>5.09</v>
      </c>
      <c r="S118" s="3">
        <f>Table1[[#This Row],[ATG (ha)]]/Table1[[#This Row],[Linear Area (ha)]]</f>
        <v>4.0916398713826355E-3</v>
      </c>
      <c r="T118" s="8" t="s">
        <v>136</v>
      </c>
      <c r="U118" s="2" t="s">
        <v>22</v>
      </c>
      <c r="V118" s="1" t="s">
        <v>22</v>
      </c>
      <c r="W118" s="1" t="s">
        <v>22</v>
      </c>
      <c r="X118" s="10">
        <v>334.53489999999999</v>
      </c>
      <c r="Y118" s="10">
        <f>Table1[[#This Row],[Raw Terrestrial Score]]/Table1[[#This Row],[Summed Raw Scores]]</f>
        <v>0.44331670726776701</v>
      </c>
      <c r="Z118" s="10">
        <v>420.08339999999998</v>
      </c>
      <c r="AA118" s="10">
        <f>Table1[[#This Row],[Raw Freshwater Score]]/Table1[[#This Row],[Summed Raw Scores]]</f>
        <v>0.55668329273223294</v>
      </c>
      <c r="AB118" s="10">
        <f>Table1[[#This Row],[Raw Terrestrial Score]]+Table1[[#This Row],[Raw Freshwater Score]]</f>
        <v>754.61829999999998</v>
      </c>
      <c r="AC118" s="11">
        <f>Table1[[#This Row],[Terrestrial % of Summed Score]]*Table1[[#This Row],[Scaled Summed Score]]</f>
        <v>4.1106066671630824E-2</v>
      </c>
      <c r="AD118" s="11">
        <f>Table1[[#This Row],[Freshwater % of Summed Score]]*Table1[[#This Row],[Scaled Summed Score]]</f>
        <v>5.1617861837570195E-2</v>
      </c>
      <c r="AE118" s="39">
        <f>Table1[[#This Row],[Summed Raw Scores]]/MAX(Table1[Summed Raw Scores])</f>
        <v>9.2723928509201026E-2</v>
      </c>
      <c r="AF118" s="1"/>
    </row>
    <row r="119" spans="1:32" x14ac:dyDescent="0.3">
      <c r="A119" s="8" t="s">
        <v>202</v>
      </c>
      <c r="B119" s="8" t="s">
        <v>114</v>
      </c>
      <c r="C119" s="8" t="s">
        <v>25</v>
      </c>
      <c r="D119" s="8" t="s">
        <v>250</v>
      </c>
      <c r="E119" s="9">
        <v>50.762156240000003</v>
      </c>
      <c r="F119" s="9">
        <v>-121.717804</v>
      </c>
      <c r="G119" s="9">
        <v>48</v>
      </c>
      <c r="H119" s="8" t="s">
        <v>22</v>
      </c>
      <c r="I119" s="9">
        <v>12</v>
      </c>
      <c r="J119" s="9">
        <v>141.036</v>
      </c>
      <c r="K119" s="9">
        <v>88.914457851157948</v>
      </c>
      <c r="L119" s="9" t="s">
        <v>22</v>
      </c>
      <c r="M119" s="9">
        <v>0.74142138671900004</v>
      </c>
      <c r="N119" s="9">
        <v>15.603658203125001</v>
      </c>
      <c r="O119" s="9">
        <f>Table1[[#This Row],[R1 Length (km)]]+Table1[[#This Row],[T1 Length (km)]]</f>
        <v>16.345079589844001</v>
      </c>
      <c r="P119" s="8">
        <v>69</v>
      </c>
      <c r="Q119" s="9">
        <f>(Table1[[#This Row],[Linear Features (km)]]*0.4)*100</f>
        <v>653.80318359376008</v>
      </c>
      <c r="R119" s="1">
        <f>((PI()*(45^2))*Table1[[#This Row],[Number of Turbines - WIND]])/10000</f>
        <v>6.3617251235193315</v>
      </c>
      <c r="S119" s="3">
        <f>Table1[[#This Row],[ATG (ha)]]/Table1[[#This Row],[Linear Area (ha)]]</f>
        <v>9.7303367177731317E-3</v>
      </c>
      <c r="T119" s="8" t="s">
        <v>115</v>
      </c>
      <c r="U119" s="8">
        <v>10</v>
      </c>
      <c r="V119" s="1" t="s">
        <v>22</v>
      </c>
      <c r="W119" s="1" t="s">
        <v>22</v>
      </c>
      <c r="X119" s="10">
        <f>50.27534+4.198735</f>
        <v>54.474074999999999</v>
      </c>
      <c r="Y119" s="10">
        <f>Table1[[#This Row],[Raw Terrestrial Score]]/Table1[[#This Row],[Summed Raw Scores]]</f>
        <v>0.23680807206895149</v>
      </c>
      <c r="Z119" s="10">
        <f>127.5127+48.04793</f>
        <v>175.56063</v>
      </c>
      <c r="AA119" s="10">
        <f>Table1[[#This Row],[Raw Freshwater Score]]/Table1[[#This Row],[Summed Raw Scores]]</f>
        <v>0.76319192793104851</v>
      </c>
      <c r="AB119" s="10">
        <f>Table1[[#This Row],[Raw Terrestrial Score]]+Table1[[#This Row],[Raw Freshwater Score]]</f>
        <v>230.034705</v>
      </c>
      <c r="AC119" s="11">
        <f>Table1[[#This Row],[Terrestrial % of Summed Score]]*Table1[[#This Row],[Scaled Summed Score]]</f>
        <v>6.6935167566236535E-3</v>
      </c>
      <c r="AD119" s="11">
        <f>Table1[[#This Row],[Freshwater % of Summed Score]]*Table1[[#This Row],[Scaled Summed Score]]</f>
        <v>2.1572060080109767E-2</v>
      </c>
      <c r="AE119" s="39">
        <f>Table1[[#This Row],[Summed Raw Scores]]/MAX(Table1[Summed Raw Scores])</f>
        <v>2.8265576836733419E-2</v>
      </c>
      <c r="AF119" s="1"/>
    </row>
    <row r="120" spans="1:32" x14ac:dyDescent="0.3">
      <c r="A120" s="8" t="s">
        <v>203</v>
      </c>
      <c r="B120" s="8" t="s">
        <v>114</v>
      </c>
      <c r="C120" s="8" t="s">
        <v>25</v>
      </c>
      <c r="D120" s="8" t="s">
        <v>250</v>
      </c>
      <c r="E120" s="9">
        <v>50.152938370000001</v>
      </c>
      <c r="F120" s="9">
        <v>-121.27388120000001</v>
      </c>
      <c r="G120" s="9">
        <v>192</v>
      </c>
      <c r="H120" s="8" t="s">
        <v>22</v>
      </c>
      <c r="I120" s="9">
        <v>46.8</v>
      </c>
      <c r="J120" s="9">
        <v>671.15178000000003</v>
      </c>
      <c r="K120" s="9">
        <v>77.926025114283874</v>
      </c>
      <c r="L120" s="9" t="s">
        <v>22</v>
      </c>
      <c r="M120" s="9">
        <v>2.7</v>
      </c>
      <c r="N120" s="9">
        <v>80.900000000000006</v>
      </c>
      <c r="O120" s="9">
        <f>Table1[[#This Row],[R1 Length (km)]]+Table1[[#This Row],[T1 Length (km)]]</f>
        <v>83.600000000000009</v>
      </c>
      <c r="P120" s="8">
        <v>230</v>
      </c>
      <c r="Q120" s="9">
        <f>(Table1[[#This Row],[Linear Features (km)]]*0.4)*100</f>
        <v>3344.0000000000005</v>
      </c>
      <c r="R120" s="1">
        <v>24.81</v>
      </c>
      <c r="S120" s="3">
        <f>Table1[[#This Row],[ATG (ha)]]/Table1[[#This Row],[Linear Area (ha)]]</f>
        <v>7.4192583732057404E-3</v>
      </c>
      <c r="T120" s="8" t="s">
        <v>136</v>
      </c>
      <c r="U120" s="2" t="s">
        <v>22</v>
      </c>
      <c r="V120" s="1" t="s">
        <v>22</v>
      </c>
      <c r="W120" s="1" t="s">
        <v>22</v>
      </c>
      <c r="X120" s="10">
        <v>297.60599999999999</v>
      </c>
      <c r="Y120" s="10">
        <f>Table1[[#This Row],[Raw Terrestrial Score]]/Table1[[#This Row],[Summed Raw Scores]]</f>
        <v>0.23905294530424656</v>
      </c>
      <c r="Z120" s="10">
        <v>947.33159999999998</v>
      </c>
      <c r="AA120" s="10">
        <f>Table1[[#This Row],[Raw Freshwater Score]]/Table1[[#This Row],[Summed Raw Scores]]</f>
        <v>0.76094705469575341</v>
      </c>
      <c r="AB120" s="10">
        <f>Table1[[#This Row],[Raw Terrestrial Score]]+Table1[[#This Row],[Raw Freshwater Score]]</f>
        <v>1244.9376</v>
      </c>
      <c r="AC120" s="11">
        <f>Table1[[#This Row],[Terrestrial % of Summed Score]]*Table1[[#This Row],[Scaled Summed Score]]</f>
        <v>3.6568418057061805E-2</v>
      </c>
      <c r="AD120" s="11">
        <f>Table1[[#This Row],[Freshwater % of Summed Score]]*Table1[[#This Row],[Scaled Summed Score]]</f>
        <v>0.11640362757291604</v>
      </c>
      <c r="AE120" s="39">
        <f>Table1[[#This Row],[Summed Raw Scores]]/MAX(Table1[Summed Raw Scores])</f>
        <v>0.15297204562997785</v>
      </c>
      <c r="AF120" s="1"/>
    </row>
    <row r="121" spans="1:32" x14ac:dyDescent="0.3">
      <c r="A121" s="8" t="s">
        <v>204</v>
      </c>
      <c r="B121" s="8" t="s">
        <v>114</v>
      </c>
      <c r="C121" s="8" t="s">
        <v>32</v>
      </c>
      <c r="D121" s="8"/>
      <c r="E121" s="9">
        <v>49.827369490000002</v>
      </c>
      <c r="F121" s="9">
        <v>-121.24361380000001</v>
      </c>
      <c r="G121" s="9">
        <v>87</v>
      </c>
      <c r="H121" s="8" t="s">
        <v>22</v>
      </c>
      <c r="I121" s="9">
        <v>21.599999999999998</v>
      </c>
      <c r="J121" s="9">
        <v>271.44612000000001</v>
      </c>
      <c r="K121" s="9">
        <v>100.79640958290931</v>
      </c>
      <c r="L121" s="9" t="s">
        <v>22</v>
      </c>
      <c r="M121" s="9">
        <v>1.02426416016</v>
      </c>
      <c r="N121" s="9">
        <v>76.394023437499996</v>
      </c>
      <c r="O121" s="9">
        <f>Table1[[#This Row],[R1 Length (km)]]+Table1[[#This Row],[T1 Length (km)]]</f>
        <v>77.418287597659997</v>
      </c>
      <c r="P121" s="8">
        <v>130</v>
      </c>
      <c r="Q121" s="9">
        <f>(Table1[[#This Row],[Linear Features (km)]]*0.4)*100</f>
        <v>3096.7315039064001</v>
      </c>
      <c r="R121" s="1">
        <f>1273528/10000</f>
        <v>127.3528</v>
      </c>
      <c r="S121" s="3">
        <f>Table1[[#This Row],[ATG (ha)]]/Table1[[#This Row],[Linear Area (ha)]]</f>
        <v>4.1124908581628615E-2</v>
      </c>
      <c r="T121" s="8" t="s">
        <v>136</v>
      </c>
      <c r="U121" s="2" t="s">
        <v>22</v>
      </c>
      <c r="V121" s="1" t="s">
        <v>22</v>
      </c>
      <c r="W121" s="1" t="s">
        <v>22</v>
      </c>
      <c r="X121" s="10">
        <v>517.04560000000004</v>
      </c>
      <c r="Y121" s="10">
        <f>Table1[[#This Row],[Raw Terrestrial Score]]/Table1[[#This Row],[Summed Raw Scores]]</f>
        <v>0.39286119432187089</v>
      </c>
      <c r="Z121" s="10">
        <v>799.05690000000004</v>
      </c>
      <c r="AA121" s="10">
        <f>Table1[[#This Row],[Raw Freshwater Score]]/Table1[[#This Row],[Summed Raw Scores]]</f>
        <v>0.60713880567812917</v>
      </c>
      <c r="AB121" s="10">
        <f>Table1[[#This Row],[Raw Terrestrial Score]]+Table1[[#This Row],[Raw Freshwater Score]]</f>
        <v>1316.1025</v>
      </c>
      <c r="AC121" s="11">
        <f>Table1[[#This Row],[Terrestrial % of Summed Score]]*Table1[[#This Row],[Scaled Summed Score]]</f>
        <v>6.3532118490098849E-2</v>
      </c>
      <c r="AD121" s="11">
        <f>Table1[[#This Row],[Freshwater % of Summed Score]]*Table1[[#This Row],[Scaled Summed Score]]</f>
        <v>9.8184333550331071E-2</v>
      </c>
      <c r="AE121" s="39">
        <f>Table1[[#This Row],[Summed Raw Scores]]/MAX(Table1[Summed Raw Scores])</f>
        <v>0.16171645204042992</v>
      </c>
      <c r="AF121" s="1"/>
    </row>
    <row r="122" spans="1:32" x14ac:dyDescent="0.3">
      <c r="A122" s="8" t="s">
        <v>205</v>
      </c>
      <c r="B122" s="8" t="s">
        <v>114</v>
      </c>
      <c r="C122" s="8" t="s">
        <v>25</v>
      </c>
      <c r="D122" s="8" t="s">
        <v>250</v>
      </c>
      <c r="E122" s="9">
        <v>49.717218209999999</v>
      </c>
      <c r="F122" s="9">
        <v>-120.94528649999999</v>
      </c>
      <c r="G122" s="9">
        <v>87</v>
      </c>
      <c r="H122" s="8" t="s">
        <v>22</v>
      </c>
      <c r="I122" s="9">
        <v>21.599999999999998</v>
      </c>
      <c r="J122" s="9">
        <v>282.40487999999999</v>
      </c>
      <c r="K122" s="9">
        <v>95.046143232935094</v>
      </c>
      <c r="L122" s="9" t="s">
        <v>22</v>
      </c>
      <c r="M122" s="9">
        <v>0.88284277343799999</v>
      </c>
      <c r="N122" s="9">
        <v>69.087421875000004</v>
      </c>
      <c r="O122" s="9">
        <f>Table1[[#This Row],[R1 Length (km)]]+Table1[[#This Row],[T1 Length (km)]]</f>
        <v>69.970264648438004</v>
      </c>
      <c r="P122" s="8">
        <v>130</v>
      </c>
      <c r="Q122" s="9">
        <f>(Table1[[#This Row],[Linear Features (km)]]*0.4)*100</f>
        <v>2798.8105859375205</v>
      </c>
      <c r="R122" s="1">
        <v>11.45</v>
      </c>
      <c r="S122" s="3">
        <f>Table1[[#This Row],[ATG (ha)]]/Table1[[#This Row],[Linear Area (ha)]]</f>
        <v>4.0910235431900728E-3</v>
      </c>
      <c r="T122" s="8" t="s">
        <v>136</v>
      </c>
      <c r="U122" s="2" t="s">
        <v>22</v>
      </c>
      <c r="V122" s="1" t="s">
        <v>22</v>
      </c>
      <c r="W122" s="1" t="s">
        <v>22</v>
      </c>
      <c r="X122" s="10">
        <v>392.5967</v>
      </c>
      <c r="Y122" s="10">
        <f>Table1[[#This Row],[Raw Terrestrial Score]]/Table1[[#This Row],[Summed Raw Scores]]</f>
        <v>0.30827152212267223</v>
      </c>
      <c r="Z122" s="10">
        <v>880.9452</v>
      </c>
      <c r="AA122" s="10">
        <f>Table1[[#This Row],[Raw Freshwater Score]]/Table1[[#This Row],[Summed Raw Scores]]</f>
        <v>0.69172847787732783</v>
      </c>
      <c r="AB122" s="10">
        <f>Table1[[#This Row],[Raw Terrestrial Score]]+Table1[[#This Row],[Raw Freshwater Score]]</f>
        <v>1273.5418999999999</v>
      </c>
      <c r="AC122" s="11">
        <f>Table1[[#This Row],[Terrestrial % of Summed Score]]*Table1[[#This Row],[Scaled Summed Score]]</f>
        <v>4.8240426111781608E-2</v>
      </c>
      <c r="AD122" s="11">
        <f>Table1[[#This Row],[Freshwater % of Summed Score]]*Table1[[#This Row],[Scaled Summed Score]]</f>
        <v>0.10824638064743965</v>
      </c>
      <c r="AE122" s="39">
        <f>Table1[[#This Row],[Summed Raw Scores]]/MAX(Table1[Summed Raw Scores])</f>
        <v>0.15648680675922125</v>
      </c>
      <c r="AF122" s="1"/>
    </row>
    <row r="123" spans="1:32" x14ac:dyDescent="0.3">
      <c r="A123" s="8" t="s">
        <v>206</v>
      </c>
      <c r="B123" s="8" t="s">
        <v>114</v>
      </c>
      <c r="C123" s="8" t="s">
        <v>25</v>
      </c>
      <c r="D123" s="8" t="s">
        <v>250</v>
      </c>
      <c r="E123" s="9">
        <v>49.421347300000001</v>
      </c>
      <c r="F123" s="9">
        <v>-120.8643541</v>
      </c>
      <c r="G123" s="9">
        <v>117</v>
      </c>
      <c r="H123" s="8" t="s">
        <v>22</v>
      </c>
      <c r="I123" s="9">
        <v>27.599999999999998</v>
      </c>
      <c r="J123" s="9">
        <v>333.34866000000005</v>
      </c>
      <c r="K123" s="9">
        <v>90.442200022550978</v>
      </c>
      <c r="L123" s="9" t="s">
        <v>22</v>
      </c>
      <c r="M123" s="9">
        <v>1.3899495849600001</v>
      </c>
      <c r="N123" s="9">
        <v>98.132296874999994</v>
      </c>
      <c r="O123" s="9">
        <f>Table1[[#This Row],[R1 Length (km)]]+Table1[[#This Row],[T1 Length (km)]]</f>
        <v>99.522246459960002</v>
      </c>
      <c r="P123" s="8">
        <v>130</v>
      </c>
      <c r="Q123" s="9">
        <f>(Table1[[#This Row],[Linear Features (km)]]*0.4)*100</f>
        <v>3980.8898583984005</v>
      </c>
      <c r="R123" s="1">
        <v>14.63</v>
      </c>
      <c r="S123" s="3">
        <f>Table1[[#This Row],[ATG (ha)]]/Table1[[#This Row],[Linear Area (ha)]]</f>
        <v>3.67505771834792E-3</v>
      </c>
      <c r="T123" s="8" t="s">
        <v>136</v>
      </c>
      <c r="U123" s="2" t="s">
        <v>22</v>
      </c>
      <c r="V123" s="1" t="s">
        <v>22</v>
      </c>
      <c r="W123" s="1" t="s">
        <v>22</v>
      </c>
      <c r="X123" s="10">
        <v>426.97199999999998</v>
      </c>
      <c r="Y123" s="10">
        <f>Table1[[#This Row],[Raw Terrestrial Score]]/Table1[[#This Row],[Summed Raw Scores]]</f>
        <v>0.35685272365853021</v>
      </c>
      <c r="Z123" s="10">
        <v>769.52160000000003</v>
      </c>
      <c r="AA123" s="10">
        <f>Table1[[#This Row],[Raw Freshwater Score]]/Table1[[#This Row],[Summed Raw Scores]]</f>
        <v>0.64314727634146984</v>
      </c>
      <c r="AB123" s="10">
        <f>Table1[[#This Row],[Raw Terrestrial Score]]+Table1[[#This Row],[Raw Freshwater Score]]</f>
        <v>1196.4936</v>
      </c>
      <c r="AC123" s="11">
        <f>Table1[[#This Row],[Terrestrial % of Summed Score]]*Table1[[#This Row],[Scaled Summed Score]]</f>
        <v>5.2464300432987887E-2</v>
      </c>
      <c r="AD123" s="11">
        <f>Table1[[#This Row],[Freshwater % of Summed Score]]*Table1[[#This Row],[Scaled Summed Score]]</f>
        <v>9.4555175543299175E-2</v>
      </c>
      <c r="AE123" s="39">
        <f>Table1[[#This Row],[Summed Raw Scores]]/MAX(Table1[Summed Raw Scores])</f>
        <v>0.14701947597628706</v>
      </c>
      <c r="AF123" s="1"/>
    </row>
    <row r="124" spans="1:32" x14ac:dyDescent="0.3">
      <c r="A124" s="8" t="s">
        <v>207</v>
      </c>
      <c r="B124" s="8" t="s">
        <v>114</v>
      </c>
      <c r="C124" s="8" t="s">
        <v>25</v>
      </c>
      <c r="D124" s="8" t="s">
        <v>250</v>
      </c>
      <c r="E124" s="9">
        <v>49.315802069999997</v>
      </c>
      <c r="F124" s="9">
        <v>-120.7780903</v>
      </c>
      <c r="G124" s="9">
        <v>150</v>
      </c>
      <c r="H124" s="8" t="s">
        <v>22</v>
      </c>
      <c r="I124" s="9">
        <v>36</v>
      </c>
      <c r="J124" s="9">
        <v>428.36399999999998</v>
      </c>
      <c r="K124" s="9">
        <v>86.437385455994203</v>
      </c>
      <c r="L124" s="9" t="s">
        <v>22</v>
      </c>
      <c r="M124" s="9">
        <v>0.9</v>
      </c>
      <c r="N124" s="9">
        <v>106.2</v>
      </c>
      <c r="O124" s="9">
        <f>Table1[[#This Row],[R1 Length (km)]]+Table1[[#This Row],[T1 Length (km)]]</f>
        <v>107.10000000000001</v>
      </c>
      <c r="P124" s="8">
        <v>130</v>
      </c>
      <c r="Q124" s="9">
        <f>(Table1[[#This Row],[Linear Features (km)]]*0.4)*100</f>
        <v>4284</v>
      </c>
      <c r="R124" s="1">
        <f>((PI()*(45^2))*Table1[[#This Row],[Number of Turbines - WIND]])/10000</f>
        <v>19.085175370557995</v>
      </c>
      <c r="S124" s="3">
        <f>Table1[[#This Row],[ATG (ha)]]/Table1[[#This Row],[Linear Area (ha)]]</f>
        <v>4.454989582296451E-3</v>
      </c>
      <c r="T124" s="8" t="s">
        <v>115</v>
      </c>
      <c r="U124" s="8">
        <v>30</v>
      </c>
      <c r="V124" s="1" t="s">
        <v>22</v>
      </c>
      <c r="W124" s="1" t="s">
        <v>22</v>
      </c>
      <c r="X124" s="10">
        <f>428.5363+10.76955</f>
        <v>439.30584999999996</v>
      </c>
      <c r="Y124" s="10">
        <f>Table1[[#This Row],[Raw Terrestrial Score]]/Table1[[#This Row],[Summed Raw Scores]]</f>
        <v>0.36150207848995164</v>
      </c>
      <c r="Z124" s="10">
        <f>737.0245+38.89323</f>
        <v>775.91773000000001</v>
      </c>
      <c r="AA124" s="10">
        <f>Table1[[#This Row],[Raw Freshwater Score]]/Table1[[#This Row],[Summed Raw Scores]]</f>
        <v>0.63849792151004847</v>
      </c>
      <c r="AB124" s="10">
        <f>Table1[[#This Row],[Raw Terrestrial Score]]+Table1[[#This Row],[Raw Freshwater Score]]</f>
        <v>1215.2235799999999</v>
      </c>
      <c r="AC124" s="11">
        <f>Table1[[#This Row],[Terrestrial % of Summed Score]]*Table1[[#This Row],[Scaled Summed Score]]</f>
        <v>5.3979825600669627E-2</v>
      </c>
      <c r="AD124" s="11">
        <f>Table1[[#This Row],[Freshwater % of Summed Score]]*Table1[[#This Row],[Scaled Summed Score]]</f>
        <v>9.534110175374963E-2</v>
      </c>
      <c r="AE124" s="39">
        <f>Table1[[#This Row],[Summed Raw Scores]]/MAX(Table1[Summed Raw Scores])</f>
        <v>0.14932092735441924</v>
      </c>
      <c r="AF124" s="1"/>
    </row>
    <row r="125" spans="1:32" x14ac:dyDescent="0.3">
      <c r="A125" s="8" t="s">
        <v>208</v>
      </c>
      <c r="B125" s="8" t="s">
        <v>114</v>
      </c>
      <c r="C125" s="8" t="s">
        <v>25</v>
      </c>
      <c r="D125" s="8"/>
      <c r="E125" s="9">
        <v>49.23297204</v>
      </c>
      <c r="F125" s="9">
        <v>-120.2964695</v>
      </c>
      <c r="G125" s="9">
        <v>144</v>
      </c>
      <c r="H125" s="8" t="s">
        <v>22</v>
      </c>
      <c r="I125" s="9">
        <v>34.799999999999997</v>
      </c>
      <c r="J125" s="9">
        <v>372.04158000000001</v>
      </c>
      <c r="K125" s="9">
        <v>100.9320839148305</v>
      </c>
      <c r="L125" s="9" t="s">
        <v>22</v>
      </c>
      <c r="M125" s="9">
        <v>9.308326171880001</v>
      </c>
      <c r="N125" s="9">
        <v>90.772703125000007</v>
      </c>
      <c r="O125" s="9">
        <f>Table1[[#This Row],[R1 Length (km)]]+Table1[[#This Row],[T1 Length (km)]]</f>
        <v>100.08102929688</v>
      </c>
      <c r="P125" s="8">
        <v>130</v>
      </c>
      <c r="Q125" s="9">
        <f>(Table1[[#This Row],[Linear Features (km)]]*0.4)*100</f>
        <v>4003.2411718752001</v>
      </c>
      <c r="R125" s="1">
        <f>((PI()*(45^2))*Table1[[#This Row],[Number of Turbines - WIND]])/10000</f>
        <v>18.449002858206061</v>
      </c>
      <c r="S125" s="3">
        <f>Table1[[#This Row],[ATG (ha)]]/Table1[[#This Row],[Linear Area (ha)]]</f>
        <v>4.6085164660624655E-3</v>
      </c>
      <c r="T125" s="8" t="s">
        <v>115</v>
      </c>
      <c r="U125" s="8">
        <v>29</v>
      </c>
      <c r="V125" s="1" t="s">
        <v>22</v>
      </c>
      <c r="W125" s="1" t="s">
        <v>22</v>
      </c>
      <c r="X125" s="10">
        <f>1073.73+24.21615</f>
        <v>1097.94615</v>
      </c>
      <c r="Y125" s="10">
        <f>Table1[[#This Row],[Raw Terrestrial Score]]/Table1[[#This Row],[Summed Raw Scores]]</f>
        <v>0.72291226016151899</v>
      </c>
      <c r="Z125" s="10">
        <f>377.7348+43.10108</f>
        <v>420.83588000000003</v>
      </c>
      <c r="AA125" s="10">
        <f>Table1[[#This Row],[Raw Freshwater Score]]/Table1[[#This Row],[Summed Raw Scores]]</f>
        <v>0.27708773983848095</v>
      </c>
      <c r="AB125" s="10">
        <f>Table1[[#This Row],[Raw Terrestrial Score]]+Table1[[#This Row],[Raw Freshwater Score]]</f>
        <v>1518.7820300000001</v>
      </c>
      <c r="AC125" s="11">
        <f>Table1[[#This Row],[Terrestrial % of Summed Score]]*Table1[[#This Row],[Scaled Summed Score]]</f>
        <v>0.13491043129957558</v>
      </c>
      <c r="AD125" s="11">
        <f>Table1[[#This Row],[Freshwater % of Summed Score]]*Table1[[#This Row],[Scaled Summed Score]]</f>
        <v>5.1710323021886301E-2</v>
      </c>
      <c r="AE125" s="39">
        <f>Table1[[#This Row],[Summed Raw Scores]]/MAX(Table1[Summed Raw Scores])</f>
        <v>0.18662075432146188</v>
      </c>
      <c r="AF125" s="1"/>
    </row>
    <row r="126" spans="1:32" x14ac:dyDescent="0.3">
      <c r="A126" s="8" t="s">
        <v>209</v>
      </c>
      <c r="B126" s="8" t="s">
        <v>114</v>
      </c>
      <c r="C126" s="8" t="s">
        <v>40</v>
      </c>
      <c r="D126" s="8"/>
      <c r="E126" s="9">
        <v>49.587992069999999</v>
      </c>
      <c r="F126" s="9">
        <v>-119.3495849</v>
      </c>
      <c r="G126" s="9">
        <v>48</v>
      </c>
      <c r="H126" s="8" t="s">
        <v>22</v>
      </c>
      <c r="I126" s="9">
        <v>12</v>
      </c>
      <c r="J126" s="9">
        <v>120.1434</v>
      </c>
      <c r="K126" s="9">
        <v>114.20171138822596</v>
      </c>
      <c r="L126" s="9" t="s">
        <v>22</v>
      </c>
      <c r="M126" s="9">
        <v>0.52426403808599997</v>
      </c>
      <c r="N126" s="9">
        <v>57.958789062500003</v>
      </c>
      <c r="O126" s="9">
        <f>Table1[[#This Row],[R1 Length (km)]]+Table1[[#This Row],[T1 Length (km)]]</f>
        <v>58.483053100586005</v>
      </c>
      <c r="P126" s="8">
        <v>69</v>
      </c>
      <c r="Q126" s="9">
        <f>(Table1[[#This Row],[Linear Features (km)]]*0.4)*100</f>
        <v>2339.3221240234402</v>
      </c>
      <c r="R126" s="1">
        <f>((PI()*(45^2))*Table1[[#This Row],[Number of Turbines - WIND]])/10000</f>
        <v>6.3617251235193315</v>
      </c>
      <c r="S126" s="3">
        <f>Table1[[#This Row],[ATG (ha)]]/Table1[[#This Row],[Linear Area (ha)]]</f>
        <v>2.7194737561741567E-3</v>
      </c>
      <c r="T126" s="8" t="s">
        <v>115</v>
      </c>
      <c r="U126" s="8">
        <v>10</v>
      </c>
      <c r="V126" s="1" t="s">
        <v>22</v>
      </c>
      <c r="W126" s="1" t="s">
        <v>22</v>
      </c>
      <c r="X126" s="10">
        <f>898.4753+56.59211</f>
        <v>955.06741</v>
      </c>
      <c r="Y126" s="10">
        <f>Table1[[#This Row],[Raw Terrestrial Score]]/Table1[[#This Row],[Summed Raw Scores]]</f>
        <v>0.65308017301423316</v>
      </c>
      <c r="Z126" s="10">
        <f>486.6464+20.69073</f>
        <v>507.33713</v>
      </c>
      <c r="AA126" s="10">
        <f>Table1[[#This Row],[Raw Freshwater Score]]/Table1[[#This Row],[Summed Raw Scores]]</f>
        <v>0.3469198269857669</v>
      </c>
      <c r="AB126" s="10">
        <f>Table1[[#This Row],[Raw Terrestrial Score]]+Table1[[#This Row],[Raw Freshwater Score]]</f>
        <v>1462.40454</v>
      </c>
      <c r="AC126" s="11">
        <f>Table1[[#This Row],[Terrestrial % of Summed Score]]*Table1[[#This Row],[Scaled Summed Score]]</f>
        <v>0.11735416732712127</v>
      </c>
      <c r="AD126" s="11">
        <f>Table1[[#This Row],[Freshwater % of Summed Score]]*Table1[[#This Row],[Scaled Summed Score]]</f>
        <v>6.2339187602769817E-2</v>
      </c>
      <c r="AE126" s="39">
        <f>Table1[[#This Row],[Summed Raw Scores]]/MAX(Table1[Summed Raw Scores])</f>
        <v>0.17969335492989108</v>
      </c>
      <c r="AF126" s="1"/>
    </row>
    <row r="127" spans="1:32" x14ac:dyDescent="0.3">
      <c r="A127" s="8" t="s">
        <v>210</v>
      </c>
      <c r="B127" s="8" t="s">
        <v>114</v>
      </c>
      <c r="C127" s="8" t="s">
        <v>95</v>
      </c>
      <c r="D127" s="8" t="s">
        <v>250</v>
      </c>
      <c r="E127" s="9">
        <v>49.338748189999997</v>
      </c>
      <c r="F127" s="9">
        <v>-115.9994731</v>
      </c>
      <c r="G127" s="9">
        <v>33</v>
      </c>
      <c r="H127" s="8" t="s">
        <v>22</v>
      </c>
      <c r="I127" s="9">
        <v>8.4</v>
      </c>
      <c r="J127" s="9">
        <v>97.314840000000018</v>
      </c>
      <c r="K127" s="9">
        <v>97.013018779307032</v>
      </c>
      <c r="L127" s="9" t="s">
        <v>22</v>
      </c>
      <c r="M127" s="9">
        <v>1.2656854248</v>
      </c>
      <c r="N127" s="9">
        <v>15.8698486328125</v>
      </c>
      <c r="O127" s="9">
        <f>Table1[[#This Row],[R1 Length (km)]]+Table1[[#This Row],[T1 Length (km)]]</f>
        <v>17.135534057612499</v>
      </c>
      <c r="P127" s="8">
        <v>69</v>
      </c>
      <c r="Q127" s="9">
        <f>(Table1[[#This Row],[Linear Features (km)]]*0.4)*100</f>
        <v>685.42136230450001</v>
      </c>
      <c r="R127" s="1">
        <v>4.45</v>
      </c>
      <c r="S127" s="3">
        <f>Table1[[#This Row],[ATG (ha)]]/Table1[[#This Row],[Linear Area (ha)]]</f>
        <v>6.4923567381068546E-3</v>
      </c>
      <c r="T127" s="8" t="s">
        <v>136</v>
      </c>
      <c r="U127" s="2" t="s">
        <v>22</v>
      </c>
      <c r="V127" s="1" t="s">
        <v>22</v>
      </c>
      <c r="W127" s="1" t="s">
        <v>22</v>
      </c>
      <c r="X127" s="10">
        <v>155.61680000000001</v>
      </c>
      <c r="Y127" s="10">
        <f>Table1[[#This Row],[Raw Terrestrial Score]]/Table1[[#This Row],[Summed Raw Scores]]</f>
        <v>0.462296593634067</v>
      </c>
      <c r="Z127" s="10">
        <v>181</v>
      </c>
      <c r="AA127" s="10">
        <f>Table1[[#This Row],[Raw Freshwater Score]]/Table1[[#This Row],[Summed Raw Scores]]</f>
        <v>0.53770340636593295</v>
      </c>
      <c r="AB127" s="10">
        <f>Table1[[#This Row],[Raw Terrestrial Score]]+Table1[[#This Row],[Raw Freshwater Score]]</f>
        <v>336.61680000000001</v>
      </c>
      <c r="AC127" s="11">
        <f>Table1[[#This Row],[Terrestrial % of Summed Score]]*Table1[[#This Row],[Scaled Summed Score]]</f>
        <v>1.9121456553638623E-2</v>
      </c>
      <c r="AD127" s="11">
        <f>Table1[[#This Row],[Freshwater % of Summed Score]]*Table1[[#This Row],[Scaled Summed Score]]</f>
        <v>2.2240424145777257E-2</v>
      </c>
      <c r="AE127" s="39">
        <f>Table1[[#This Row],[Summed Raw Scores]]/MAX(Table1[Summed Raw Scores])</f>
        <v>4.1361880699415883E-2</v>
      </c>
      <c r="AF127" s="1"/>
    </row>
    <row r="128" spans="1:32" x14ac:dyDescent="0.3">
      <c r="A128" s="8" t="s">
        <v>211</v>
      </c>
      <c r="B128" s="8" t="s">
        <v>114</v>
      </c>
      <c r="C128" s="8" t="s">
        <v>95</v>
      </c>
      <c r="D128" s="8"/>
      <c r="E128" s="9">
        <v>49.342589940000003</v>
      </c>
      <c r="F128" s="9">
        <v>-115.73614329999999</v>
      </c>
      <c r="G128" s="9">
        <v>102</v>
      </c>
      <c r="H128" s="8" t="s">
        <v>22</v>
      </c>
      <c r="I128" s="9">
        <v>25.2</v>
      </c>
      <c r="J128" s="9">
        <v>263.98259999999999</v>
      </c>
      <c r="K128" s="9">
        <v>96.934119051467661</v>
      </c>
      <c r="L128" s="9" t="s">
        <v>22</v>
      </c>
      <c r="M128" s="9">
        <v>0.76568542480500001</v>
      </c>
      <c r="N128" s="9">
        <v>22.679394531250001</v>
      </c>
      <c r="O128" s="9">
        <f>Table1[[#This Row],[R1 Length (km)]]+Table1[[#This Row],[T1 Length (km)]]</f>
        <v>23.445079956055</v>
      </c>
      <c r="P128" s="8">
        <v>230</v>
      </c>
      <c r="Q128" s="9">
        <f>(Table1[[#This Row],[Linear Features (km)]]*0.4)*100</f>
        <v>937.80319824219998</v>
      </c>
      <c r="R128" s="1">
        <f>((PI()*(45^2))*Table1[[#This Row],[Number of Turbines - WIND]])/10000</f>
        <v>13.359622759390593</v>
      </c>
      <c r="S128" s="3">
        <f>Table1[[#This Row],[ATG (ha)]]/Table1[[#This Row],[Linear Area (ha)]]</f>
        <v>1.4245657067955846E-2</v>
      </c>
      <c r="T128" s="8" t="s">
        <v>188</v>
      </c>
      <c r="U128" s="8">
        <v>21</v>
      </c>
      <c r="V128" s="1" t="s">
        <v>22</v>
      </c>
      <c r="W128" s="1" t="s">
        <v>22</v>
      </c>
      <c r="X128" s="10">
        <v>526.24720000000002</v>
      </c>
      <c r="Y128" s="10">
        <f>Table1[[#This Row],[Raw Terrestrial Score]]/Table1[[#This Row],[Summed Raw Scores]]</f>
        <v>0.69362813004242319</v>
      </c>
      <c r="Z128" s="10">
        <v>232.44059999999999</v>
      </c>
      <c r="AA128" s="10">
        <f>Table1[[#This Row],[Raw Freshwater Score]]/Table1[[#This Row],[Summed Raw Scores]]</f>
        <v>0.3063718699575767</v>
      </c>
      <c r="AB128" s="10">
        <f>Table1[[#This Row],[Raw Terrestrial Score]]+Table1[[#This Row],[Raw Freshwater Score]]</f>
        <v>758.68780000000004</v>
      </c>
      <c r="AC128" s="11">
        <f>Table1[[#This Row],[Terrestrial % of Summed Score]]*Table1[[#This Row],[Scaled Summed Score]]</f>
        <v>6.466276758855069E-2</v>
      </c>
      <c r="AD128" s="11">
        <f>Table1[[#This Row],[Freshwater % of Summed Score]]*Table1[[#This Row],[Scaled Summed Score]]</f>
        <v>2.8561201838115762E-2</v>
      </c>
      <c r="AE128" s="39">
        <f>Table1[[#This Row],[Summed Raw Scores]]/MAX(Table1[Summed Raw Scores])</f>
        <v>9.3223969426666456E-2</v>
      </c>
      <c r="AF128" s="1"/>
    </row>
    <row r="129" spans="1:32" x14ac:dyDescent="0.3">
      <c r="A129" s="8" t="s">
        <v>107</v>
      </c>
      <c r="B129" s="8" t="s">
        <v>97</v>
      </c>
      <c r="C129" s="8" t="s">
        <v>32</v>
      </c>
      <c r="D129" s="8" t="s">
        <v>250</v>
      </c>
      <c r="E129" s="12">
        <v>49.29</v>
      </c>
      <c r="F129" s="12">
        <v>-121.4</v>
      </c>
      <c r="G129" s="9">
        <v>51.1</v>
      </c>
      <c r="H129" s="9">
        <v>40</v>
      </c>
      <c r="I129" s="9">
        <v>19</v>
      </c>
      <c r="J129" s="13">
        <v>251.3</v>
      </c>
      <c r="K129" s="13">
        <v>80.156438495857245</v>
      </c>
      <c r="L129" s="9" t="s">
        <v>22</v>
      </c>
      <c r="M129" s="12">
        <v>0</v>
      </c>
      <c r="N129" s="1">
        <v>13.058073580375128</v>
      </c>
      <c r="O129" s="1">
        <f>Table1[[#This Row],[R1 Length (km)]]+Table1[[#This Row],[T1 Length (km)]]</f>
        <v>13.058073580375128</v>
      </c>
      <c r="P129" s="2">
        <v>230</v>
      </c>
      <c r="Q129" s="1">
        <f>(Table1[[#This Row],[Linear Features (km)]]*0.4)*100</f>
        <v>522.32294321500513</v>
      </c>
      <c r="R129" s="1">
        <v>13.06</v>
      </c>
      <c r="S129" s="3">
        <f>Table1[[#This Row],[ATG (ha)]]/Table1[[#This Row],[Linear Area (ha)]]</f>
        <v>2.5003688177304667E-2</v>
      </c>
      <c r="T129" s="2" t="s">
        <v>22</v>
      </c>
      <c r="U129" s="2" t="s">
        <v>22</v>
      </c>
      <c r="V129" s="1" t="s">
        <v>22</v>
      </c>
      <c r="W129" s="1" t="s">
        <v>22</v>
      </c>
      <c r="X129" s="10">
        <v>217.7783</v>
      </c>
      <c r="Y129" s="10">
        <f>Table1[[#This Row],[Raw Terrestrial Score]]/Table1[[#This Row],[Summed Raw Scores]]</f>
        <v>0.40723099647087407</v>
      </c>
      <c r="Z129" s="10">
        <v>317</v>
      </c>
      <c r="AA129" s="10">
        <f>Table1[[#This Row],[Raw Freshwater Score]]/Table1[[#This Row],[Summed Raw Scores]]</f>
        <v>0.59276900352912609</v>
      </c>
      <c r="AB129" s="10">
        <f>Table1[[#This Row],[Raw Terrestrial Score]]+Table1[[#This Row],[Raw Freshwater Score]]</f>
        <v>534.77829999999994</v>
      </c>
      <c r="AC129" s="11">
        <f>Table1[[#This Row],[Terrestrial % of Summed Score]]*Table1[[#This Row],[Scaled Summed Score]]</f>
        <v>2.6759567744454829E-2</v>
      </c>
      <c r="AD129" s="11">
        <f>Table1[[#This Row],[Freshwater % of Summed Score]]*Table1[[#This Row],[Scaled Summed Score]]</f>
        <v>3.8951461072991113E-2</v>
      </c>
      <c r="AE129" s="39">
        <f>Table1[[#This Row],[Summed Raw Scores]]/MAX(Table1[Summed Raw Scores])</f>
        <v>6.5711028817445935E-2</v>
      </c>
      <c r="AF129" s="1"/>
    </row>
    <row r="130" spans="1:32" x14ac:dyDescent="0.3">
      <c r="A130" s="8" t="s">
        <v>108</v>
      </c>
      <c r="B130" s="8" t="s">
        <v>97</v>
      </c>
      <c r="C130" s="8" t="s">
        <v>32</v>
      </c>
      <c r="D130" s="8" t="s">
        <v>250</v>
      </c>
      <c r="E130" s="14">
        <v>49.58</v>
      </c>
      <c r="F130" s="14">
        <v>-121.35</v>
      </c>
      <c r="G130" s="9">
        <v>41.5</v>
      </c>
      <c r="H130" s="9">
        <v>40</v>
      </c>
      <c r="I130" s="9">
        <v>4</v>
      </c>
      <c r="J130" s="13">
        <v>61.7</v>
      </c>
      <c r="K130" s="13">
        <v>145.349752283105</v>
      </c>
      <c r="L130" s="9" t="s">
        <v>22</v>
      </c>
      <c r="M130" s="14">
        <v>0.72426406871269999</v>
      </c>
      <c r="N130" s="1">
        <v>14.961017305525326</v>
      </c>
      <c r="O130" s="1">
        <f>Table1[[#This Row],[R1 Length (km)]]+Table1[[#This Row],[T1 Length (km)]]</f>
        <v>15.685281374238025</v>
      </c>
      <c r="P130" s="2">
        <v>69</v>
      </c>
      <c r="Q130" s="1">
        <f>(Table1[[#This Row],[Linear Features (km)]]*0.4)*100</f>
        <v>627.41125496952111</v>
      </c>
      <c r="R130" s="1">
        <v>14.96</v>
      </c>
      <c r="S130" s="3">
        <f>Table1[[#This Row],[ATG (ha)]]/Table1[[#This Row],[Linear Area (ha)]]</f>
        <v>2.3844009621291764E-2</v>
      </c>
      <c r="T130" s="2" t="s">
        <v>22</v>
      </c>
      <c r="U130" s="2" t="s">
        <v>22</v>
      </c>
      <c r="V130" s="1" t="s">
        <v>22</v>
      </c>
      <c r="W130" s="1" t="s">
        <v>22</v>
      </c>
      <c r="X130" s="10">
        <v>264.0471</v>
      </c>
      <c r="Y130" s="10">
        <f>Table1[[#This Row],[Raw Terrestrial Score]]/Table1[[#This Row],[Summed Raw Scores]]</f>
        <v>0.4731627491657962</v>
      </c>
      <c r="Z130" s="10">
        <v>294</v>
      </c>
      <c r="AA130" s="10">
        <f>Table1[[#This Row],[Raw Freshwater Score]]/Table1[[#This Row],[Summed Raw Scores]]</f>
        <v>0.52683725083420374</v>
      </c>
      <c r="AB130" s="10">
        <f>Table1[[#This Row],[Raw Terrestrial Score]]+Table1[[#This Row],[Raw Freshwater Score]]</f>
        <v>558.0471</v>
      </c>
      <c r="AC130" s="11">
        <f>Table1[[#This Row],[Terrestrial % of Summed Score]]*Table1[[#This Row],[Scaled Summed Score]]</f>
        <v>3.2444859107527417E-2</v>
      </c>
      <c r="AD130" s="11">
        <f>Table1[[#This Row],[Freshwater % of Summed Score]]*Table1[[#This Row],[Scaled Summed Score]]</f>
        <v>3.612532982794759E-2</v>
      </c>
      <c r="AE130" s="39">
        <f>Table1[[#This Row],[Summed Raw Scores]]/MAX(Table1[Summed Raw Scores])</f>
        <v>6.8570188935475007E-2</v>
      </c>
      <c r="AF130" s="1"/>
    </row>
    <row r="131" spans="1:32" x14ac:dyDescent="0.3">
      <c r="A131" s="8" t="s">
        <v>47</v>
      </c>
      <c r="B131" s="8" t="s">
        <v>42</v>
      </c>
      <c r="C131" s="8" t="s">
        <v>30</v>
      </c>
      <c r="D131" s="8"/>
      <c r="E131" s="9">
        <v>53.696828625899997</v>
      </c>
      <c r="F131" s="9">
        <v>-128.672318542</v>
      </c>
      <c r="G131" s="9">
        <v>1000</v>
      </c>
      <c r="H131" s="9" t="s">
        <v>22</v>
      </c>
      <c r="I131" s="9">
        <v>1000</v>
      </c>
      <c r="J131" s="8" t="s">
        <v>22</v>
      </c>
      <c r="K131" s="8" t="s">
        <v>22</v>
      </c>
      <c r="L131" s="9">
        <v>121.05029810000001</v>
      </c>
      <c r="M131" s="9">
        <v>3.0213203435615053</v>
      </c>
      <c r="N131" s="9">
        <v>86.858073580375986</v>
      </c>
      <c r="O131" s="9">
        <f>Table1[[#This Row],[R1 Length (km)]]+Table1[[#This Row],[T1 Length (km)]]</f>
        <v>89.879393923937485</v>
      </c>
      <c r="P131" s="8">
        <v>500</v>
      </c>
      <c r="Q131" s="9">
        <f>(Table1[[#This Row],[Linear Features (km)]]*0.4)*100</f>
        <v>3595.1757569574993</v>
      </c>
      <c r="R131" s="1">
        <v>109.5</v>
      </c>
      <c r="S131" s="3">
        <f>Table1[[#This Row],[ATG (ha)]]/Table1[[#This Row],[Linear Area (ha)]]</f>
        <v>3.0457481748449179E-2</v>
      </c>
      <c r="T131" s="2" t="s">
        <v>22</v>
      </c>
      <c r="U131" s="2" t="s">
        <v>22</v>
      </c>
      <c r="V131" s="1" t="s">
        <v>22</v>
      </c>
      <c r="W131" s="1" t="s">
        <v>22</v>
      </c>
      <c r="X131" s="10">
        <v>868.50049999999999</v>
      </c>
      <c r="Y131" s="10">
        <f>Table1[[#This Row],[Raw Terrestrial Score]]/Table1[[#This Row],[Summed Raw Scores]]</f>
        <v>0.42275645323846589</v>
      </c>
      <c r="Z131" s="10">
        <v>1185.875</v>
      </c>
      <c r="AA131" s="10">
        <f>Table1[[#This Row],[Raw Freshwater Score]]/Table1[[#This Row],[Summed Raw Scores]]</f>
        <v>0.57724354676153411</v>
      </c>
      <c r="AB131" s="10">
        <f>Table1[[#This Row],[Raw Terrestrial Score]]+Table1[[#This Row],[Raw Freshwater Score]]</f>
        <v>2054.3755000000001</v>
      </c>
      <c r="AC131" s="11">
        <f>Table1[[#This Row],[Terrestrial % of Summed Score]]*Table1[[#This Row],[Scaled Summed Score]]</f>
        <v>0.10671723475590952</v>
      </c>
      <c r="AD131" s="11">
        <f>Table1[[#This Row],[Freshwater % of Summed Score]]*Table1[[#This Row],[Scaled Summed Score]]</f>
        <v>0.14571471261808625</v>
      </c>
      <c r="AE131" s="39">
        <f>Table1[[#This Row],[Summed Raw Scores]]/MAX(Table1[Summed Raw Scores])</f>
        <v>0.25243194737399577</v>
      </c>
      <c r="AF131" s="1"/>
    </row>
    <row r="132" spans="1:32" x14ac:dyDescent="0.3">
      <c r="A132" s="8" t="s">
        <v>35</v>
      </c>
      <c r="B132" s="8" t="s">
        <v>24</v>
      </c>
      <c r="C132" s="8" t="s">
        <v>32</v>
      </c>
      <c r="D132" s="8" t="s">
        <v>250</v>
      </c>
      <c r="E132" s="9">
        <v>49.736758000000002</v>
      </c>
      <c r="F132" s="9">
        <v>-122.303431</v>
      </c>
      <c r="G132" s="9">
        <v>10</v>
      </c>
      <c r="H132" s="9">
        <v>8</v>
      </c>
      <c r="I132" s="9" t="s">
        <v>22</v>
      </c>
      <c r="J132" s="9">
        <v>57</v>
      </c>
      <c r="K132" s="9">
        <v>157.06</v>
      </c>
      <c r="L132" s="9" t="s">
        <v>22</v>
      </c>
      <c r="M132" s="9">
        <f>300.000000003725/1000</f>
        <v>0.30000000000372501</v>
      </c>
      <c r="N132" s="9">
        <v>8.4426400000000008</v>
      </c>
      <c r="O132" s="9">
        <f>Table1[[#This Row],[R1 Length (km)]]+Table1[[#This Row],[T1 Length (km)]]</f>
        <v>8.7426400000037265</v>
      </c>
      <c r="P132" s="8">
        <v>69</v>
      </c>
      <c r="Q132" s="9">
        <f>(Table1[[#This Row],[Linear Features (km)]]*0.4)*100</f>
        <v>349.7056000001491</v>
      </c>
      <c r="R132" s="1">
        <v>2.2999999999999998</v>
      </c>
      <c r="S132" s="3">
        <f>Table1[[#This Row],[ATG (ha)]]/Table1[[#This Row],[Linear Area (ha)]]</f>
        <v>6.5769607349696977E-3</v>
      </c>
      <c r="T132" s="2" t="s">
        <v>22</v>
      </c>
      <c r="U132" s="2" t="s">
        <v>22</v>
      </c>
      <c r="V132" s="1" t="s">
        <v>22</v>
      </c>
      <c r="W132" s="1" t="s">
        <v>22</v>
      </c>
      <c r="X132" s="10">
        <v>75.764949999999999</v>
      </c>
      <c r="Y132" s="10">
        <f>Table1[[#This Row],[Raw Terrestrial Score]]/Table1[[#This Row],[Summed Raw Scores]]</f>
        <v>0.34164528704829145</v>
      </c>
      <c r="Z132" s="10">
        <v>146</v>
      </c>
      <c r="AA132" s="10">
        <f>Table1[[#This Row],[Raw Freshwater Score]]/Table1[[#This Row],[Summed Raw Scores]]</f>
        <v>0.65835471295170855</v>
      </c>
      <c r="AB132" s="10">
        <f>Table1[[#This Row],[Raw Terrestrial Score]]+Table1[[#This Row],[Raw Freshwater Score]]</f>
        <v>221.76495</v>
      </c>
      <c r="AC132" s="11">
        <f>Table1[[#This Row],[Terrestrial % of Summed Score]]*Table1[[#This Row],[Scaled Summed Score]]</f>
        <v>9.3096388032243467E-3</v>
      </c>
      <c r="AD132" s="11">
        <f>Table1[[#This Row],[Freshwater % of Summed Score]]*Table1[[#This Row],[Scaled Summed Score]]</f>
        <v>1.7939789642450164E-2</v>
      </c>
      <c r="AE132" s="39">
        <f>Table1[[#This Row],[Summed Raw Scores]]/MAX(Table1[Summed Raw Scores])</f>
        <v>2.724942844567451E-2</v>
      </c>
      <c r="AF132" s="1"/>
    </row>
    <row r="133" spans="1:32" x14ac:dyDescent="0.3">
      <c r="A133" s="8" t="s">
        <v>410</v>
      </c>
      <c r="B133" s="8" t="s">
        <v>58</v>
      </c>
      <c r="C133" s="8" t="s">
        <v>27</v>
      </c>
      <c r="D133" s="8"/>
      <c r="E133" s="24">
        <v>56.129713809999998</v>
      </c>
      <c r="F133" s="24">
        <v>-122.39928519999999</v>
      </c>
      <c r="G133" s="24">
        <v>27.714461539999999</v>
      </c>
      <c r="H133" s="8" t="s">
        <v>22</v>
      </c>
      <c r="I133" s="8" t="s">
        <v>22</v>
      </c>
      <c r="J133" s="24">
        <v>44.190235790000003</v>
      </c>
      <c r="K133" s="24">
        <v>209.41604330000001</v>
      </c>
      <c r="L133" s="9" t="s">
        <v>22</v>
      </c>
      <c r="M133" s="24">
        <v>0.3</v>
      </c>
      <c r="N133" s="24">
        <v>25.4</v>
      </c>
      <c r="O133" s="9">
        <f>Table1[[#This Row],[R1 Length (km)]]+Table1[[#This Row],[T1 Length (km)]]</f>
        <v>25.7</v>
      </c>
      <c r="P133" s="26">
        <v>130</v>
      </c>
      <c r="Q133" s="9">
        <f>(Table1[[#This Row],[Linear Features (km)]]*0.4)*100</f>
        <v>1028</v>
      </c>
      <c r="R133" s="24">
        <v>112.59</v>
      </c>
      <c r="S133" s="3">
        <f>Table1[[#This Row],[ATG (ha)]]/Table1[[#This Row],[Linear Area (ha)]]</f>
        <v>0.10952334630350195</v>
      </c>
      <c r="T133" s="2" t="s">
        <v>22</v>
      </c>
      <c r="U133" s="2" t="s">
        <v>22</v>
      </c>
      <c r="V133" s="24">
        <v>112.59</v>
      </c>
      <c r="W133" s="24">
        <v>45.036000000000001</v>
      </c>
      <c r="X133" s="10">
        <v>266.6927</v>
      </c>
      <c r="Y133" s="10">
        <f>Table1[[#This Row],[Raw Terrestrial Score]]/Table1[[#This Row],[Summed Raw Scores]]</f>
        <v>0.57350740451227422</v>
      </c>
      <c r="Z133" s="10">
        <v>198.3278</v>
      </c>
      <c r="AA133" s="10">
        <f>Table1[[#This Row],[Raw Freshwater Score]]/Table1[[#This Row],[Summed Raw Scores]]</f>
        <v>0.42649259548772583</v>
      </c>
      <c r="AB133" s="10">
        <f>Table1[[#This Row],[Raw Terrestrial Score]]+Table1[[#This Row],[Raw Freshwater Score]]</f>
        <v>465.02049999999997</v>
      </c>
      <c r="AC133" s="11">
        <f>Table1[[#This Row],[Terrestrial % of Summed Score]]*Table1[[#This Row],[Scaled Summed Score]]</f>
        <v>3.2769937925870338E-2</v>
      </c>
      <c r="AD133" s="11">
        <f>Table1[[#This Row],[Freshwater % of Summed Score]]*Table1[[#This Row],[Scaled Summed Score]]</f>
        <v>2.4369582275684438E-2</v>
      </c>
      <c r="AE133" s="11">
        <f>Table1[[#This Row],[Summed Raw Scores]]/MAX(Table1[Summed Raw Scores])</f>
        <v>5.7139520201554772E-2</v>
      </c>
      <c r="AF133" s="1"/>
    </row>
    <row r="134" spans="1:32" x14ac:dyDescent="0.3">
      <c r="A134" s="8" t="s">
        <v>300</v>
      </c>
      <c r="B134" s="8" t="s">
        <v>58</v>
      </c>
      <c r="C134" s="8" t="s">
        <v>27</v>
      </c>
      <c r="D134" s="8"/>
      <c r="E134" s="24">
        <v>56.170958650000003</v>
      </c>
      <c r="F134" s="24">
        <v>-122.1240687</v>
      </c>
      <c r="G134" s="24">
        <v>91.118769229999998</v>
      </c>
      <c r="H134" s="8" t="s">
        <v>22</v>
      </c>
      <c r="I134" s="8" t="s">
        <v>22</v>
      </c>
      <c r="J134" s="24">
        <v>145.15054069999999</v>
      </c>
      <c r="K134" s="24">
        <v>128.11420029999999</v>
      </c>
      <c r="L134" s="9" t="s">
        <v>22</v>
      </c>
      <c r="M134" s="24">
        <v>2.1</v>
      </c>
      <c r="N134" s="24">
        <v>18.5</v>
      </c>
      <c r="O134" s="9">
        <f>Table1[[#This Row],[R1 Length (km)]]+Table1[[#This Row],[T1 Length (km)]]</f>
        <v>20.6</v>
      </c>
      <c r="P134" s="26">
        <v>130</v>
      </c>
      <c r="Q134" s="9">
        <f>(Table1[[#This Row],[Linear Features (km)]]*0.4)*100</f>
        <v>824</v>
      </c>
      <c r="R134" s="24">
        <v>370.17</v>
      </c>
      <c r="S134" s="3">
        <f>Table1[[#This Row],[ATG (ha)]]/Table1[[#This Row],[Linear Area (ha)]]</f>
        <v>0.44923543689320389</v>
      </c>
      <c r="T134" s="2" t="s">
        <v>22</v>
      </c>
      <c r="U134" s="2" t="s">
        <v>22</v>
      </c>
      <c r="V134" s="24">
        <v>370.17</v>
      </c>
      <c r="W134" s="24">
        <v>148.06800000000001</v>
      </c>
      <c r="X134" s="10">
        <v>198.92400000000001</v>
      </c>
      <c r="Y134" s="10">
        <f>Table1[[#This Row],[Raw Terrestrial Score]]/Table1[[#This Row],[Summed Raw Scores]]</f>
        <v>0.73830043554470259</v>
      </c>
      <c r="Z134" s="10">
        <v>70.511030000000005</v>
      </c>
      <c r="AA134" s="10">
        <f>Table1[[#This Row],[Raw Freshwater Score]]/Table1[[#This Row],[Summed Raw Scores]]</f>
        <v>0.26169956445529746</v>
      </c>
      <c r="AB134" s="10">
        <f>Table1[[#This Row],[Raw Terrestrial Score]]+Table1[[#This Row],[Raw Freshwater Score]]</f>
        <v>269.43502999999998</v>
      </c>
      <c r="AC134" s="11">
        <f>Table1[[#This Row],[Terrestrial % of Summed Score]]*Table1[[#This Row],[Scaled Summed Score]]</f>
        <v>2.4442840512566826E-2</v>
      </c>
      <c r="AD134" s="11">
        <f>Table1[[#This Row],[Freshwater % of Summed Score]]*Table1[[#This Row],[Scaled Summed Score]]</f>
        <v>8.6640619566609092E-3</v>
      </c>
      <c r="AE134" s="11">
        <f>Table1[[#This Row],[Summed Raw Scores]]/MAX(Table1[Summed Raw Scores])</f>
        <v>3.3106902469227734E-2</v>
      </c>
      <c r="AF134" s="1"/>
    </row>
    <row r="135" spans="1:32" x14ac:dyDescent="0.3">
      <c r="A135" s="8" t="s">
        <v>275</v>
      </c>
      <c r="B135" s="8" t="s">
        <v>58</v>
      </c>
      <c r="C135" s="8" t="s">
        <v>27</v>
      </c>
      <c r="D135" s="8"/>
      <c r="E135" s="24">
        <v>56.122585809999997</v>
      </c>
      <c r="F135" s="24">
        <v>-122.0981316</v>
      </c>
      <c r="G135" s="24">
        <v>238.6633846</v>
      </c>
      <c r="H135" s="8" t="s">
        <v>22</v>
      </c>
      <c r="I135" s="8" t="s">
        <v>22</v>
      </c>
      <c r="J135" s="24">
        <v>378.2866459</v>
      </c>
      <c r="K135" s="24">
        <v>123.32111380000001</v>
      </c>
      <c r="L135" s="9" t="s">
        <v>22</v>
      </c>
      <c r="M135" s="24">
        <v>1.7</v>
      </c>
      <c r="N135" s="24">
        <v>35.700000000000003</v>
      </c>
      <c r="O135" s="9">
        <f>Table1[[#This Row],[R1 Length (km)]]+Table1[[#This Row],[T1 Length (km)]]</f>
        <v>37.400000000000006</v>
      </c>
      <c r="P135" s="26">
        <v>230</v>
      </c>
      <c r="Q135" s="9">
        <f>(Table1[[#This Row],[Linear Features (km)]]*0.4)*100</f>
        <v>1496.0000000000002</v>
      </c>
      <c r="R135" s="24">
        <v>969.57</v>
      </c>
      <c r="S135" s="3">
        <f>Table1[[#This Row],[ATG (ha)]]/Table1[[#This Row],[Linear Area (ha)]]</f>
        <v>0.64810828877005344</v>
      </c>
      <c r="T135" s="2" t="s">
        <v>22</v>
      </c>
      <c r="U135" s="2" t="s">
        <v>22</v>
      </c>
      <c r="V135" s="24">
        <v>969.57</v>
      </c>
      <c r="W135" s="24">
        <v>387.82799999999997</v>
      </c>
      <c r="X135" s="10">
        <v>417.36540000000002</v>
      </c>
      <c r="Y135" s="10">
        <f>Table1[[#This Row],[Raw Terrestrial Score]]/Table1[[#This Row],[Summed Raw Scores]]</f>
        <v>0.49591407309077151</v>
      </c>
      <c r="Z135" s="10">
        <v>424.24290000000002</v>
      </c>
      <c r="AA135" s="10">
        <f>Table1[[#This Row],[Raw Freshwater Score]]/Table1[[#This Row],[Summed Raw Scores]]</f>
        <v>0.50408592690922838</v>
      </c>
      <c r="AB135" s="10">
        <f>Table1[[#This Row],[Raw Terrestrial Score]]+Table1[[#This Row],[Raw Freshwater Score]]</f>
        <v>841.6083000000001</v>
      </c>
      <c r="AC135" s="11">
        <f>Table1[[#This Row],[Terrestrial % of Summed Score]]*Table1[[#This Row],[Scaled Summed Score]]</f>
        <v>5.1283886849568971E-2</v>
      </c>
      <c r="AD135" s="11">
        <f>Table1[[#This Row],[Freshwater % of Summed Score]]*Table1[[#This Row],[Scaled Summed Score]]</f>
        <v>5.2128961529472745E-2</v>
      </c>
      <c r="AE135" s="39">
        <f>Table1[[#This Row],[Summed Raw Scores]]/MAX(Table1[Summed Raw Scores])</f>
        <v>0.10341284837904173</v>
      </c>
      <c r="AF135" s="1"/>
    </row>
    <row r="136" spans="1:32" x14ac:dyDescent="0.3">
      <c r="A136" s="8" t="s">
        <v>305</v>
      </c>
      <c r="B136" s="8" t="s">
        <v>58</v>
      </c>
      <c r="C136" s="8" t="s">
        <v>27</v>
      </c>
      <c r="D136" s="8"/>
      <c r="E136" s="24">
        <v>56.025869370000002</v>
      </c>
      <c r="F136" s="24">
        <v>-122.0464077</v>
      </c>
      <c r="G136" s="24">
        <v>64.8</v>
      </c>
      <c r="H136" s="8" t="s">
        <v>22</v>
      </c>
      <c r="I136" s="8" t="s">
        <v>22</v>
      </c>
      <c r="J136" s="24">
        <v>101.8299691</v>
      </c>
      <c r="K136" s="24">
        <v>129.12719440000001</v>
      </c>
      <c r="L136" s="9" t="s">
        <v>22</v>
      </c>
      <c r="M136" s="24">
        <v>0.3</v>
      </c>
      <c r="N136" s="24">
        <v>3.2</v>
      </c>
      <c r="O136" s="9">
        <f>Table1[[#This Row],[R1 Length (km)]]+Table1[[#This Row],[T1 Length (km)]]</f>
        <v>3.5</v>
      </c>
      <c r="P136" s="26">
        <v>130</v>
      </c>
      <c r="Q136" s="9">
        <f>(Table1[[#This Row],[Linear Features (km)]]*0.4)*100</f>
        <v>140</v>
      </c>
      <c r="R136" s="24">
        <v>263.25</v>
      </c>
      <c r="S136" s="3">
        <f>Table1[[#This Row],[ATG (ha)]]/Table1[[#This Row],[Linear Area (ha)]]</f>
        <v>1.8803571428571428</v>
      </c>
      <c r="T136" s="2" t="s">
        <v>22</v>
      </c>
      <c r="U136" s="2" t="s">
        <v>22</v>
      </c>
      <c r="V136" s="24">
        <v>263.25</v>
      </c>
      <c r="W136" s="24">
        <v>105.3</v>
      </c>
      <c r="X136" s="10">
        <v>9.4091400000000007</v>
      </c>
      <c r="Y136" s="10">
        <f>Table1[[#This Row],[Raw Terrestrial Score]]/Table1[[#This Row],[Summed Raw Scores]]</f>
        <v>0.12076150618378526</v>
      </c>
      <c r="Z136" s="10">
        <v>68.505920000000003</v>
      </c>
      <c r="AA136" s="10">
        <f>Table1[[#This Row],[Raw Freshwater Score]]/Table1[[#This Row],[Summed Raw Scores]]</f>
        <v>0.87923849381621466</v>
      </c>
      <c r="AB136" s="10">
        <f>Table1[[#This Row],[Raw Terrestrial Score]]+Table1[[#This Row],[Raw Freshwater Score]]</f>
        <v>77.915060000000011</v>
      </c>
      <c r="AC136" s="11">
        <f>Table1[[#This Row],[Terrestrial % of Summed Score]]*Table1[[#This Row],[Scaled Summed Score]]</f>
        <v>1.1561506323038598E-3</v>
      </c>
      <c r="AD136" s="11">
        <f>Table1[[#This Row],[Freshwater % of Summed Score]]*Table1[[#This Row],[Scaled Summed Score]]</f>
        <v>8.417683520976162E-3</v>
      </c>
      <c r="AE136" s="11">
        <f>Table1[[#This Row],[Summed Raw Scores]]/MAX(Table1[Summed Raw Scores])</f>
        <v>9.5738341532800222E-3</v>
      </c>
      <c r="AF136" s="1"/>
    </row>
    <row r="137" spans="1:32" x14ac:dyDescent="0.3">
      <c r="A137" s="8" t="s">
        <v>387</v>
      </c>
      <c r="B137" s="8" t="s">
        <v>58</v>
      </c>
      <c r="C137" s="8" t="s">
        <v>27</v>
      </c>
      <c r="D137" s="8"/>
      <c r="E137" s="24">
        <v>55.983206240000001</v>
      </c>
      <c r="F137" s="24">
        <v>-121.62885989999999</v>
      </c>
      <c r="G137" s="24">
        <v>44.462769229999999</v>
      </c>
      <c r="H137" s="8" t="s">
        <v>22</v>
      </c>
      <c r="I137" s="8" t="s">
        <v>22</v>
      </c>
      <c r="J137" s="24">
        <v>71.254965519999999</v>
      </c>
      <c r="K137" s="24">
        <v>156.75472210000001</v>
      </c>
      <c r="L137" s="9" t="s">
        <v>22</v>
      </c>
      <c r="M137" s="24">
        <v>0</v>
      </c>
      <c r="N137" s="24">
        <v>29.7</v>
      </c>
      <c r="O137" s="9">
        <f>Table1[[#This Row],[R1 Length (km)]]+Table1[[#This Row],[T1 Length (km)]]</f>
        <v>29.7</v>
      </c>
      <c r="P137" s="26">
        <v>130</v>
      </c>
      <c r="Q137" s="9">
        <f>(Table1[[#This Row],[Linear Features (km)]]*0.4)*100</f>
        <v>1188</v>
      </c>
      <c r="R137" s="24">
        <v>180.63</v>
      </c>
      <c r="S137" s="3">
        <f>Table1[[#This Row],[ATG (ha)]]/Table1[[#This Row],[Linear Area (ha)]]</f>
        <v>0.15204545454545454</v>
      </c>
      <c r="T137" s="2" t="s">
        <v>22</v>
      </c>
      <c r="U137" s="2" t="s">
        <v>22</v>
      </c>
      <c r="V137" s="24">
        <v>180.63</v>
      </c>
      <c r="W137" s="24">
        <v>72.251999999999995</v>
      </c>
      <c r="X137" s="10">
        <v>67.694230000000005</v>
      </c>
      <c r="Y137" s="10">
        <f>Table1[[#This Row],[Raw Terrestrial Score]]/Table1[[#This Row],[Summed Raw Scores]]</f>
        <v>0.54753635360824859</v>
      </c>
      <c r="Z137" s="10">
        <v>55.939990000000002</v>
      </c>
      <c r="AA137" s="10">
        <f>Table1[[#This Row],[Raw Freshwater Score]]/Table1[[#This Row],[Summed Raw Scores]]</f>
        <v>0.45246364639175141</v>
      </c>
      <c r="AB137" s="10">
        <f>Table1[[#This Row],[Raw Terrestrial Score]]+Table1[[#This Row],[Raw Freshwater Score]]</f>
        <v>123.63422</v>
      </c>
      <c r="AC137" s="11">
        <f>Table1[[#This Row],[Terrestrial % of Summed Score]]*Table1[[#This Row],[Scaled Summed Score]]</f>
        <v>8.3179468918331452E-3</v>
      </c>
      <c r="AD137" s="11">
        <f>Table1[[#This Row],[Freshwater % of Summed Score]]*Table1[[#This Row],[Scaled Summed Score]]</f>
        <v>6.8736414602792173E-3</v>
      </c>
      <c r="AE137" s="11">
        <f>Table1[[#This Row],[Summed Raw Scores]]/MAX(Table1[Summed Raw Scores])</f>
        <v>1.5191588352112362E-2</v>
      </c>
      <c r="AF137" s="1"/>
    </row>
    <row r="138" spans="1:32" x14ac:dyDescent="0.3">
      <c r="A138" s="8" t="s">
        <v>414</v>
      </c>
      <c r="B138" s="8" t="s">
        <v>58</v>
      </c>
      <c r="C138" s="8" t="s">
        <v>59</v>
      </c>
      <c r="D138" s="8"/>
      <c r="E138" s="24">
        <v>55.533124950000001</v>
      </c>
      <c r="F138" s="24">
        <v>-123.55083380000001</v>
      </c>
      <c r="G138" s="24">
        <v>19.938461539999999</v>
      </c>
      <c r="H138" s="8" t="s">
        <v>22</v>
      </c>
      <c r="I138" s="8" t="s">
        <v>22</v>
      </c>
      <c r="J138" s="24">
        <v>31.812067460000002</v>
      </c>
      <c r="K138" s="24">
        <v>268.02239420000001</v>
      </c>
      <c r="L138" s="9" t="s">
        <v>22</v>
      </c>
      <c r="M138" s="24">
        <v>0.8</v>
      </c>
      <c r="N138" s="24">
        <v>40.700000000000003</v>
      </c>
      <c r="O138" s="9">
        <f>Table1[[#This Row],[R1 Length (km)]]+Table1[[#This Row],[T1 Length (km)]]</f>
        <v>41.5</v>
      </c>
      <c r="P138" s="26">
        <v>130</v>
      </c>
      <c r="Q138" s="9">
        <f>(Table1[[#This Row],[Linear Features (km)]]*0.4)*100</f>
        <v>1660.0000000000002</v>
      </c>
      <c r="R138" s="24">
        <v>81</v>
      </c>
      <c r="S138" s="3">
        <f>Table1[[#This Row],[ATG (ha)]]/Table1[[#This Row],[Linear Area (ha)]]</f>
        <v>4.879518072289156E-2</v>
      </c>
      <c r="T138" s="2" t="s">
        <v>22</v>
      </c>
      <c r="U138" s="2" t="s">
        <v>22</v>
      </c>
      <c r="V138" s="24">
        <v>81</v>
      </c>
      <c r="W138" s="24">
        <v>32.4</v>
      </c>
      <c r="X138" s="10">
        <v>335.05279999999999</v>
      </c>
      <c r="Y138" s="10">
        <f>Table1[[#This Row],[Raw Terrestrial Score]]/Table1[[#This Row],[Summed Raw Scores]]</f>
        <v>0.43878740891685047</v>
      </c>
      <c r="Z138" s="10">
        <v>428.53519999999997</v>
      </c>
      <c r="AA138" s="10">
        <f>Table1[[#This Row],[Raw Freshwater Score]]/Table1[[#This Row],[Summed Raw Scores]]</f>
        <v>0.56121259108314958</v>
      </c>
      <c r="AB138" s="10">
        <f>Table1[[#This Row],[Raw Terrestrial Score]]+Table1[[#This Row],[Raw Freshwater Score]]</f>
        <v>763.58799999999997</v>
      </c>
      <c r="AC138" s="11">
        <f>Table1[[#This Row],[Terrestrial % of Summed Score]]*Table1[[#This Row],[Scaled Summed Score]]</f>
        <v>4.1169703774752923E-2</v>
      </c>
      <c r="AD138" s="11">
        <f>Table1[[#This Row],[Freshwater % of Summed Score]]*Table1[[#This Row],[Scaled Summed Score]]</f>
        <v>5.265637905743363E-2</v>
      </c>
      <c r="AE138" s="39">
        <f>Table1[[#This Row],[Summed Raw Scores]]/MAX(Table1[Summed Raw Scores])</f>
        <v>9.3826082832186547E-2</v>
      </c>
      <c r="AF138" s="1"/>
    </row>
    <row r="139" spans="1:32" x14ac:dyDescent="0.3">
      <c r="A139" s="8" t="s">
        <v>365</v>
      </c>
      <c r="B139" s="8" t="s">
        <v>58</v>
      </c>
      <c r="C139" s="8" t="s">
        <v>27</v>
      </c>
      <c r="D139" s="8"/>
      <c r="E139" s="24">
        <v>55.770677980000002</v>
      </c>
      <c r="F139" s="24">
        <v>-122.00910759999999</v>
      </c>
      <c r="G139" s="24">
        <v>51.241846150000001</v>
      </c>
      <c r="H139" s="8" t="s">
        <v>22</v>
      </c>
      <c r="I139" s="8" t="s">
        <v>22</v>
      </c>
      <c r="J139" s="24">
        <v>81.389026430000001</v>
      </c>
      <c r="K139" s="24">
        <v>146.09743760000001</v>
      </c>
      <c r="L139" s="9" t="s">
        <v>22</v>
      </c>
      <c r="M139" s="24">
        <v>0.3</v>
      </c>
      <c r="N139" s="24">
        <v>11.5</v>
      </c>
      <c r="O139" s="9">
        <f>Table1[[#This Row],[R1 Length (km)]]+Table1[[#This Row],[T1 Length (km)]]</f>
        <v>11.8</v>
      </c>
      <c r="P139" s="26">
        <v>69</v>
      </c>
      <c r="Q139" s="9">
        <f>(Table1[[#This Row],[Linear Features (km)]]*0.4)*100</f>
        <v>472.00000000000006</v>
      </c>
      <c r="R139" s="24">
        <v>208.17</v>
      </c>
      <c r="S139" s="3">
        <f>Table1[[#This Row],[ATG (ha)]]/Table1[[#This Row],[Linear Area (ha)]]</f>
        <v>0.44103813559322025</v>
      </c>
      <c r="T139" s="2" t="s">
        <v>22</v>
      </c>
      <c r="U139" s="2" t="s">
        <v>22</v>
      </c>
      <c r="V139" s="24">
        <v>208.17</v>
      </c>
      <c r="W139" s="24">
        <v>83.268000000000001</v>
      </c>
      <c r="X139" s="10">
        <v>687.15390000000002</v>
      </c>
      <c r="Y139" s="10">
        <f>Table1[[#This Row],[Raw Terrestrial Score]]/Table1[[#This Row],[Summed Raw Scores]]</f>
        <v>0.49716164024860038</v>
      </c>
      <c r="Z139" s="10">
        <v>695</v>
      </c>
      <c r="AA139" s="10">
        <f>Table1[[#This Row],[Raw Freshwater Score]]/Table1[[#This Row],[Summed Raw Scores]]</f>
        <v>0.50283835975139957</v>
      </c>
      <c r="AB139" s="10">
        <f>Table1[[#This Row],[Raw Terrestrial Score]]+Table1[[#This Row],[Raw Freshwater Score]]</f>
        <v>1382.1539</v>
      </c>
      <c r="AC139" s="11">
        <f>Table1[[#This Row],[Terrestrial % of Summed Score]]*Table1[[#This Row],[Scaled Summed Score]]</f>
        <v>8.4434222041022161E-2</v>
      </c>
      <c r="AD139" s="11">
        <f>Table1[[#This Row],[Freshwater % of Summed Score]]*Table1[[#This Row],[Scaled Summed Score]]</f>
        <v>8.5398313708923715E-2</v>
      </c>
      <c r="AE139" s="39">
        <f>Table1[[#This Row],[Summed Raw Scores]]/MAX(Table1[Summed Raw Scores])</f>
        <v>0.16983253574994589</v>
      </c>
      <c r="AF139" s="1"/>
    </row>
    <row r="140" spans="1:32" x14ac:dyDescent="0.3">
      <c r="A140" s="8" t="s">
        <v>405</v>
      </c>
      <c r="B140" s="8" t="s">
        <v>58</v>
      </c>
      <c r="C140" s="8" t="s">
        <v>27</v>
      </c>
      <c r="D140" s="8"/>
      <c r="E140" s="24">
        <v>55.784245439999999</v>
      </c>
      <c r="F140" s="24">
        <v>-121.9179681</v>
      </c>
      <c r="G140" s="24">
        <v>26.71753846</v>
      </c>
      <c r="H140" s="8" t="s">
        <v>22</v>
      </c>
      <c r="I140" s="8" t="s">
        <v>22</v>
      </c>
      <c r="J140" s="24">
        <v>42.146791669999999</v>
      </c>
      <c r="K140" s="24">
        <v>184.88125360000001</v>
      </c>
      <c r="L140" s="9" t="s">
        <v>22</v>
      </c>
      <c r="M140" s="24">
        <v>0.6</v>
      </c>
      <c r="N140" s="24">
        <v>22</v>
      </c>
      <c r="O140" s="9">
        <f>Table1[[#This Row],[R1 Length (km)]]+Table1[[#This Row],[T1 Length (km)]]</f>
        <v>22.6</v>
      </c>
      <c r="P140" s="26">
        <v>130</v>
      </c>
      <c r="Q140" s="9">
        <f>(Table1[[#This Row],[Linear Features (km)]]*0.4)*100</f>
        <v>904.00000000000011</v>
      </c>
      <c r="R140" s="24">
        <v>108.54</v>
      </c>
      <c r="S140" s="3">
        <f>Table1[[#This Row],[ATG (ha)]]/Table1[[#This Row],[Linear Area (ha)]]</f>
        <v>0.12006637168141591</v>
      </c>
      <c r="T140" s="2" t="s">
        <v>22</v>
      </c>
      <c r="U140" s="2" t="s">
        <v>22</v>
      </c>
      <c r="V140" s="24">
        <v>108.54</v>
      </c>
      <c r="W140" s="24">
        <v>43.415999999999997</v>
      </c>
      <c r="X140" s="10">
        <v>330.00760000000002</v>
      </c>
      <c r="Y140" s="10">
        <f>Table1[[#This Row],[Raw Terrestrial Score]]/Table1[[#This Row],[Summed Raw Scores]]</f>
        <v>0.51297557375385161</v>
      </c>
      <c r="Z140" s="10">
        <v>313.31270000000001</v>
      </c>
      <c r="AA140" s="10">
        <f>Table1[[#This Row],[Raw Freshwater Score]]/Table1[[#This Row],[Summed Raw Scores]]</f>
        <v>0.48702442624614822</v>
      </c>
      <c r="AB140" s="10">
        <f>Table1[[#This Row],[Raw Terrestrial Score]]+Table1[[#This Row],[Raw Freshwater Score]]</f>
        <v>643.32030000000009</v>
      </c>
      <c r="AC140" s="11">
        <f>Table1[[#This Row],[Terrestrial % of Summed Score]]*Table1[[#This Row],[Scaled Summed Score]]</f>
        <v>4.0549773454861895E-2</v>
      </c>
      <c r="AD140" s="11">
        <f>Table1[[#This Row],[Freshwater % of Summed Score]]*Table1[[#This Row],[Scaled Summed Score]]</f>
        <v>3.8498383084302021E-2</v>
      </c>
      <c r="AE140" s="11">
        <f>Table1[[#This Row],[Summed Raw Scores]]/MAX(Table1[Summed Raw Scores])</f>
        <v>7.904815653916393E-2</v>
      </c>
      <c r="AF140" s="1"/>
    </row>
    <row r="141" spans="1:32" x14ac:dyDescent="0.3">
      <c r="A141" s="8" t="s">
        <v>347</v>
      </c>
      <c r="B141" s="8" t="s">
        <v>58</v>
      </c>
      <c r="C141" s="8" t="s">
        <v>27</v>
      </c>
      <c r="D141" s="8"/>
      <c r="E141" s="24">
        <v>55.75465122</v>
      </c>
      <c r="F141" s="24">
        <v>-121.4113148</v>
      </c>
      <c r="G141" s="24">
        <v>15.15323077</v>
      </c>
      <c r="H141" s="8" t="s">
        <v>22</v>
      </c>
      <c r="I141" s="8" t="s">
        <v>22</v>
      </c>
      <c r="J141" s="24">
        <v>24.337930050000001</v>
      </c>
      <c r="K141" s="24">
        <v>140.58458060000001</v>
      </c>
      <c r="L141" s="9" t="s">
        <v>22</v>
      </c>
      <c r="M141" s="24">
        <v>0.3</v>
      </c>
      <c r="N141" s="24">
        <v>15.9</v>
      </c>
      <c r="O141" s="9">
        <f>Table1[[#This Row],[R1 Length (km)]]+Table1[[#This Row],[T1 Length (km)]]</f>
        <v>16.2</v>
      </c>
      <c r="P141" s="26">
        <v>25</v>
      </c>
      <c r="Q141" s="9">
        <f>(Table1[[#This Row],[Linear Features (km)]]*0.4)*100</f>
        <v>648</v>
      </c>
      <c r="R141" s="24">
        <v>61.56</v>
      </c>
      <c r="S141" s="3">
        <f>Table1[[#This Row],[ATG (ha)]]/Table1[[#This Row],[Linear Area (ha)]]</f>
        <v>9.5000000000000001E-2</v>
      </c>
      <c r="T141" s="2" t="s">
        <v>22</v>
      </c>
      <c r="U141" s="2" t="s">
        <v>22</v>
      </c>
      <c r="V141" s="24">
        <v>61.56</v>
      </c>
      <c r="W141" s="24">
        <v>24.623999999999999</v>
      </c>
      <c r="X141" s="10">
        <v>156.6515</v>
      </c>
      <c r="Y141" s="10">
        <f>Table1[[#This Row],[Raw Terrestrial Score]]/Table1[[#This Row],[Summed Raw Scores]]</f>
        <v>0.58418570550609805</v>
      </c>
      <c r="Z141" s="10">
        <v>111.5021</v>
      </c>
      <c r="AA141" s="10">
        <f>Table1[[#This Row],[Raw Freshwater Score]]/Table1[[#This Row],[Summed Raw Scores]]</f>
        <v>0.415814294493902</v>
      </c>
      <c r="AB141" s="10">
        <f>Table1[[#This Row],[Raw Terrestrial Score]]+Table1[[#This Row],[Raw Freshwater Score]]</f>
        <v>268.15359999999998</v>
      </c>
      <c r="AC141" s="11">
        <f>Table1[[#This Row],[Terrestrial % of Summed Score]]*Table1[[#This Row],[Scaled Summed Score]]</f>
        <v>1.9248595597084122E-2</v>
      </c>
      <c r="AD141" s="11">
        <f>Table1[[#This Row],[Freshwater % of Summed Score]]*Table1[[#This Row],[Scaled Summed Score]]</f>
        <v>1.3700850812955084E-2</v>
      </c>
      <c r="AE141" s="11">
        <f>Table1[[#This Row],[Summed Raw Scores]]/MAX(Table1[Summed Raw Scores])</f>
        <v>3.2949446410039204E-2</v>
      </c>
      <c r="AF141" s="1"/>
    </row>
    <row r="142" spans="1:32" x14ac:dyDescent="0.3">
      <c r="A142" s="8" t="s">
        <v>400</v>
      </c>
      <c r="B142" s="8" t="s">
        <v>58</v>
      </c>
      <c r="C142" s="8" t="s">
        <v>59</v>
      </c>
      <c r="D142" s="8"/>
      <c r="E142" s="24">
        <v>55.081857020000001</v>
      </c>
      <c r="F142" s="24">
        <v>-123.10435889999999</v>
      </c>
      <c r="G142" s="24">
        <v>39.876923079999997</v>
      </c>
      <c r="H142" s="8" t="s">
        <v>22</v>
      </c>
      <c r="I142" s="8" t="s">
        <v>22</v>
      </c>
      <c r="J142" s="24">
        <v>60.339512419999998</v>
      </c>
      <c r="K142" s="24">
        <v>164.88743400000001</v>
      </c>
      <c r="L142" s="9" t="s">
        <v>22</v>
      </c>
      <c r="M142" s="24">
        <v>0.4</v>
      </c>
      <c r="N142" s="24">
        <v>21.8</v>
      </c>
      <c r="O142" s="9">
        <f>Table1[[#This Row],[R1 Length (km)]]+Table1[[#This Row],[T1 Length (km)]]</f>
        <v>22.2</v>
      </c>
      <c r="P142" s="26">
        <v>130</v>
      </c>
      <c r="Q142" s="9">
        <f>(Table1[[#This Row],[Linear Features (km)]]*0.4)*100</f>
        <v>888.00000000000011</v>
      </c>
      <c r="R142" s="24">
        <v>162</v>
      </c>
      <c r="S142" s="3">
        <f>Table1[[#This Row],[ATG (ha)]]/Table1[[#This Row],[Linear Area (ha)]]</f>
        <v>0.1824324324324324</v>
      </c>
      <c r="T142" s="2" t="s">
        <v>22</v>
      </c>
      <c r="U142" s="2" t="s">
        <v>22</v>
      </c>
      <c r="V142" s="24">
        <v>162</v>
      </c>
      <c r="W142" s="24">
        <v>64.8</v>
      </c>
      <c r="X142" s="10">
        <v>86.325530000000001</v>
      </c>
      <c r="Y142" s="10">
        <f>Table1[[#This Row],[Raw Terrestrial Score]]/Table1[[#This Row],[Summed Raw Scores]]</f>
        <v>0.32314469572609</v>
      </c>
      <c r="Z142" s="10">
        <v>180.81649999999999</v>
      </c>
      <c r="AA142" s="10">
        <f>Table1[[#This Row],[Raw Freshwater Score]]/Table1[[#This Row],[Summed Raw Scores]]</f>
        <v>0.67685530427391005</v>
      </c>
      <c r="AB142" s="10">
        <f>Table1[[#This Row],[Raw Terrestrial Score]]+Table1[[#This Row],[Raw Freshwater Score]]</f>
        <v>267.14202999999998</v>
      </c>
      <c r="AC142" s="11">
        <f>Table1[[#This Row],[Terrestrial % of Summed Score]]*Table1[[#This Row],[Scaled Summed Score]]</f>
        <v>1.0607272938171375E-2</v>
      </c>
      <c r="AD142" s="11">
        <f>Table1[[#This Row],[Freshwater % of Summed Score]]*Table1[[#This Row],[Scaled Summed Score]]</f>
        <v>2.2217876533452668E-2</v>
      </c>
      <c r="AE142" s="11">
        <f>Table1[[#This Row],[Summed Raw Scores]]/MAX(Table1[Summed Raw Scores])</f>
        <v>3.2825149471624043E-2</v>
      </c>
      <c r="AF142" s="1"/>
    </row>
    <row r="143" spans="1:32" x14ac:dyDescent="0.3">
      <c r="A143" s="8" t="s">
        <v>344</v>
      </c>
      <c r="B143" s="8" t="s">
        <v>58</v>
      </c>
      <c r="C143" s="8" t="s">
        <v>59</v>
      </c>
      <c r="D143" s="8"/>
      <c r="E143" s="24">
        <v>54.985974310000003</v>
      </c>
      <c r="F143" s="24">
        <v>-123.05178960000001</v>
      </c>
      <c r="G143" s="24">
        <v>74.171076920000004</v>
      </c>
      <c r="H143" s="8" t="s">
        <v>22</v>
      </c>
      <c r="I143" s="8" t="s">
        <v>22</v>
      </c>
      <c r="J143" s="24">
        <v>114.2546452</v>
      </c>
      <c r="K143" s="24">
        <v>139.9860371</v>
      </c>
      <c r="L143" s="9" t="s">
        <v>22</v>
      </c>
      <c r="M143" s="24">
        <v>0</v>
      </c>
      <c r="N143" s="24">
        <v>20.7</v>
      </c>
      <c r="O143" s="9">
        <f>Table1[[#This Row],[R1 Length (km)]]+Table1[[#This Row],[T1 Length (km)]]</f>
        <v>20.7</v>
      </c>
      <c r="P143" s="26">
        <v>130</v>
      </c>
      <c r="Q143" s="9">
        <f>(Table1[[#This Row],[Linear Features (km)]]*0.4)*100</f>
        <v>827.99999999999989</v>
      </c>
      <c r="R143" s="24">
        <v>301.32</v>
      </c>
      <c r="S143" s="3">
        <f>Table1[[#This Row],[ATG (ha)]]/Table1[[#This Row],[Linear Area (ha)]]</f>
        <v>0.36391304347826092</v>
      </c>
      <c r="T143" s="2" t="s">
        <v>22</v>
      </c>
      <c r="U143" s="2" t="s">
        <v>22</v>
      </c>
      <c r="V143" s="24">
        <v>301.32</v>
      </c>
      <c r="W143" s="24">
        <v>120.52800000000001</v>
      </c>
      <c r="X143" s="10">
        <v>35.600920000000002</v>
      </c>
      <c r="Y143" s="10">
        <f>Table1[[#This Row],[Raw Terrestrial Score]]/Table1[[#This Row],[Summed Raw Scores]]</f>
        <v>0.2159756977806401</v>
      </c>
      <c r="Z143" s="10">
        <v>129.23670000000001</v>
      </c>
      <c r="AA143" s="10">
        <f>Table1[[#This Row],[Raw Freshwater Score]]/Table1[[#This Row],[Summed Raw Scores]]</f>
        <v>0.78402430221935993</v>
      </c>
      <c r="AB143" s="10">
        <f>Table1[[#This Row],[Raw Terrestrial Score]]+Table1[[#This Row],[Raw Freshwater Score]]</f>
        <v>164.83762000000002</v>
      </c>
      <c r="AC143" s="11">
        <f>Table1[[#This Row],[Terrestrial % of Summed Score]]*Table1[[#This Row],[Scaled Summed Score]]</f>
        <v>4.3744727114910743E-3</v>
      </c>
      <c r="AD143" s="11">
        <f>Table1[[#This Row],[Freshwater % of Summed Score]]*Table1[[#This Row],[Scaled Summed Score]]</f>
        <v>1.5879994603318077E-2</v>
      </c>
      <c r="AE143" s="11">
        <f>Table1[[#This Row],[Summed Raw Scores]]/MAX(Table1[Summed Raw Scores])</f>
        <v>2.0254467314809153E-2</v>
      </c>
      <c r="AF143" s="1"/>
    </row>
    <row r="144" spans="1:32" x14ac:dyDescent="0.3">
      <c r="A144" s="8" t="s">
        <v>399</v>
      </c>
      <c r="B144" s="8" t="s">
        <v>58</v>
      </c>
      <c r="C144" s="8" t="s">
        <v>59</v>
      </c>
      <c r="D144" s="8"/>
      <c r="E144" s="24">
        <v>55.06198088</v>
      </c>
      <c r="F144" s="24">
        <v>-122.89894099999999</v>
      </c>
      <c r="G144" s="24">
        <v>30.306461540000001</v>
      </c>
      <c r="H144" s="8" t="s">
        <v>22</v>
      </c>
      <c r="I144" s="8" t="s">
        <v>22</v>
      </c>
      <c r="J144" s="24">
        <v>45.845137450000003</v>
      </c>
      <c r="K144" s="24">
        <v>163.57335140000001</v>
      </c>
      <c r="L144" s="9" t="s">
        <v>22</v>
      </c>
      <c r="M144" s="24">
        <v>0.8</v>
      </c>
      <c r="N144" s="24">
        <v>7.4</v>
      </c>
      <c r="O144" s="9">
        <f>Table1[[#This Row],[R1 Length (km)]]+Table1[[#This Row],[T1 Length (km)]]</f>
        <v>8.2000000000000011</v>
      </c>
      <c r="P144" s="26">
        <v>130</v>
      </c>
      <c r="Q144" s="9">
        <f>(Table1[[#This Row],[Linear Features (km)]]*0.4)*100</f>
        <v>328.00000000000006</v>
      </c>
      <c r="R144" s="24">
        <v>123.12</v>
      </c>
      <c r="S144" s="3">
        <f>Table1[[#This Row],[ATG (ha)]]/Table1[[#This Row],[Linear Area (ha)]]</f>
        <v>0.37536585365853653</v>
      </c>
      <c r="T144" s="2" t="s">
        <v>22</v>
      </c>
      <c r="U144" s="2" t="s">
        <v>22</v>
      </c>
      <c r="V144" s="24">
        <v>123.12</v>
      </c>
      <c r="W144" s="24">
        <v>49.247999999999998</v>
      </c>
      <c r="X144" s="10">
        <v>75.472059999999999</v>
      </c>
      <c r="Y144" s="10">
        <f>Table1[[#This Row],[Raw Terrestrial Score]]/Table1[[#This Row],[Summed Raw Scores]]</f>
        <v>0.29096174206188052</v>
      </c>
      <c r="Z144" s="10">
        <v>183.9162</v>
      </c>
      <c r="AA144" s="10">
        <f>Table1[[#This Row],[Raw Freshwater Score]]/Table1[[#This Row],[Summed Raw Scores]]</f>
        <v>0.70903825793811948</v>
      </c>
      <c r="AB144" s="10">
        <f>Table1[[#This Row],[Raw Terrestrial Score]]+Table1[[#This Row],[Raw Freshwater Score]]</f>
        <v>259.38826</v>
      </c>
      <c r="AC144" s="11">
        <f>Table1[[#This Row],[Terrestrial % of Summed Score]]*Table1[[#This Row],[Scaled Summed Score]]</f>
        <v>9.2736498649477906E-3</v>
      </c>
      <c r="AD144" s="11">
        <f>Table1[[#This Row],[Freshwater % of Summed Score]]*Table1[[#This Row],[Scaled Summed Score]]</f>
        <v>2.2598753012594473E-2</v>
      </c>
      <c r="AE144" s="11">
        <f>Table1[[#This Row],[Summed Raw Scores]]/MAX(Table1[Summed Raw Scores])</f>
        <v>3.1872402877542262E-2</v>
      </c>
      <c r="AF144" s="1"/>
    </row>
    <row r="145" spans="1:32" x14ac:dyDescent="0.3">
      <c r="A145" s="8" t="s">
        <v>278</v>
      </c>
      <c r="B145" s="8" t="s">
        <v>58</v>
      </c>
      <c r="C145" s="8" t="s">
        <v>59</v>
      </c>
      <c r="D145" s="8"/>
      <c r="E145" s="24">
        <v>55.0759489</v>
      </c>
      <c r="F145" s="24">
        <v>-122.8093126</v>
      </c>
      <c r="G145" s="24">
        <v>116.4406154</v>
      </c>
      <c r="H145" s="8" t="s">
        <v>22</v>
      </c>
      <c r="I145" s="8" t="s">
        <v>22</v>
      </c>
      <c r="J145" s="24">
        <v>175.9141228</v>
      </c>
      <c r="K145" s="24">
        <v>123.5507886</v>
      </c>
      <c r="L145" s="9" t="s">
        <v>22</v>
      </c>
      <c r="M145" s="24">
        <v>0</v>
      </c>
      <c r="N145" s="24">
        <v>0</v>
      </c>
      <c r="O145" s="9">
        <f>Table1[[#This Row],[R1 Length (km)]]+Table1[[#This Row],[T1 Length (km)]]</f>
        <v>0</v>
      </c>
      <c r="P145" s="26">
        <v>130</v>
      </c>
      <c r="Q145" s="9">
        <f>(Table1[[#This Row],[Linear Features (km)]]*0.4)*100</f>
        <v>0</v>
      </c>
      <c r="R145" s="24">
        <v>473.04</v>
      </c>
      <c r="S145" s="3" t="e">
        <f>Table1[[#This Row],[ATG (ha)]]/Table1[[#This Row],[Linear Area (ha)]]</f>
        <v>#DIV/0!</v>
      </c>
      <c r="T145" s="2" t="s">
        <v>22</v>
      </c>
      <c r="U145" s="2" t="s">
        <v>22</v>
      </c>
      <c r="V145" s="24">
        <v>473.04</v>
      </c>
      <c r="W145" s="24">
        <v>189.21600000000001</v>
      </c>
      <c r="X145" s="10">
        <v>104.9173</v>
      </c>
      <c r="Y145" s="10">
        <f>Table1[[#This Row],[Raw Terrestrial Score]]/Table1[[#This Row],[Summed Raw Scores]]</f>
        <v>0.40255497767895687</v>
      </c>
      <c r="Z145" s="10">
        <v>155.71119999999999</v>
      </c>
      <c r="AA145" s="10">
        <f>Table1[[#This Row],[Raw Freshwater Score]]/Table1[[#This Row],[Summed Raw Scores]]</f>
        <v>0.59744502232104324</v>
      </c>
      <c r="AB145" s="10">
        <f>Table1[[#This Row],[Raw Terrestrial Score]]+Table1[[#This Row],[Raw Freshwater Score]]</f>
        <v>260.62849999999997</v>
      </c>
      <c r="AC145" s="11">
        <f>Table1[[#This Row],[Terrestrial % of Summed Score]]*Table1[[#This Row],[Scaled Summed Score]]</f>
        <v>1.2891741725026279E-2</v>
      </c>
      <c r="AD145" s="11">
        <f>Table1[[#This Row],[Freshwater % of Summed Score]]*Table1[[#This Row],[Scaled Summed Score]]</f>
        <v>1.9133055979270452E-2</v>
      </c>
      <c r="AE145" s="11">
        <f>Table1[[#This Row],[Summed Raw Scores]]/MAX(Table1[Summed Raw Scores])</f>
        <v>3.2024797704296726E-2</v>
      </c>
      <c r="AF145" s="1"/>
    </row>
    <row r="146" spans="1:32" x14ac:dyDescent="0.3">
      <c r="A146" s="8" t="s">
        <v>412</v>
      </c>
      <c r="B146" s="8" t="s">
        <v>58</v>
      </c>
      <c r="C146" s="8" t="s">
        <v>59</v>
      </c>
      <c r="D146" s="8"/>
      <c r="E146" s="24">
        <v>54.938044419999997</v>
      </c>
      <c r="F146" s="24">
        <v>-123.0255793</v>
      </c>
      <c r="G146" s="24">
        <v>20.935384620000001</v>
      </c>
      <c r="H146" s="8" t="s">
        <v>22</v>
      </c>
      <c r="I146" s="8" t="s">
        <v>22</v>
      </c>
      <c r="J146" s="24">
        <v>32.375843719999999</v>
      </c>
      <c r="K146" s="24">
        <v>212.58870949999999</v>
      </c>
      <c r="L146" s="9" t="s">
        <v>22</v>
      </c>
      <c r="M146" s="24">
        <v>0.3</v>
      </c>
      <c r="N146" s="24">
        <v>22.1</v>
      </c>
      <c r="O146" s="9">
        <f>Table1[[#This Row],[R1 Length (km)]]+Table1[[#This Row],[T1 Length (km)]]</f>
        <v>22.400000000000002</v>
      </c>
      <c r="P146" s="26">
        <v>130</v>
      </c>
      <c r="Q146" s="9">
        <f>(Table1[[#This Row],[Linear Features (km)]]*0.4)*100</f>
        <v>896.00000000000011</v>
      </c>
      <c r="R146" s="24">
        <v>85.05</v>
      </c>
      <c r="S146" s="3">
        <f>Table1[[#This Row],[ATG (ha)]]/Table1[[#This Row],[Linear Area (ha)]]</f>
        <v>9.4921874999999989E-2</v>
      </c>
      <c r="T146" s="2" t="s">
        <v>22</v>
      </c>
      <c r="U146" s="2" t="s">
        <v>22</v>
      </c>
      <c r="V146" s="24">
        <v>85.05</v>
      </c>
      <c r="W146" s="24">
        <v>34.020000000000003</v>
      </c>
      <c r="X146" s="10">
        <v>45.714950000000002</v>
      </c>
      <c r="Y146" s="10">
        <f>Table1[[#This Row],[Raw Terrestrial Score]]/Table1[[#This Row],[Summed Raw Scores]]</f>
        <v>0.29201323914035654</v>
      </c>
      <c r="Z146" s="10">
        <v>110.836</v>
      </c>
      <c r="AA146" s="10">
        <f>Table1[[#This Row],[Raw Freshwater Score]]/Table1[[#This Row],[Summed Raw Scores]]</f>
        <v>0.7079867608596434</v>
      </c>
      <c r="AB146" s="10">
        <f>Table1[[#This Row],[Raw Terrestrial Score]]+Table1[[#This Row],[Raw Freshwater Score]]</f>
        <v>156.55095</v>
      </c>
      <c r="AC146" s="11">
        <f>Table1[[#This Row],[Terrestrial % of Summed Score]]*Table1[[#This Row],[Scaled Summed Score]]</f>
        <v>5.6172368939392267E-3</v>
      </c>
      <c r="AD146" s="11">
        <f>Table1[[#This Row],[Freshwater % of Summed Score]]*Table1[[#This Row],[Scaled Summed Score]]</f>
        <v>1.3619003594593193E-2</v>
      </c>
      <c r="AE146" s="11">
        <f>Table1[[#This Row],[Summed Raw Scores]]/MAX(Table1[Summed Raw Scores])</f>
        <v>1.9236240488532421E-2</v>
      </c>
      <c r="AF146" s="1"/>
    </row>
    <row r="147" spans="1:32" x14ac:dyDescent="0.3">
      <c r="A147" s="8" t="s">
        <v>403</v>
      </c>
      <c r="B147" s="8" t="s">
        <v>58</v>
      </c>
      <c r="C147" s="8" t="s">
        <v>59</v>
      </c>
      <c r="D147" s="8"/>
      <c r="E147" s="24">
        <v>54.780281860000002</v>
      </c>
      <c r="F147" s="24">
        <v>-123.0363394</v>
      </c>
      <c r="G147" s="24">
        <v>36.686769230000003</v>
      </c>
      <c r="H147" s="8" t="s">
        <v>22</v>
      </c>
      <c r="I147" s="8" t="s">
        <v>22</v>
      </c>
      <c r="J147" s="24">
        <v>59.563433410000002</v>
      </c>
      <c r="K147" s="24">
        <v>179.64696219999999</v>
      </c>
      <c r="L147" s="9" t="s">
        <v>22</v>
      </c>
      <c r="M147" s="24">
        <v>0</v>
      </c>
      <c r="N147" s="24">
        <v>39.799999999999997</v>
      </c>
      <c r="O147" s="9">
        <f>Table1[[#This Row],[R1 Length (km)]]+Table1[[#This Row],[T1 Length (km)]]</f>
        <v>39.799999999999997</v>
      </c>
      <c r="P147" s="26">
        <v>130</v>
      </c>
      <c r="Q147" s="9">
        <f>(Table1[[#This Row],[Linear Features (km)]]*0.4)*100</f>
        <v>1592</v>
      </c>
      <c r="R147" s="24">
        <v>149.04</v>
      </c>
      <c r="S147" s="3">
        <f>Table1[[#This Row],[ATG (ha)]]/Table1[[#This Row],[Linear Area (ha)]]</f>
        <v>9.3618090452261299E-2</v>
      </c>
      <c r="T147" s="2" t="s">
        <v>22</v>
      </c>
      <c r="U147" s="2" t="s">
        <v>22</v>
      </c>
      <c r="V147" s="24">
        <v>149.04</v>
      </c>
      <c r="W147" s="24">
        <v>59.616</v>
      </c>
      <c r="X147" s="10">
        <v>115.6844</v>
      </c>
      <c r="Y147" s="10">
        <f>Table1[[#This Row],[Raw Terrestrial Score]]/Table1[[#This Row],[Summed Raw Scores]]</f>
        <v>0.319691772257016</v>
      </c>
      <c r="Z147" s="10">
        <v>246.17789999999999</v>
      </c>
      <c r="AA147" s="10">
        <f>Table1[[#This Row],[Raw Freshwater Score]]/Table1[[#This Row],[Summed Raw Scores]]</f>
        <v>0.68030822774298394</v>
      </c>
      <c r="AB147" s="10">
        <f>Table1[[#This Row],[Raw Terrestrial Score]]+Table1[[#This Row],[Raw Freshwater Score]]</f>
        <v>361.8623</v>
      </c>
      <c r="AC147" s="11">
        <f>Table1[[#This Row],[Terrestrial % of Summed Score]]*Table1[[#This Row],[Scaled Summed Score]]</f>
        <v>1.4214752061048368E-2</v>
      </c>
      <c r="AD147" s="11">
        <f>Table1[[#This Row],[Freshwater % of Summed Score]]*Table1[[#This Row],[Scaled Summed Score]]</f>
        <v>3.024917630561734E-2</v>
      </c>
      <c r="AE147" s="11">
        <f>Table1[[#This Row],[Summed Raw Scores]]/MAX(Table1[Summed Raw Scores])</f>
        <v>4.4463928366665711E-2</v>
      </c>
      <c r="AF147" s="1"/>
    </row>
    <row r="148" spans="1:32" x14ac:dyDescent="0.3">
      <c r="A148" s="8" t="s">
        <v>374</v>
      </c>
      <c r="B148" s="8" t="s">
        <v>58</v>
      </c>
      <c r="C148" s="8" t="s">
        <v>30</v>
      </c>
      <c r="D148" s="8"/>
      <c r="E148" s="24">
        <v>54.145961499999999</v>
      </c>
      <c r="F148" s="24">
        <v>-124.9931062</v>
      </c>
      <c r="G148" s="24">
        <v>23.128615379999999</v>
      </c>
      <c r="H148" s="8" t="s">
        <v>22</v>
      </c>
      <c r="I148" s="8" t="s">
        <v>22</v>
      </c>
      <c r="J148" s="24">
        <v>37.338652150000001</v>
      </c>
      <c r="K148" s="24">
        <v>151.86548139999999</v>
      </c>
      <c r="L148" s="9" t="s">
        <v>22</v>
      </c>
      <c r="M148" s="24">
        <v>0.3</v>
      </c>
      <c r="N148" s="24">
        <v>8.4</v>
      </c>
      <c r="O148" s="9">
        <f>Table1[[#This Row],[R1 Length (km)]]+Table1[[#This Row],[T1 Length (km)]]</f>
        <v>8.7000000000000011</v>
      </c>
      <c r="P148" s="26">
        <v>69</v>
      </c>
      <c r="Q148" s="9">
        <f>(Table1[[#This Row],[Linear Features (km)]]*0.4)*100</f>
        <v>348.00000000000006</v>
      </c>
      <c r="R148" s="24">
        <v>93.96</v>
      </c>
      <c r="S148" s="3">
        <f>Table1[[#This Row],[ATG (ha)]]/Table1[[#This Row],[Linear Area (ha)]]</f>
        <v>0.26999999999999996</v>
      </c>
      <c r="T148" s="2" t="s">
        <v>22</v>
      </c>
      <c r="U148" s="2" t="s">
        <v>22</v>
      </c>
      <c r="V148" s="24">
        <v>93.96</v>
      </c>
      <c r="W148" s="24">
        <v>37.584000000000003</v>
      </c>
      <c r="X148" s="10">
        <v>60.566499999999998</v>
      </c>
      <c r="Y148" s="10">
        <f>Table1[[#This Row],[Raw Terrestrial Score]]/Table1[[#This Row],[Summed Raw Scores]]</f>
        <v>0.15995750066289668</v>
      </c>
      <c r="Z148" s="10">
        <v>318.07470000000001</v>
      </c>
      <c r="AA148" s="10">
        <f>Table1[[#This Row],[Raw Freshwater Score]]/Table1[[#This Row],[Summed Raw Scores]]</f>
        <v>0.84004249933710329</v>
      </c>
      <c r="AB148" s="10">
        <f>Table1[[#This Row],[Raw Terrestrial Score]]+Table1[[#This Row],[Raw Freshwater Score]]</f>
        <v>378.64120000000003</v>
      </c>
      <c r="AC148" s="11">
        <f>Table1[[#This Row],[Terrestrial % of Summed Score]]*Table1[[#This Row],[Scaled Summed Score]]</f>
        <v>7.4421251327360122E-3</v>
      </c>
      <c r="AD148" s="11">
        <f>Table1[[#This Row],[Freshwater % of Summed Score]]*Table1[[#This Row],[Scaled Summed Score]]</f>
        <v>3.9083515127297561E-2</v>
      </c>
      <c r="AE148" s="11">
        <f>Table1[[#This Row],[Summed Raw Scores]]/MAX(Table1[Summed Raw Scores])</f>
        <v>4.6525640260033571E-2</v>
      </c>
      <c r="AF148" s="1"/>
    </row>
    <row r="149" spans="1:32" x14ac:dyDescent="0.3">
      <c r="A149" s="8" t="s">
        <v>349</v>
      </c>
      <c r="B149" s="8" t="s">
        <v>58</v>
      </c>
      <c r="C149" s="8" t="s">
        <v>30</v>
      </c>
      <c r="D149" s="8"/>
      <c r="E149" s="24">
        <v>54.06850523</v>
      </c>
      <c r="F149" s="24">
        <v>-125.1401281</v>
      </c>
      <c r="G149" s="24">
        <v>30.50584615</v>
      </c>
      <c r="H149" s="8" t="s">
        <v>22</v>
      </c>
      <c r="I149" s="8" t="s">
        <v>22</v>
      </c>
      <c r="J149" s="24">
        <v>48.942919070000002</v>
      </c>
      <c r="K149" s="24">
        <v>140.9820125</v>
      </c>
      <c r="L149" s="9" t="s">
        <v>22</v>
      </c>
      <c r="M149" s="24">
        <v>0</v>
      </c>
      <c r="N149" s="24">
        <v>8.5</v>
      </c>
      <c r="O149" s="9">
        <f>Table1[[#This Row],[R1 Length (km)]]+Table1[[#This Row],[T1 Length (km)]]</f>
        <v>8.5</v>
      </c>
      <c r="P149" s="26">
        <v>69</v>
      </c>
      <c r="Q149" s="9">
        <f>(Table1[[#This Row],[Linear Features (km)]]*0.4)*100</f>
        <v>340.00000000000006</v>
      </c>
      <c r="R149" s="24">
        <v>123.93</v>
      </c>
      <c r="S149" s="3">
        <f>Table1[[#This Row],[ATG (ha)]]/Table1[[#This Row],[Linear Area (ha)]]</f>
        <v>0.36449999999999994</v>
      </c>
      <c r="T149" s="2" t="s">
        <v>22</v>
      </c>
      <c r="U149" s="2" t="s">
        <v>22</v>
      </c>
      <c r="V149" s="24">
        <v>123.93</v>
      </c>
      <c r="W149" s="24">
        <v>49.572000000000003</v>
      </c>
      <c r="X149" s="10">
        <v>15.62341</v>
      </c>
      <c r="Y149" s="10">
        <f>Table1[[#This Row],[Raw Terrestrial Score]]/Table1[[#This Row],[Summed Raw Scores]]</f>
        <v>0.16169383796328446</v>
      </c>
      <c r="Z149" s="10">
        <v>81</v>
      </c>
      <c r="AA149" s="10">
        <f>Table1[[#This Row],[Raw Freshwater Score]]/Table1[[#This Row],[Summed Raw Scores]]</f>
        <v>0.83830616203671549</v>
      </c>
      <c r="AB149" s="10">
        <f>Table1[[#This Row],[Raw Terrestrial Score]]+Table1[[#This Row],[Raw Freshwater Score]]</f>
        <v>96.623410000000007</v>
      </c>
      <c r="AC149" s="11">
        <f>Table1[[#This Row],[Terrestrial % of Summed Score]]*Table1[[#This Row],[Scaled Summed Score]]</f>
        <v>1.919730745875016E-3</v>
      </c>
      <c r="AD149" s="11">
        <f>Table1[[#This Row],[Freshwater % of Summed Score]]*Table1[[#This Row],[Scaled Summed Score]]</f>
        <v>9.9528969934141332E-3</v>
      </c>
      <c r="AE149" s="11">
        <f>Table1[[#This Row],[Summed Raw Scores]]/MAX(Table1[Summed Raw Scores])</f>
        <v>1.1872627739289149E-2</v>
      </c>
      <c r="AF149" s="1"/>
    </row>
    <row r="150" spans="1:32" x14ac:dyDescent="0.3">
      <c r="A150" s="8" t="s">
        <v>364</v>
      </c>
      <c r="B150" s="8" t="s">
        <v>58</v>
      </c>
      <c r="C150" s="8" t="s">
        <v>30</v>
      </c>
      <c r="D150" s="8"/>
      <c r="E150" s="24">
        <v>54.083533119999998</v>
      </c>
      <c r="F150" s="24">
        <v>-125.05285360000001</v>
      </c>
      <c r="G150" s="24">
        <v>24.125538460000001</v>
      </c>
      <c r="H150" s="8" t="s">
        <v>22</v>
      </c>
      <c r="I150" s="8" t="s">
        <v>22</v>
      </c>
      <c r="J150" s="24">
        <v>38.697618769999998</v>
      </c>
      <c r="K150" s="24">
        <v>145.5844884</v>
      </c>
      <c r="L150" s="9" t="s">
        <v>22</v>
      </c>
      <c r="M150" s="24">
        <v>0</v>
      </c>
      <c r="N150" s="24">
        <v>2.8</v>
      </c>
      <c r="O150" s="9">
        <f>Table1[[#This Row],[R1 Length (km)]]+Table1[[#This Row],[T1 Length (km)]]</f>
        <v>2.8</v>
      </c>
      <c r="P150" s="26">
        <v>69</v>
      </c>
      <c r="Q150" s="9">
        <f>(Table1[[#This Row],[Linear Features (km)]]*0.4)*100</f>
        <v>111.99999999999999</v>
      </c>
      <c r="R150" s="24">
        <v>98.01</v>
      </c>
      <c r="S150" s="3">
        <f>Table1[[#This Row],[ATG (ha)]]/Table1[[#This Row],[Linear Area (ha)]]</f>
        <v>0.8750892857142859</v>
      </c>
      <c r="T150" s="2" t="s">
        <v>22</v>
      </c>
      <c r="U150" s="2" t="s">
        <v>22</v>
      </c>
      <c r="V150" s="24">
        <v>98.01</v>
      </c>
      <c r="W150" s="24">
        <v>39.204000000000001</v>
      </c>
      <c r="X150" s="10">
        <v>117.0745</v>
      </c>
      <c r="Y150" s="10">
        <f>Table1[[#This Row],[Raw Terrestrial Score]]/Table1[[#This Row],[Summed Raw Scores]]</f>
        <v>0.23792027426741277</v>
      </c>
      <c r="Z150" s="10">
        <v>375</v>
      </c>
      <c r="AA150" s="10">
        <f>Table1[[#This Row],[Raw Freshwater Score]]/Table1[[#This Row],[Summed Raw Scores]]</f>
        <v>0.7620797257325872</v>
      </c>
      <c r="AB150" s="10">
        <f>Table1[[#This Row],[Raw Terrestrial Score]]+Table1[[#This Row],[Raw Freshwater Score]]</f>
        <v>492.0745</v>
      </c>
      <c r="AC150" s="11">
        <f>Table1[[#This Row],[Terrestrial % of Summed Score]]*Table1[[#This Row],[Scaled Summed Score]]</f>
        <v>1.438556097599337E-2</v>
      </c>
      <c r="AD150" s="11">
        <f>Table1[[#This Row],[Freshwater % of Summed Score]]*Table1[[#This Row],[Scaled Summed Score]]</f>
        <v>4.6078226821361722E-2</v>
      </c>
      <c r="AE150" s="11">
        <f>Table1[[#This Row],[Summed Raw Scores]]/MAX(Table1[Summed Raw Scores])</f>
        <v>6.0463787797355097E-2</v>
      </c>
      <c r="AF150" s="1"/>
    </row>
    <row r="151" spans="1:32" x14ac:dyDescent="0.3">
      <c r="A151" s="8" t="s">
        <v>320</v>
      </c>
      <c r="B151" s="8" t="s">
        <v>58</v>
      </c>
      <c r="C151" s="8" t="s">
        <v>30</v>
      </c>
      <c r="D151" s="8"/>
      <c r="E151" s="24">
        <v>54.05108087</v>
      </c>
      <c r="F151" s="24">
        <v>-124.93800090000001</v>
      </c>
      <c r="G151" s="24">
        <v>41.671384619999998</v>
      </c>
      <c r="H151" s="8" t="s">
        <v>22</v>
      </c>
      <c r="I151" s="8" t="s">
        <v>22</v>
      </c>
      <c r="J151" s="24">
        <v>66.293952809999993</v>
      </c>
      <c r="K151" s="24">
        <v>131.9197762</v>
      </c>
      <c r="L151" s="9" t="s">
        <v>22</v>
      </c>
      <c r="M151" s="24">
        <v>0.6</v>
      </c>
      <c r="N151" s="24">
        <v>6.2</v>
      </c>
      <c r="O151" s="9">
        <f>Table1[[#This Row],[R1 Length (km)]]+Table1[[#This Row],[T1 Length (km)]]</f>
        <v>6.8</v>
      </c>
      <c r="P151" s="26">
        <v>69</v>
      </c>
      <c r="Q151" s="9">
        <f>(Table1[[#This Row],[Linear Features (km)]]*0.4)*100</f>
        <v>272</v>
      </c>
      <c r="R151" s="24">
        <v>169.29</v>
      </c>
      <c r="S151" s="3">
        <f>Table1[[#This Row],[ATG (ha)]]/Table1[[#This Row],[Linear Area (ha)]]</f>
        <v>0.62238970588235287</v>
      </c>
      <c r="T151" s="2" t="s">
        <v>22</v>
      </c>
      <c r="U151" s="2" t="s">
        <v>22</v>
      </c>
      <c r="V151" s="24">
        <v>169.29</v>
      </c>
      <c r="W151" s="24">
        <v>67.715999999999994</v>
      </c>
      <c r="X151" s="10">
        <v>151.24119999999999</v>
      </c>
      <c r="Y151" s="10">
        <f>Table1[[#This Row],[Raw Terrestrial Score]]/Table1[[#This Row],[Summed Raw Scores]]</f>
        <v>0.31427317528091941</v>
      </c>
      <c r="Z151" s="10">
        <v>330</v>
      </c>
      <c r="AA151" s="10">
        <f>Table1[[#This Row],[Raw Freshwater Score]]/Table1[[#This Row],[Summed Raw Scores]]</f>
        <v>0.68572682471908064</v>
      </c>
      <c r="AB151" s="10">
        <f>Table1[[#This Row],[Raw Terrestrial Score]]+Table1[[#This Row],[Raw Freshwater Score]]</f>
        <v>481.24119999999999</v>
      </c>
      <c r="AC151" s="11">
        <f>Table1[[#This Row],[Terrestrial % of Summed Score]]*Table1[[#This Row],[Scaled Summed Score]]</f>
        <v>1.858380351555982E-2</v>
      </c>
      <c r="AD151" s="11">
        <f>Table1[[#This Row],[Freshwater % of Summed Score]]*Table1[[#This Row],[Scaled Summed Score]]</f>
        <v>4.0548839602798321E-2</v>
      </c>
      <c r="AE151" s="11">
        <f>Table1[[#This Row],[Summed Raw Scores]]/MAX(Table1[Summed Raw Scores])</f>
        <v>5.9132643118358134E-2</v>
      </c>
      <c r="AF151" s="1"/>
    </row>
    <row r="152" spans="1:32" x14ac:dyDescent="0.3">
      <c r="A152" s="8" t="s">
        <v>307</v>
      </c>
      <c r="B152" s="8" t="s">
        <v>58</v>
      </c>
      <c r="C152" s="8" t="s">
        <v>30</v>
      </c>
      <c r="D152" s="8"/>
      <c r="E152" s="24">
        <v>54.12836059</v>
      </c>
      <c r="F152" s="24">
        <v>-124.7907251</v>
      </c>
      <c r="G152" s="24">
        <v>51.84</v>
      </c>
      <c r="H152" s="8" t="s">
        <v>22</v>
      </c>
      <c r="I152" s="8" t="s">
        <v>22</v>
      </c>
      <c r="J152" s="24">
        <v>83.822115069999995</v>
      </c>
      <c r="K152" s="24">
        <v>129.70126819999999</v>
      </c>
      <c r="L152" s="9" t="s">
        <v>22</v>
      </c>
      <c r="M152" s="24">
        <v>0</v>
      </c>
      <c r="N152" s="24">
        <v>15.1</v>
      </c>
      <c r="O152" s="9">
        <f>Table1[[#This Row],[R1 Length (km)]]+Table1[[#This Row],[T1 Length (km)]]</f>
        <v>15.1</v>
      </c>
      <c r="P152" s="26">
        <v>69</v>
      </c>
      <c r="Q152" s="9">
        <f>(Table1[[#This Row],[Linear Features (km)]]*0.4)*100</f>
        <v>604</v>
      </c>
      <c r="R152" s="24">
        <v>210.6</v>
      </c>
      <c r="S152" s="3">
        <f>Table1[[#This Row],[ATG (ha)]]/Table1[[#This Row],[Linear Area (ha)]]</f>
        <v>0.3486754966887417</v>
      </c>
      <c r="T152" s="2" t="s">
        <v>22</v>
      </c>
      <c r="U152" s="2" t="s">
        <v>22</v>
      </c>
      <c r="V152" s="24">
        <v>210.6</v>
      </c>
      <c r="W152" s="24">
        <v>84.24</v>
      </c>
      <c r="X152" s="10">
        <v>100.8704</v>
      </c>
      <c r="Y152" s="10">
        <f>Table1[[#This Row],[Raw Terrestrial Score]]/Table1[[#This Row],[Summed Raw Scores]]</f>
        <v>0.28870117328927991</v>
      </c>
      <c r="Z152" s="10">
        <v>248.52340000000001</v>
      </c>
      <c r="AA152" s="10">
        <f>Table1[[#This Row],[Raw Freshwater Score]]/Table1[[#This Row],[Summed Raw Scores]]</f>
        <v>0.71129882671072009</v>
      </c>
      <c r="AB152" s="10">
        <f>Table1[[#This Row],[Raw Terrestrial Score]]+Table1[[#This Row],[Raw Freshwater Score]]</f>
        <v>349.3938</v>
      </c>
      <c r="AC152" s="11">
        <f>Table1[[#This Row],[Terrestrial % of Summed Score]]*Table1[[#This Row],[Scaled Summed Score]]</f>
        <v>1.2394477788697296E-2</v>
      </c>
      <c r="AD152" s="11">
        <f>Table1[[#This Row],[Freshwater % of Summed Score]]*Table1[[#This Row],[Scaled Summed Score]]</f>
        <v>3.0537380254976022E-2</v>
      </c>
      <c r="AE152" s="11">
        <f>Table1[[#This Row],[Summed Raw Scores]]/MAX(Table1[Summed Raw Scores])</f>
        <v>4.2931858043673318E-2</v>
      </c>
      <c r="AF152" s="1"/>
    </row>
    <row r="153" spans="1:32" x14ac:dyDescent="0.3">
      <c r="A153" s="8" t="s">
        <v>311</v>
      </c>
      <c r="B153" s="8" t="s">
        <v>58</v>
      </c>
      <c r="C153" s="8" t="s">
        <v>59</v>
      </c>
      <c r="D153" s="8"/>
      <c r="E153" s="24">
        <v>54.116658860000001</v>
      </c>
      <c r="F153" s="24">
        <v>-122.9649916</v>
      </c>
      <c r="G153" s="24">
        <v>50.444307690000002</v>
      </c>
      <c r="H153" s="8" t="s">
        <v>22</v>
      </c>
      <c r="I153" s="8" t="s">
        <v>22</v>
      </c>
      <c r="J153" s="24">
        <v>81.337953279999994</v>
      </c>
      <c r="K153" s="24">
        <v>130.64257370000001</v>
      </c>
      <c r="L153" s="9" t="s">
        <v>22</v>
      </c>
      <c r="M153" s="24">
        <v>1.3</v>
      </c>
      <c r="N153" s="24">
        <v>15.9</v>
      </c>
      <c r="O153" s="9">
        <f>Table1[[#This Row],[R1 Length (km)]]+Table1[[#This Row],[T1 Length (km)]]</f>
        <v>17.2</v>
      </c>
      <c r="P153" s="26">
        <v>69</v>
      </c>
      <c r="Q153" s="9">
        <f>(Table1[[#This Row],[Linear Features (km)]]*0.4)*100</f>
        <v>688</v>
      </c>
      <c r="R153" s="24">
        <v>204.93</v>
      </c>
      <c r="S153" s="3">
        <f>Table1[[#This Row],[ATG (ha)]]/Table1[[#This Row],[Linear Area (ha)]]</f>
        <v>0.29786337209302327</v>
      </c>
      <c r="T153" s="2" t="s">
        <v>22</v>
      </c>
      <c r="U153" s="2" t="s">
        <v>22</v>
      </c>
      <c r="V153" s="24">
        <v>204.93</v>
      </c>
      <c r="W153" s="24">
        <v>81.971999999999994</v>
      </c>
      <c r="X153" s="10">
        <v>146.4109</v>
      </c>
      <c r="Y153" s="10">
        <f>Table1[[#This Row],[Raw Terrestrial Score]]/Table1[[#This Row],[Summed Raw Scores]]</f>
        <v>0.28351282645117165</v>
      </c>
      <c r="Z153" s="10">
        <v>370.00630000000001</v>
      </c>
      <c r="AA153" s="10">
        <f>Table1[[#This Row],[Raw Freshwater Score]]/Table1[[#This Row],[Summed Raw Scores]]</f>
        <v>0.7164871735488284</v>
      </c>
      <c r="AB153" s="10">
        <f>Table1[[#This Row],[Raw Terrestrial Score]]+Table1[[#This Row],[Raw Freshwater Score]]</f>
        <v>516.41719999999998</v>
      </c>
      <c r="AC153" s="11">
        <f>Table1[[#This Row],[Terrestrial % of Summed Score]]*Table1[[#This Row],[Scaled Summed Score]]</f>
        <v>1.7990279091519224E-2</v>
      </c>
      <c r="AD153" s="11">
        <f>Table1[[#This Row],[Freshwater % of Summed Score]]*Table1[[#This Row],[Scaled Summed Score]]</f>
        <v>4.5464624577954166E-2</v>
      </c>
      <c r="AE153" s="11">
        <f>Table1[[#This Row],[Summed Raw Scores]]/MAX(Table1[Summed Raw Scores])</f>
        <v>6.3454903669473386E-2</v>
      </c>
      <c r="AF153" s="1"/>
    </row>
    <row r="154" spans="1:32" x14ac:dyDescent="0.3">
      <c r="A154" s="8" t="s">
        <v>282</v>
      </c>
      <c r="B154" s="8" t="s">
        <v>58</v>
      </c>
      <c r="C154" s="8" t="s">
        <v>59</v>
      </c>
      <c r="D154" s="8"/>
      <c r="E154" s="24">
        <v>54.054946289999997</v>
      </c>
      <c r="F154" s="24">
        <v>-123.0271485</v>
      </c>
      <c r="G154" s="24">
        <v>185.42769229999999</v>
      </c>
      <c r="H154" s="8" t="s">
        <v>22</v>
      </c>
      <c r="I154" s="8" t="s">
        <v>22</v>
      </c>
      <c r="J154" s="24">
        <v>301.61394189999999</v>
      </c>
      <c r="K154" s="24">
        <v>124.50190360000001</v>
      </c>
      <c r="L154" s="9" t="s">
        <v>22</v>
      </c>
      <c r="M154" s="24">
        <v>0.3</v>
      </c>
      <c r="N154" s="24">
        <v>32.200000000000003</v>
      </c>
      <c r="O154" s="9">
        <f>Table1[[#This Row],[R1 Length (km)]]+Table1[[#This Row],[T1 Length (km)]]</f>
        <v>32.5</v>
      </c>
      <c r="P154" s="26">
        <v>230</v>
      </c>
      <c r="Q154" s="9">
        <f>(Table1[[#This Row],[Linear Features (km)]]*0.4)*100</f>
        <v>1300</v>
      </c>
      <c r="R154" s="24">
        <v>753.3</v>
      </c>
      <c r="S154" s="3">
        <f>Table1[[#This Row],[ATG (ha)]]/Table1[[#This Row],[Linear Area (ha)]]</f>
        <v>0.57946153846153847</v>
      </c>
      <c r="T154" s="2" t="s">
        <v>22</v>
      </c>
      <c r="U154" s="2" t="s">
        <v>22</v>
      </c>
      <c r="V154" s="24">
        <v>753.3</v>
      </c>
      <c r="W154" s="24">
        <v>301.32</v>
      </c>
      <c r="X154" s="10">
        <v>227.6711</v>
      </c>
      <c r="Y154" s="10">
        <f>Table1[[#This Row],[Raw Terrestrial Score]]/Table1[[#This Row],[Summed Raw Scores]]</f>
        <v>0.38230670868040423</v>
      </c>
      <c r="Z154" s="10">
        <v>367.84840000000003</v>
      </c>
      <c r="AA154" s="10">
        <f>Table1[[#This Row],[Raw Freshwater Score]]/Table1[[#This Row],[Summed Raw Scores]]</f>
        <v>0.61769329131959583</v>
      </c>
      <c r="AB154" s="10">
        <f>Table1[[#This Row],[Raw Terrestrial Score]]+Table1[[#This Row],[Raw Freshwater Score]]</f>
        <v>595.51949999999999</v>
      </c>
      <c r="AC154" s="11">
        <f>Table1[[#This Row],[Terrestrial % of Summed Score]]*Table1[[#This Row],[Scaled Summed Score]]</f>
        <v>2.7975148230583804E-2</v>
      </c>
      <c r="AD154" s="11">
        <f>Table1[[#This Row],[Freshwater % of Summed Score]]*Table1[[#This Row],[Scaled Summed Score]]</f>
        <v>4.5199472029533332E-2</v>
      </c>
      <c r="AE154" s="11">
        <f>Table1[[#This Row],[Summed Raw Scores]]/MAX(Table1[Summed Raw Scores])</f>
        <v>7.3174620260117132E-2</v>
      </c>
      <c r="AF154" s="1"/>
    </row>
    <row r="155" spans="1:32" x14ac:dyDescent="0.3">
      <c r="A155" s="8" t="s">
        <v>283</v>
      </c>
      <c r="B155" s="8" t="s">
        <v>58</v>
      </c>
      <c r="C155" s="8" t="s">
        <v>59</v>
      </c>
      <c r="D155" s="8"/>
      <c r="E155" s="24">
        <v>54.068912679999997</v>
      </c>
      <c r="F155" s="24">
        <v>-122.9393031</v>
      </c>
      <c r="G155" s="24">
        <v>110.2596923</v>
      </c>
      <c r="H155" s="8" t="s">
        <v>22</v>
      </c>
      <c r="I155" s="8" t="s">
        <v>22</v>
      </c>
      <c r="J155" s="24">
        <v>177.839686</v>
      </c>
      <c r="K155" s="24">
        <v>124.6004799</v>
      </c>
      <c r="L155" s="9" t="s">
        <v>22</v>
      </c>
      <c r="M155" s="24">
        <v>2.1</v>
      </c>
      <c r="N155" s="24">
        <v>24.3</v>
      </c>
      <c r="O155" s="9">
        <f>Table1[[#This Row],[R1 Length (km)]]+Table1[[#This Row],[T1 Length (km)]]</f>
        <v>26.400000000000002</v>
      </c>
      <c r="P155" s="26">
        <v>130</v>
      </c>
      <c r="Q155" s="9">
        <f>(Table1[[#This Row],[Linear Features (km)]]*0.4)*100</f>
        <v>1056.0000000000002</v>
      </c>
      <c r="R155" s="24">
        <v>447.93</v>
      </c>
      <c r="S155" s="3">
        <f>Table1[[#This Row],[ATG (ha)]]/Table1[[#This Row],[Linear Area (ha)]]</f>
        <v>0.42417613636363627</v>
      </c>
      <c r="T155" s="2" t="s">
        <v>22</v>
      </c>
      <c r="U155" s="2" t="s">
        <v>22</v>
      </c>
      <c r="V155" s="24">
        <v>447.93</v>
      </c>
      <c r="W155" s="24">
        <v>179.172</v>
      </c>
      <c r="X155" s="10">
        <f>274.4555</f>
        <v>274.45549999999997</v>
      </c>
      <c r="Y155" s="10">
        <f>Table1[[#This Row],[Raw Terrestrial Score]]/Table1[[#This Row],[Summed Raw Scores]]</f>
        <v>0.31623323015199511</v>
      </c>
      <c r="Z155" s="10">
        <v>593.43399999999997</v>
      </c>
      <c r="AA155" s="10">
        <f>Table1[[#This Row],[Raw Freshwater Score]]/Table1[[#This Row],[Summed Raw Scores]]</f>
        <v>0.68376676984800477</v>
      </c>
      <c r="AB155" s="10">
        <f>Table1[[#This Row],[Raw Terrestrial Score]]+Table1[[#This Row],[Raw Freshwater Score]]</f>
        <v>867.8895</v>
      </c>
      <c r="AC155" s="11">
        <f>Table1[[#This Row],[Terrestrial % of Summed Score]]*Table1[[#This Row],[Scaled Summed Score]]</f>
        <v>3.3723794083653974E-2</v>
      </c>
      <c r="AD155" s="11">
        <f>Table1[[#This Row],[Freshwater % of Summed Score]]*Table1[[#This Row],[Scaled Summed Score]]</f>
        <v>7.2918363881354586E-2</v>
      </c>
      <c r="AE155" s="39">
        <f>Table1[[#This Row],[Summed Raw Scores]]/MAX(Table1[Summed Raw Scores])</f>
        <v>0.10664215796500857</v>
      </c>
      <c r="AF155" s="1"/>
    </row>
    <row r="156" spans="1:32" x14ac:dyDescent="0.3">
      <c r="A156" s="8" t="s">
        <v>265</v>
      </c>
      <c r="B156" s="8" t="s">
        <v>58</v>
      </c>
      <c r="C156" s="8" t="s">
        <v>59</v>
      </c>
      <c r="D156" s="8"/>
      <c r="E156" s="24">
        <v>54.13059775</v>
      </c>
      <c r="F156" s="24">
        <v>-122.87702400000001</v>
      </c>
      <c r="G156" s="24">
        <v>135.7809231</v>
      </c>
      <c r="H156" s="8" t="s">
        <v>22</v>
      </c>
      <c r="I156" s="8" t="s">
        <v>22</v>
      </c>
      <c r="J156" s="24">
        <v>215.1798311</v>
      </c>
      <c r="K156" s="24">
        <v>121.23780170000001</v>
      </c>
      <c r="L156" s="9" t="s">
        <v>22</v>
      </c>
      <c r="M156" s="24">
        <v>1.6</v>
      </c>
      <c r="N156" s="24">
        <v>17.5</v>
      </c>
      <c r="O156" s="9">
        <f>Table1[[#This Row],[R1 Length (km)]]+Table1[[#This Row],[T1 Length (km)]]</f>
        <v>19.100000000000001</v>
      </c>
      <c r="P156" s="26">
        <v>130</v>
      </c>
      <c r="Q156" s="9">
        <f>(Table1[[#This Row],[Linear Features (km)]]*0.4)*100</f>
        <v>764</v>
      </c>
      <c r="R156" s="24">
        <v>551.61</v>
      </c>
      <c r="S156" s="3">
        <f>Table1[[#This Row],[ATG (ha)]]/Table1[[#This Row],[Linear Area (ha)]]</f>
        <v>0.72200261780104713</v>
      </c>
      <c r="T156" s="2" t="s">
        <v>22</v>
      </c>
      <c r="U156" s="2" t="s">
        <v>22</v>
      </c>
      <c r="V156" s="24">
        <v>551.61</v>
      </c>
      <c r="W156" s="24">
        <v>220.64400000000001</v>
      </c>
      <c r="X156" s="10">
        <v>301.17189999999999</v>
      </c>
      <c r="Y156" s="10">
        <f>Table1[[#This Row],[Raw Terrestrial Score]]/Table1[[#This Row],[Summed Raw Scores]]</f>
        <v>0.45372048602035397</v>
      </c>
      <c r="Z156" s="10">
        <v>362.61099999999999</v>
      </c>
      <c r="AA156" s="10">
        <f>Table1[[#This Row],[Raw Freshwater Score]]/Table1[[#This Row],[Summed Raw Scores]]</f>
        <v>0.54627951397964614</v>
      </c>
      <c r="AB156" s="10">
        <f>Table1[[#This Row],[Raw Terrestrial Score]]+Table1[[#This Row],[Raw Freshwater Score]]</f>
        <v>663.78289999999993</v>
      </c>
      <c r="AC156" s="11">
        <f>Table1[[#This Row],[Terrestrial % of Summed Score]]*Table1[[#This Row],[Scaled Summed Score]]</f>
        <v>3.7006578987787926E-2</v>
      </c>
      <c r="AD156" s="11">
        <f>Table1[[#This Row],[Freshwater % of Summed Score]]*Table1[[#This Row],[Scaled Summed Score]]</f>
        <v>4.4555925082455462E-2</v>
      </c>
      <c r="AE156" s="11">
        <f>Table1[[#This Row],[Summed Raw Scores]]/MAX(Table1[Summed Raw Scores])</f>
        <v>8.1562504070243375E-2</v>
      </c>
      <c r="AF156" s="1"/>
    </row>
    <row r="157" spans="1:32" x14ac:dyDescent="0.3">
      <c r="A157" s="8" t="s">
        <v>57</v>
      </c>
      <c r="B157" s="8" t="s">
        <v>58</v>
      </c>
      <c r="C157" s="8" t="s">
        <v>59</v>
      </c>
      <c r="D157" s="8"/>
      <c r="E157" s="9">
        <v>54.144493179999998</v>
      </c>
      <c r="F157" s="9">
        <v>-122.7890088</v>
      </c>
      <c r="G157" s="9">
        <v>215.933538462</v>
      </c>
      <c r="H157" s="9" t="s">
        <v>22</v>
      </c>
      <c r="I157" s="9" t="s">
        <v>22</v>
      </c>
      <c r="J157" s="9">
        <v>341.24863688479297</v>
      </c>
      <c r="K157" s="9">
        <v>102.9148728582885</v>
      </c>
      <c r="L157" s="9" t="s">
        <v>22</v>
      </c>
      <c r="M157" s="9">
        <v>0.6</v>
      </c>
      <c r="N157" s="9">
        <v>11.3</v>
      </c>
      <c r="O157" s="9">
        <f>Table1[[#This Row],[R1 Length (km)]]+Table1[[#This Row],[T1 Length (km)]]</f>
        <v>11.9</v>
      </c>
      <c r="P157" s="8">
        <v>230</v>
      </c>
      <c r="Q157" s="9">
        <f>(Table1[[#This Row],[Linear Features (km)]]*0.4)*100</f>
        <v>476.00000000000006</v>
      </c>
      <c r="R157" s="9">
        <v>720.9</v>
      </c>
      <c r="S157" s="18">
        <f>Table1[[#This Row],[ATG (ha)]]/Table1[[#This Row],[Linear Area (ha)]]</f>
        <v>1.5144957983193275</v>
      </c>
      <c r="T157" s="2" t="s">
        <v>22</v>
      </c>
      <c r="U157" s="2" t="s">
        <v>22</v>
      </c>
      <c r="V157" s="9">
        <v>720.9</v>
      </c>
      <c r="W157" s="9">
        <v>288.36</v>
      </c>
      <c r="X157" s="10">
        <v>218.73400000000001</v>
      </c>
      <c r="Y157" s="10">
        <f>Table1[[#This Row],[Raw Terrestrial Score]]/Table1[[#This Row],[Summed Raw Scores]]</f>
        <v>0.48654880536023593</v>
      </c>
      <c r="Z157" s="10">
        <v>230.82830000000001</v>
      </c>
      <c r="AA157" s="10">
        <f>Table1[[#This Row],[Raw Freshwater Score]]/Table1[[#This Row],[Summed Raw Scores]]</f>
        <v>0.51345119463976407</v>
      </c>
      <c r="AB157" s="10">
        <f>Table1[[#This Row],[Raw Terrestrial Score]]+Table1[[#This Row],[Raw Freshwater Score]]</f>
        <v>449.56230000000005</v>
      </c>
      <c r="AC157" s="11">
        <f>Table1[[#This Row],[Terrestrial % of Summed Score]]*Table1[[#This Row],[Scaled Summed Score]]</f>
        <v>2.6876999641449961E-2</v>
      </c>
      <c r="AD157" s="11">
        <f>Table1[[#This Row],[Freshwater % of Summed Score]]*Table1[[#This Row],[Scaled Summed Score]]</f>
        <v>2.8363090037838219E-2</v>
      </c>
      <c r="AE157" s="11">
        <f>Table1[[#This Row],[Summed Raw Scores]]/MAX(Table1[Summed Raw Scores])</f>
        <v>5.524008967928818E-2</v>
      </c>
      <c r="AF157" s="1"/>
    </row>
    <row r="158" spans="1:32" x14ac:dyDescent="0.3">
      <c r="A158" s="8" t="s">
        <v>342</v>
      </c>
      <c r="B158" s="8" t="s">
        <v>58</v>
      </c>
      <c r="C158" s="8" t="s">
        <v>59</v>
      </c>
      <c r="D158" s="8"/>
      <c r="E158" s="24">
        <v>54.082835680000002</v>
      </c>
      <c r="F158" s="24">
        <v>-122.8514101</v>
      </c>
      <c r="G158" s="24">
        <v>34.493538460000003</v>
      </c>
      <c r="H158" s="8" t="s">
        <v>22</v>
      </c>
      <c r="I158" s="8" t="s">
        <v>22</v>
      </c>
      <c r="J158" s="24">
        <v>54.918278970000003</v>
      </c>
      <c r="K158" s="24">
        <v>138.5312735</v>
      </c>
      <c r="L158" s="9" t="s">
        <v>22</v>
      </c>
      <c r="M158" s="24">
        <v>0</v>
      </c>
      <c r="N158" s="24">
        <v>9.5</v>
      </c>
      <c r="O158" s="9">
        <f>Table1[[#This Row],[R1 Length (km)]]+Table1[[#This Row],[T1 Length (km)]]</f>
        <v>9.5</v>
      </c>
      <c r="P158" s="26">
        <v>69</v>
      </c>
      <c r="Q158" s="9">
        <f>(Table1[[#This Row],[Linear Features (km)]]*0.4)*100</f>
        <v>380</v>
      </c>
      <c r="R158" s="24">
        <v>140.13</v>
      </c>
      <c r="S158" s="3">
        <f>Table1[[#This Row],[ATG (ha)]]/Table1[[#This Row],[Linear Area (ha)]]</f>
        <v>0.36876315789473685</v>
      </c>
      <c r="T158" s="2" t="s">
        <v>22</v>
      </c>
      <c r="U158" s="2" t="s">
        <v>22</v>
      </c>
      <c r="V158" s="24">
        <v>140.13</v>
      </c>
      <c r="W158" s="24">
        <v>56.052</v>
      </c>
      <c r="X158" s="10">
        <v>124.5668</v>
      </c>
      <c r="Y158" s="10">
        <f>Table1[[#This Row],[Raw Terrestrial Score]]/Table1[[#This Row],[Summed Raw Scores]]</f>
        <v>0.3670068916101254</v>
      </c>
      <c r="Z158" s="10">
        <v>214.8459</v>
      </c>
      <c r="AA158" s="10">
        <f>Table1[[#This Row],[Raw Freshwater Score]]/Table1[[#This Row],[Summed Raw Scores]]</f>
        <v>0.63299310838987466</v>
      </c>
      <c r="AB158" s="10">
        <f>Table1[[#This Row],[Raw Terrestrial Score]]+Table1[[#This Row],[Raw Freshwater Score]]</f>
        <v>339.41269999999997</v>
      </c>
      <c r="AC158" s="11">
        <f>Table1[[#This Row],[Terrestrial % of Summed Score]]*Table1[[#This Row],[Scaled Summed Score]]</f>
        <v>1.5306179372829872E-2</v>
      </c>
      <c r="AD158" s="11">
        <f>Table1[[#This Row],[Freshwater % of Summed Score]]*Table1[[#This Row],[Scaled Summed Score]]</f>
        <v>2.639924829823893E-2</v>
      </c>
      <c r="AE158" s="11">
        <f>Table1[[#This Row],[Summed Raw Scores]]/MAX(Table1[Summed Raw Scores])</f>
        <v>4.1705427671068801E-2</v>
      </c>
      <c r="AF158" s="1"/>
    </row>
    <row r="159" spans="1:32" x14ac:dyDescent="0.3">
      <c r="A159" s="8" t="s">
        <v>271</v>
      </c>
      <c r="B159" s="8" t="s">
        <v>58</v>
      </c>
      <c r="C159" s="8" t="s">
        <v>59</v>
      </c>
      <c r="D159" s="8"/>
      <c r="E159" s="24">
        <v>54.096715250000003</v>
      </c>
      <c r="F159" s="24">
        <v>-122.7634697</v>
      </c>
      <c r="G159" s="24">
        <v>160.50461540000001</v>
      </c>
      <c r="H159" s="8" t="s">
        <v>22</v>
      </c>
      <c r="I159" s="8" t="s">
        <v>22</v>
      </c>
      <c r="J159" s="24">
        <v>253.24756149999999</v>
      </c>
      <c r="K159" s="24">
        <v>122.3110527</v>
      </c>
      <c r="L159" s="9" t="s">
        <v>22</v>
      </c>
      <c r="M159" s="24">
        <v>0</v>
      </c>
      <c r="N159" s="24">
        <v>11.4</v>
      </c>
      <c r="O159" s="9">
        <f>Table1[[#This Row],[R1 Length (km)]]+Table1[[#This Row],[T1 Length (km)]]</f>
        <v>11.4</v>
      </c>
      <c r="P159" s="26">
        <v>230</v>
      </c>
      <c r="Q159" s="9">
        <f>(Table1[[#This Row],[Linear Features (km)]]*0.4)*100</f>
        <v>456.00000000000006</v>
      </c>
      <c r="R159" s="24">
        <v>652.04999999999995</v>
      </c>
      <c r="S159" s="3">
        <f>Table1[[#This Row],[ATG (ha)]]/Table1[[#This Row],[Linear Area (ha)]]</f>
        <v>1.4299342105263155</v>
      </c>
      <c r="T159" s="2" t="s">
        <v>22</v>
      </c>
      <c r="U159" s="2" t="s">
        <v>22</v>
      </c>
      <c r="V159" s="24">
        <v>652.04999999999995</v>
      </c>
      <c r="W159" s="24">
        <v>260.82</v>
      </c>
      <c r="X159" s="10">
        <v>133.82859999999999</v>
      </c>
      <c r="Y159" s="10">
        <f>Table1[[#This Row],[Raw Terrestrial Score]]/Table1[[#This Row],[Summed Raw Scores]]</f>
        <v>0.49816003079147336</v>
      </c>
      <c r="Z159" s="10">
        <v>134.81720000000001</v>
      </c>
      <c r="AA159" s="10">
        <f>Table1[[#This Row],[Raw Freshwater Score]]/Table1[[#This Row],[Summed Raw Scores]]</f>
        <v>0.50183996920852669</v>
      </c>
      <c r="AB159" s="10">
        <f>Table1[[#This Row],[Raw Terrestrial Score]]+Table1[[#This Row],[Raw Freshwater Score]]</f>
        <v>268.64580000000001</v>
      </c>
      <c r="AC159" s="11">
        <f>Table1[[#This Row],[Terrestrial % of Summed Score]]*Table1[[#This Row],[Scaled Summed Score]]</f>
        <v>1.6444225562627441E-2</v>
      </c>
      <c r="AD159" s="11">
        <f>Table1[[#This Row],[Freshwater % of Summed Score]]*Table1[[#This Row],[Scaled Summed Score]]</f>
        <v>1.6565700056055704E-2</v>
      </c>
      <c r="AE159" s="11">
        <f>Table1[[#This Row],[Summed Raw Scores]]/MAX(Table1[Summed Raw Scores])</f>
        <v>3.3009925618683142E-2</v>
      </c>
      <c r="AF159" s="1"/>
    </row>
    <row r="160" spans="1:32" x14ac:dyDescent="0.3">
      <c r="A160" s="8" t="s">
        <v>362</v>
      </c>
      <c r="B160" s="8" t="s">
        <v>58</v>
      </c>
      <c r="C160" s="8" t="s">
        <v>59</v>
      </c>
      <c r="D160" s="8"/>
      <c r="E160" s="24">
        <v>54.158345089999997</v>
      </c>
      <c r="F160" s="24">
        <v>-122.7009462</v>
      </c>
      <c r="G160" s="24">
        <v>15.15323077</v>
      </c>
      <c r="H160" s="8" t="s">
        <v>22</v>
      </c>
      <c r="I160" s="8" t="s">
        <v>22</v>
      </c>
      <c r="J160" s="24">
        <v>23.698995740000001</v>
      </c>
      <c r="K160" s="24">
        <v>144.9523906</v>
      </c>
      <c r="L160" s="9" t="s">
        <v>22</v>
      </c>
      <c r="M160" s="24">
        <v>1.6</v>
      </c>
      <c r="N160" s="24">
        <v>5.9</v>
      </c>
      <c r="O160" s="9">
        <f>Table1[[#This Row],[R1 Length (km)]]+Table1[[#This Row],[T1 Length (km)]]</f>
        <v>7.5</v>
      </c>
      <c r="P160" s="26">
        <v>25</v>
      </c>
      <c r="Q160" s="9">
        <f>(Table1[[#This Row],[Linear Features (km)]]*0.4)*100</f>
        <v>300</v>
      </c>
      <c r="R160" s="24">
        <v>61.56</v>
      </c>
      <c r="S160" s="3">
        <f>Table1[[#This Row],[ATG (ha)]]/Table1[[#This Row],[Linear Area (ha)]]</f>
        <v>0.20520000000000002</v>
      </c>
      <c r="T160" s="2" t="s">
        <v>22</v>
      </c>
      <c r="U160" s="2" t="s">
        <v>22</v>
      </c>
      <c r="V160" s="24">
        <v>61.56</v>
      </c>
      <c r="W160" s="24">
        <v>24.623999999999999</v>
      </c>
      <c r="X160" s="10">
        <v>88.749420000000001</v>
      </c>
      <c r="Y160" s="10">
        <f>Table1[[#This Row],[Raw Terrestrial Score]]/Table1[[#This Row],[Summed Raw Scores]]</f>
        <v>0.25594684484259556</v>
      </c>
      <c r="Z160" s="10">
        <v>258</v>
      </c>
      <c r="AA160" s="10">
        <f>Table1[[#This Row],[Raw Freshwater Score]]/Table1[[#This Row],[Summed Raw Scores]]</f>
        <v>0.74405315515740444</v>
      </c>
      <c r="AB160" s="10">
        <f>Table1[[#This Row],[Raw Terrestrial Score]]+Table1[[#This Row],[Raw Freshwater Score]]</f>
        <v>346.74941999999999</v>
      </c>
      <c r="AC160" s="11">
        <f>Table1[[#This Row],[Terrestrial % of Summed Score]]*Table1[[#This Row],[Scaled Summed Score]]</f>
        <v>1.0905109080064791E-2</v>
      </c>
      <c r="AD160" s="11">
        <f>Table1[[#This Row],[Freshwater % of Summed Score]]*Table1[[#This Row],[Scaled Summed Score]]</f>
        <v>3.1701820053096866E-2</v>
      </c>
      <c r="AE160" s="11">
        <f>Table1[[#This Row],[Summed Raw Scores]]/MAX(Table1[Summed Raw Scores])</f>
        <v>4.2606929133161657E-2</v>
      </c>
      <c r="AF160" s="1"/>
    </row>
    <row r="161" spans="1:32" x14ac:dyDescent="0.3">
      <c r="A161" s="8" t="s">
        <v>60</v>
      </c>
      <c r="B161" s="8" t="s">
        <v>58</v>
      </c>
      <c r="C161" s="8" t="s">
        <v>59</v>
      </c>
      <c r="D161" s="8"/>
      <c r="E161" s="9">
        <v>54.110551350000001</v>
      </c>
      <c r="F161" s="9">
        <v>-122.67548189999999</v>
      </c>
      <c r="G161" s="9">
        <v>139.569230769</v>
      </c>
      <c r="H161" s="9" t="s">
        <v>22</v>
      </c>
      <c r="I161" s="9" t="s">
        <v>22</v>
      </c>
      <c r="J161" s="9">
        <v>218.33480922059522</v>
      </c>
      <c r="K161" s="9">
        <v>103.50424852725466</v>
      </c>
      <c r="L161" s="9" t="s">
        <v>22</v>
      </c>
      <c r="M161" s="9">
        <v>0.8</v>
      </c>
      <c r="N161" s="9">
        <v>5.3</v>
      </c>
      <c r="O161" s="9">
        <f>Table1[[#This Row],[R1 Length (km)]]+Table1[[#This Row],[T1 Length (km)]]</f>
        <v>6.1</v>
      </c>
      <c r="P161" s="8">
        <v>130</v>
      </c>
      <c r="Q161" s="9">
        <f>(Table1[[#This Row],[Linear Features (km)]]*0.4)*100</f>
        <v>244</v>
      </c>
      <c r="R161" s="9">
        <v>490.86</v>
      </c>
      <c r="S161" s="18">
        <f>Table1[[#This Row],[ATG (ha)]]/Table1[[#This Row],[Linear Area (ha)]]</f>
        <v>2.01172131147541</v>
      </c>
      <c r="T161" s="2" t="s">
        <v>22</v>
      </c>
      <c r="U161" s="2" t="s">
        <v>22</v>
      </c>
      <c r="V161" s="9">
        <v>490.86</v>
      </c>
      <c r="W161" s="9">
        <v>196.34400000000002</v>
      </c>
      <c r="X161" s="10">
        <v>169.8151</v>
      </c>
      <c r="Y161" s="10">
        <f>Table1[[#This Row],[Raw Terrestrial Score]]/Table1[[#This Row],[Summed Raw Scores]]</f>
        <v>0.37419446818759444</v>
      </c>
      <c r="Z161" s="10">
        <v>284</v>
      </c>
      <c r="AA161" s="10">
        <f>Table1[[#This Row],[Raw Freshwater Score]]/Table1[[#This Row],[Summed Raw Scores]]</f>
        <v>0.6258055318124055</v>
      </c>
      <c r="AB161" s="10">
        <f>Table1[[#This Row],[Raw Terrestrial Score]]+Table1[[#This Row],[Raw Freshwater Score]]</f>
        <v>453.81510000000003</v>
      </c>
      <c r="AC161" s="11">
        <f>Table1[[#This Row],[Terrestrial % of Summed Score]]*Table1[[#This Row],[Scaled Summed Score]]</f>
        <v>2.0866076521312595E-2</v>
      </c>
      <c r="AD161" s="11">
        <f>Table1[[#This Row],[Freshwater % of Summed Score]]*Table1[[#This Row],[Scaled Summed Score]]</f>
        <v>3.4896577112711276E-2</v>
      </c>
      <c r="AE161" s="11">
        <f>Table1[[#This Row],[Summed Raw Scores]]/MAX(Table1[Summed Raw Scores])</f>
        <v>5.5762653634023877E-2</v>
      </c>
      <c r="AF161" s="1"/>
    </row>
    <row r="162" spans="1:32" x14ac:dyDescent="0.3">
      <c r="A162" s="8" t="s">
        <v>355</v>
      </c>
      <c r="B162" s="8" t="s">
        <v>58</v>
      </c>
      <c r="C162" s="8" t="s">
        <v>30</v>
      </c>
      <c r="D162" s="8"/>
      <c r="E162" s="24">
        <v>53.922611259999996</v>
      </c>
      <c r="F162" s="24">
        <v>-123.52705659999999</v>
      </c>
      <c r="G162" s="24">
        <v>84.738461540000003</v>
      </c>
      <c r="H162" s="8" t="s">
        <v>22</v>
      </c>
      <c r="I162" s="8" t="s">
        <v>22</v>
      </c>
      <c r="J162" s="24">
        <v>144.4680716</v>
      </c>
      <c r="K162" s="24">
        <v>141.7454127</v>
      </c>
      <c r="L162" s="9" t="s">
        <v>22</v>
      </c>
      <c r="M162" s="24">
        <v>0.7</v>
      </c>
      <c r="N162" s="24">
        <v>40.200000000000003</v>
      </c>
      <c r="O162" s="9">
        <f>Table1[[#This Row],[R1 Length (km)]]+Table1[[#This Row],[T1 Length (km)]]</f>
        <v>40.900000000000006</v>
      </c>
      <c r="P162" s="26">
        <v>230</v>
      </c>
      <c r="Q162" s="9">
        <f>(Table1[[#This Row],[Linear Features (km)]]*0.4)*100</f>
        <v>1636.0000000000002</v>
      </c>
      <c r="R162" s="24">
        <v>344.25</v>
      </c>
      <c r="S162" s="3">
        <f>Table1[[#This Row],[ATG (ha)]]/Table1[[#This Row],[Linear Area (ha)]]</f>
        <v>0.210421760391198</v>
      </c>
      <c r="T162" s="2" t="s">
        <v>22</v>
      </c>
      <c r="U162" s="2" t="s">
        <v>22</v>
      </c>
      <c r="V162" s="24">
        <v>344.25</v>
      </c>
      <c r="W162" s="24">
        <v>137.69999999999999</v>
      </c>
      <c r="X162" s="10">
        <v>259.8134</v>
      </c>
      <c r="Y162" s="10">
        <f>Table1[[#This Row],[Raw Terrestrial Score]]/Table1[[#This Row],[Summed Raw Scores]]</f>
        <v>0.29890610380112331</v>
      </c>
      <c r="Z162" s="10">
        <v>609.40070000000003</v>
      </c>
      <c r="AA162" s="10">
        <f>Table1[[#This Row],[Raw Freshwater Score]]/Table1[[#This Row],[Summed Raw Scores]]</f>
        <v>0.70109389619887663</v>
      </c>
      <c r="AB162" s="10">
        <f>Table1[[#This Row],[Raw Terrestrial Score]]+Table1[[#This Row],[Raw Freshwater Score]]</f>
        <v>869.21410000000003</v>
      </c>
      <c r="AC162" s="11">
        <f>Table1[[#This Row],[Terrestrial % of Summed Score]]*Table1[[#This Row],[Scaled Summed Score]]</f>
        <v>3.1924642070477814E-2</v>
      </c>
      <c r="AD162" s="11">
        <f>Table1[[#This Row],[Freshwater % of Summed Score]]*Table1[[#This Row],[Scaled Summed Score]]</f>
        <v>7.488027647919096E-2</v>
      </c>
      <c r="AE162" s="39">
        <f>Table1[[#This Row],[Summed Raw Scores]]/MAX(Table1[Summed Raw Scores])</f>
        <v>0.10680491854966878</v>
      </c>
      <c r="AF162" s="1"/>
    </row>
    <row r="163" spans="1:32" x14ac:dyDescent="0.3">
      <c r="A163" s="8" t="s">
        <v>284</v>
      </c>
      <c r="B163" s="8" t="s">
        <v>58</v>
      </c>
      <c r="C163" s="8" t="s">
        <v>59</v>
      </c>
      <c r="D163" s="8"/>
      <c r="E163" s="24">
        <v>53.889182990000002</v>
      </c>
      <c r="F163" s="24">
        <v>-123.41353549999999</v>
      </c>
      <c r="G163" s="24">
        <v>138.77169230000001</v>
      </c>
      <c r="H163" s="8" t="s">
        <v>22</v>
      </c>
      <c r="I163" s="8" t="s">
        <v>22</v>
      </c>
      <c r="J163" s="24">
        <v>235.85113240000001</v>
      </c>
      <c r="K163" s="24">
        <v>124.791265</v>
      </c>
      <c r="L163" s="9" t="s">
        <v>22</v>
      </c>
      <c r="M163" s="24">
        <v>0.3</v>
      </c>
      <c r="N163" s="24">
        <v>66.099999999999994</v>
      </c>
      <c r="O163" s="9">
        <f>Table1[[#This Row],[R1 Length (km)]]+Table1[[#This Row],[T1 Length (km)]]</f>
        <v>66.399999999999991</v>
      </c>
      <c r="P163" s="26">
        <v>130</v>
      </c>
      <c r="Q163" s="9">
        <f>(Table1[[#This Row],[Linear Features (km)]]*0.4)*100</f>
        <v>2656</v>
      </c>
      <c r="R163" s="24">
        <v>563.76</v>
      </c>
      <c r="S163" s="3">
        <f>Table1[[#This Row],[ATG (ha)]]/Table1[[#This Row],[Linear Area (ha)]]</f>
        <v>0.21225903614457831</v>
      </c>
      <c r="T163" s="2" t="s">
        <v>22</v>
      </c>
      <c r="U163" s="2" t="s">
        <v>22</v>
      </c>
      <c r="V163" s="24">
        <v>563.76</v>
      </c>
      <c r="W163" s="24">
        <v>225.50399999999999</v>
      </c>
      <c r="X163" s="10">
        <v>510.30040000000002</v>
      </c>
      <c r="Y163" s="10">
        <f>Table1[[#This Row],[Raw Terrestrial Score]]/Table1[[#This Row],[Summed Raw Scores]]</f>
        <v>0.39178813330490575</v>
      </c>
      <c r="Z163" s="10">
        <v>792.19029999999998</v>
      </c>
      <c r="AA163" s="10">
        <f>Table1[[#This Row],[Raw Freshwater Score]]/Table1[[#This Row],[Summed Raw Scores]]</f>
        <v>0.60821186669509419</v>
      </c>
      <c r="AB163" s="10">
        <f>Table1[[#This Row],[Raw Terrestrial Score]]+Table1[[#This Row],[Raw Freshwater Score]]</f>
        <v>1302.4907000000001</v>
      </c>
      <c r="AC163" s="11">
        <f>Table1[[#This Row],[Terrestrial % of Summed Score]]*Table1[[#This Row],[Scaled Summed Score]]</f>
        <v>6.2703300208617641E-2</v>
      </c>
      <c r="AD163" s="11">
        <f>Table1[[#This Row],[Freshwater % of Summed Score]]*Table1[[#This Row],[Scaled Summed Score]]</f>
        <v>9.7340598210886906E-2</v>
      </c>
      <c r="AE163" s="39">
        <f>Table1[[#This Row],[Summed Raw Scores]]/MAX(Table1[Summed Raw Scores])</f>
        <v>0.16004389841950456</v>
      </c>
      <c r="AF163" s="9"/>
    </row>
    <row r="164" spans="1:32" x14ac:dyDescent="0.3">
      <c r="A164" s="8" t="s">
        <v>314</v>
      </c>
      <c r="B164" s="8" t="s">
        <v>58</v>
      </c>
      <c r="C164" s="8" t="s">
        <v>59</v>
      </c>
      <c r="D164" s="8"/>
      <c r="E164" s="24">
        <v>53.979191440000001</v>
      </c>
      <c r="F164" s="24">
        <v>-123.1768324</v>
      </c>
      <c r="G164" s="24">
        <v>43.864615379999996</v>
      </c>
      <c r="H164" s="8" t="s">
        <v>22</v>
      </c>
      <c r="I164" s="8" t="s">
        <v>22</v>
      </c>
      <c r="J164" s="24">
        <v>71.841782730000006</v>
      </c>
      <c r="K164" s="24">
        <v>130.98511629999999</v>
      </c>
      <c r="L164" s="9" t="s">
        <v>22</v>
      </c>
      <c r="M164" s="24">
        <v>1.2</v>
      </c>
      <c r="N164" s="24">
        <v>15.3</v>
      </c>
      <c r="O164" s="9">
        <f>Table1[[#This Row],[R1 Length (km)]]+Table1[[#This Row],[T1 Length (km)]]</f>
        <v>16.5</v>
      </c>
      <c r="P164" s="26">
        <v>69</v>
      </c>
      <c r="Q164" s="9">
        <f>(Table1[[#This Row],[Linear Features (km)]]*0.4)*100</f>
        <v>660</v>
      </c>
      <c r="R164" s="24">
        <v>178.2</v>
      </c>
      <c r="S164" s="3">
        <f>Table1[[#This Row],[ATG (ha)]]/Table1[[#This Row],[Linear Area (ha)]]</f>
        <v>0.26999999999999996</v>
      </c>
      <c r="T164" s="2" t="s">
        <v>22</v>
      </c>
      <c r="U164" s="2" t="s">
        <v>22</v>
      </c>
      <c r="V164" s="24">
        <v>178.2</v>
      </c>
      <c r="W164" s="24">
        <v>71.28</v>
      </c>
      <c r="X164" s="10">
        <v>99.115179999999995</v>
      </c>
      <c r="Y164" s="10">
        <f>Table1[[#This Row],[Raw Terrestrial Score]]/Table1[[#This Row],[Summed Raw Scores]]</f>
        <v>0.28040780384124181</v>
      </c>
      <c r="Z164" s="10">
        <v>254.3528</v>
      </c>
      <c r="AA164" s="10">
        <f>Table1[[#This Row],[Raw Freshwater Score]]/Table1[[#This Row],[Summed Raw Scores]]</f>
        <v>0.71959219615875814</v>
      </c>
      <c r="AB164" s="10">
        <f>Table1[[#This Row],[Raw Terrestrial Score]]+Table1[[#This Row],[Raw Freshwater Score]]</f>
        <v>353.46798000000001</v>
      </c>
      <c r="AC164" s="11">
        <f>Table1[[#This Row],[Terrestrial % of Summed Score]]*Table1[[#This Row],[Scaled Summed Score]]</f>
        <v>1.2178804654613585E-2</v>
      </c>
      <c r="AD164" s="11">
        <f>Table1[[#This Row],[Freshwater % of Summed Score]]*Table1[[#This Row],[Scaled Summed Score]]</f>
        <v>3.1253669362795881E-2</v>
      </c>
      <c r="AE164" s="11">
        <f>Table1[[#This Row],[Summed Raw Scores]]/MAX(Table1[Summed Raw Scores])</f>
        <v>4.3432474017409468E-2</v>
      </c>
      <c r="AF164" s="9"/>
    </row>
    <row r="165" spans="1:32" x14ac:dyDescent="0.3">
      <c r="A165" s="8" t="s">
        <v>341</v>
      </c>
      <c r="B165" s="8" t="s">
        <v>58</v>
      </c>
      <c r="C165" s="8" t="s">
        <v>59</v>
      </c>
      <c r="D165" s="8"/>
      <c r="E165" s="24">
        <v>53.993228530000003</v>
      </c>
      <c r="F165" s="24">
        <v>-123.0891566</v>
      </c>
      <c r="G165" s="24">
        <v>79.953230770000005</v>
      </c>
      <c r="H165" s="8" t="s">
        <v>22</v>
      </c>
      <c r="I165" s="8" t="s">
        <v>22</v>
      </c>
      <c r="J165" s="24">
        <v>128.9363008</v>
      </c>
      <c r="K165" s="24">
        <v>138.50678049999999</v>
      </c>
      <c r="L165" s="9" t="s">
        <v>22</v>
      </c>
      <c r="M165" s="24">
        <v>0.3</v>
      </c>
      <c r="N165" s="24">
        <v>39.700000000000003</v>
      </c>
      <c r="O165" s="9">
        <f>Table1[[#This Row],[R1 Length (km)]]+Table1[[#This Row],[T1 Length (km)]]</f>
        <v>40</v>
      </c>
      <c r="P165" s="26">
        <v>130</v>
      </c>
      <c r="Q165" s="9">
        <f>(Table1[[#This Row],[Linear Features (km)]]*0.4)*100</f>
        <v>1600</v>
      </c>
      <c r="R165" s="24">
        <v>324.81</v>
      </c>
      <c r="S165" s="3">
        <f>Table1[[#This Row],[ATG (ha)]]/Table1[[#This Row],[Linear Area (ha)]]</f>
        <v>0.20300625</v>
      </c>
      <c r="T165" s="2" t="s">
        <v>22</v>
      </c>
      <c r="U165" s="2" t="s">
        <v>22</v>
      </c>
      <c r="V165" s="24">
        <v>324.81</v>
      </c>
      <c r="W165" s="24">
        <v>129.92400000000001</v>
      </c>
      <c r="X165" s="10">
        <v>411.4375</v>
      </c>
      <c r="Y165" s="10">
        <f>Table1[[#This Row],[Raw Terrestrial Score]]/Table1[[#This Row],[Summed Raw Scores]]</f>
        <v>0.47167653688451766</v>
      </c>
      <c r="Z165" s="10">
        <v>460.84989999999999</v>
      </c>
      <c r="AA165" s="10">
        <f>Table1[[#This Row],[Raw Freshwater Score]]/Table1[[#This Row],[Summed Raw Scores]]</f>
        <v>0.52832346311548239</v>
      </c>
      <c r="AB165" s="10">
        <f>Table1[[#This Row],[Raw Terrestrial Score]]+Table1[[#This Row],[Raw Freshwater Score]]</f>
        <v>872.28739999999993</v>
      </c>
      <c r="AC165" s="11">
        <f>Table1[[#This Row],[Terrestrial % of Summed Score]]*Table1[[#This Row],[Scaled Summed Score]]</f>
        <v>5.055549452750404E-2</v>
      </c>
      <c r="AD165" s="11">
        <f>Table1[[#This Row],[Freshwater % of Summed Score]]*Table1[[#This Row],[Scaled Summed Score]]</f>
        <v>5.6627056594138317E-2</v>
      </c>
      <c r="AE165" s="39">
        <f>Table1[[#This Row],[Summed Raw Scores]]/MAX(Table1[Summed Raw Scores])</f>
        <v>0.10718255112164235</v>
      </c>
      <c r="AF165" s="9"/>
    </row>
    <row r="166" spans="1:32" x14ac:dyDescent="0.3">
      <c r="A166" s="8" t="s">
        <v>340</v>
      </c>
      <c r="B166" s="8" t="s">
        <v>58</v>
      </c>
      <c r="C166" s="8" t="s">
        <v>59</v>
      </c>
      <c r="D166" s="8"/>
      <c r="E166" s="24">
        <v>53.931505530000003</v>
      </c>
      <c r="F166" s="24">
        <v>-123.1510165</v>
      </c>
      <c r="G166" s="24">
        <v>37.484307690000001</v>
      </c>
      <c r="H166" s="8" t="s">
        <v>22</v>
      </c>
      <c r="I166" s="8" t="s">
        <v>22</v>
      </c>
      <c r="J166" s="24">
        <v>59.000256929999999</v>
      </c>
      <c r="K166" s="24">
        <v>138.41088149999999</v>
      </c>
      <c r="L166" s="9" t="s">
        <v>22</v>
      </c>
      <c r="M166" s="24">
        <v>0.3</v>
      </c>
      <c r="N166" s="24">
        <v>10.9</v>
      </c>
      <c r="O166" s="9">
        <f>Table1[[#This Row],[R1 Length (km)]]+Table1[[#This Row],[T1 Length (km)]]</f>
        <v>11.200000000000001</v>
      </c>
      <c r="P166" s="26">
        <v>69</v>
      </c>
      <c r="Q166" s="9">
        <f>(Table1[[#This Row],[Linear Features (km)]]*0.4)*100</f>
        <v>448.00000000000006</v>
      </c>
      <c r="R166" s="24">
        <v>152.28</v>
      </c>
      <c r="S166" s="3">
        <f>Table1[[#This Row],[ATG (ha)]]/Table1[[#This Row],[Linear Area (ha)]]</f>
        <v>0.33991071428571423</v>
      </c>
      <c r="T166" s="2" t="s">
        <v>22</v>
      </c>
      <c r="U166" s="2" t="s">
        <v>22</v>
      </c>
      <c r="V166" s="24">
        <v>152.28</v>
      </c>
      <c r="W166" s="24">
        <v>60.911999999999999</v>
      </c>
      <c r="X166" s="10">
        <v>83.211789999999993</v>
      </c>
      <c r="Y166" s="10">
        <f>Table1[[#This Row],[Raw Terrestrial Score]]/Table1[[#This Row],[Summed Raw Scores]]</f>
        <v>0.42671073813626337</v>
      </c>
      <c r="Z166" s="10">
        <v>111.7957</v>
      </c>
      <c r="AA166" s="10">
        <f>Table1[[#This Row],[Raw Freshwater Score]]/Table1[[#This Row],[Summed Raw Scores]]</f>
        <v>0.57328926186373663</v>
      </c>
      <c r="AB166" s="10">
        <f>Table1[[#This Row],[Raw Terrestrial Score]]+Table1[[#This Row],[Raw Freshwater Score]]</f>
        <v>195.00748999999999</v>
      </c>
      <c r="AC166" s="11">
        <f>Table1[[#This Row],[Terrestrial % of Summed Score]]*Table1[[#This Row],[Scaled Summed Score]]</f>
        <v>1.0224671290217384E-2</v>
      </c>
      <c r="AD166" s="11">
        <f>Table1[[#This Row],[Freshwater % of Summed Score]]*Table1[[#This Row],[Scaled Summed Score]]</f>
        <v>1.3736926992674424E-2</v>
      </c>
      <c r="AE166" s="11">
        <f>Table1[[#This Row],[Summed Raw Scores]]/MAX(Table1[Summed Raw Scores])</f>
        <v>2.3961598282891808E-2</v>
      </c>
      <c r="AF166" s="9"/>
    </row>
    <row r="167" spans="1:32" x14ac:dyDescent="0.3">
      <c r="A167" s="8" t="s">
        <v>61</v>
      </c>
      <c r="B167" s="8" t="s">
        <v>58</v>
      </c>
      <c r="C167" s="8" t="s">
        <v>59</v>
      </c>
      <c r="D167" s="8"/>
      <c r="E167" s="9">
        <v>53.945526719999997</v>
      </c>
      <c r="F167" s="9">
        <v>-123.0634147</v>
      </c>
      <c r="G167" s="9">
        <v>343.53969230799999</v>
      </c>
      <c r="H167" s="9" t="s">
        <v>22</v>
      </c>
      <c r="I167" s="9" t="s">
        <v>22</v>
      </c>
      <c r="J167" s="9">
        <v>542.83013040303354</v>
      </c>
      <c r="K167" s="9">
        <v>102.5152621749335</v>
      </c>
      <c r="L167" s="9" t="s">
        <v>22</v>
      </c>
      <c r="M167" s="9">
        <v>0.6</v>
      </c>
      <c r="N167" s="9">
        <v>34.5</v>
      </c>
      <c r="O167" s="9">
        <f>Table1[[#This Row],[R1 Length (km)]]+Table1[[#This Row],[T1 Length (km)]]</f>
        <v>35.1</v>
      </c>
      <c r="P167" s="8">
        <v>230</v>
      </c>
      <c r="Q167" s="9">
        <f>(Table1[[#This Row],[Linear Features (km)]]*0.4)*100</f>
        <v>1404</v>
      </c>
      <c r="R167" s="9">
        <v>443.07</v>
      </c>
      <c r="S167" s="18">
        <f>Table1[[#This Row],[ATG (ha)]]/Table1[[#This Row],[Linear Area (ha)]]</f>
        <v>0.31557692307692309</v>
      </c>
      <c r="T167" s="2" t="s">
        <v>22</v>
      </c>
      <c r="U167" s="2" t="s">
        <v>22</v>
      </c>
      <c r="V167" s="9">
        <v>443.07</v>
      </c>
      <c r="W167" s="9">
        <v>177.22800000000001</v>
      </c>
      <c r="X167" s="10">
        <v>599.91430000000003</v>
      </c>
      <c r="Y167" s="10">
        <f>Table1[[#This Row],[Raw Terrestrial Score]]/Table1[[#This Row],[Summed Raw Scores]]</f>
        <v>0.57491856552660003</v>
      </c>
      <c r="Z167" s="10">
        <v>443.56270000000001</v>
      </c>
      <c r="AA167" s="10">
        <f>Table1[[#This Row],[Raw Freshwater Score]]/Table1[[#This Row],[Summed Raw Scores]]</f>
        <v>0.42508143447339997</v>
      </c>
      <c r="AB167" s="10">
        <f>Table1[[#This Row],[Raw Terrestrial Score]]+Table1[[#This Row],[Raw Freshwater Score]]</f>
        <v>1043.4770000000001</v>
      </c>
      <c r="AC167" s="11">
        <f>Table1[[#This Row],[Terrestrial % of Summed Score]]*Table1[[#This Row],[Scaled Summed Score]]</f>
        <v>7.3714632503409191E-2</v>
      </c>
      <c r="AD167" s="11">
        <f>Table1[[#This Row],[Freshwater % of Summed Score]]*Table1[[#This Row],[Scaled Summed Score]]</f>
        <v>5.4502887200254993E-2</v>
      </c>
      <c r="AE167" s="39">
        <f>Table1[[#This Row],[Summed Raw Scores]]/MAX(Table1[Summed Raw Scores])</f>
        <v>0.12821751970366418</v>
      </c>
      <c r="AF167" s="9"/>
    </row>
    <row r="168" spans="1:32" x14ac:dyDescent="0.3">
      <c r="A168" s="8" t="s">
        <v>337</v>
      </c>
      <c r="B168" s="8" t="s">
        <v>58</v>
      </c>
      <c r="C168" s="8" t="s">
        <v>59</v>
      </c>
      <c r="D168" s="8"/>
      <c r="E168" s="24">
        <v>54.00722236</v>
      </c>
      <c r="F168" s="24">
        <v>-123.00143319999999</v>
      </c>
      <c r="G168" s="24">
        <v>75.566769230000006</v>
      </c>
      <c r="H168" s="8" t="s">
        <v>22</v>
      </c>
      <c r="I168" s="8" t="s">
        <v>22</v>
      </c>
      <c r="J168" s="24">
        <v>121.5266858</v>
      </c>
      <c r="K168" s="24">
        <v>137.62052389999999</v>
      </c>
      <c r="L168" s="9" t="s">
        <v>22</v>
      </c>
      <c r="M168" s="24">
        <v>0.4</v>
      </c>
      <c r="N168" s="24">
        <v>33</v>
      </c>
      <c r="O168" s="9">
        <f>Table1[[#This Row],[R1 Length (km)]]+Table1[[#This Row],[T1 Length (km)]]</f>
        <v>33.4</v>
      </c>
      <c r="P168" s="26">
        <v>130</v>
      </c>
      <c r="Q168" s="9">
        <f>(Table1[[#This Row],[Linear Features (km)]]*0.4)*100</f>
        <v>1336</v>
      </c>
      <c r="R168" s="24">
        <v>306.99</v>
      </c>
      <c r="S168" s="3">
        <f>Table1[[#This Row],[ATG (ha)]]/Table1[[#This Row],[Linear Area (ha)]]</f>
        <v>0.22978293413173653</v>
      </c>
      <c r="T168" s="2" t="s">
        <v>22</v>
      </c>
      <c r="U168" s="2" t="s">
        <v>22</v>
      </c>
      <c r="V168" s="24">
        <v>306.99</v>
      </c>
      <c r="W168" s="24">
        <v>122.79600000000001</v>
      </c>
      <c r="X168" s="10">
        <v>84.331270000000004</v>
      </c>
      <c r="Y168" s="10">
        <f>Table1[[#This Row],[Raw Terrestrial Score]]/Table1[[#This Row],[Summed Raw Scores]]</f>
        <v>0.33471673955798131</v>
      </c>
      <c r="Z168" s="10">
        <v>167.61689999999999</v>
      </c>
      <c r="AA168" s="10">
        <f>Table1[[#This Row],[Raw Freshwater Score]]/Table1[[#This Row],[Summed Raw Scores]]</f>
        <v>0.66528326044201858</v>
      </c>
      <c r="AB168" s="10">
        <f>Table1[[#This Row],[Raw Terrestrial Score]]+Table1[[#This Row],[Raw Freshwater Score]]</f>
        <v>251.94817</v>
      </c>
      <c r="AC168" s="11">
        <f>Table1[[#This Row],[Terrestrial % of Summed Score]]*Table1[[#This Row],[Scaled Summed Score]]</f>
        <v>1.036222769918266E-2</v>
      </c>
      <c r="AD168" s="11">
        <f>Table1[[#This Row],[Freshwater % of Summed Score]]*Table1[[#This Row],[Scaled Summed Score]]</f>
        <v>2.0595972099449345E-2</v>
      </c>
      <c r="AE168" s="11">
        <f>Table1[[#This Row],[Summed Raw Scores]]/MAX(Table1[Summed Raw Scores])</f>
        <v>3.095819979863201E-2</v>
      </c>
      <c r="AF168" s="9"/>
    </row>
    <row r="169" spans="1:32" x14ac:dyDescent="0.3">
      <c r="A169" s="8" t="s">
        <v>277</v>
      </c>
      <c r="B169" s="8" t="s">
        <v>58</v>
      </c>
      <c r="C169" s="8" t="s">
        <v>59</v>
      </c>
      <c r="D169" s="8"/>
      <c r="E169" s="24">
        <v>54.021172870000001</v>
      </c>
      <c r="F169" s="24">
        <v>-122.9136622</v>
      </c>
      <c r="G169" s="24">
        <v>178.44923080000001</v>
      </c>
      <c r="H169" s="8" t="s">
        <v>22</v>
      </c>
      <c r="I169" s="8" t="s">
        <v>22</v>
      </c>
      <c r="J169" s="24">
        <v>285.36552330000001</v>
      </c>
      <c r="K169" s="24">
        <v>123.5273181</v>
      </c>
      <c r="L169" s="9" t="s">
        <v>22</v>
      </c>
      <c r="M169" s="24">
        <v>0.3</v>
      </c>
      <c r="N169" s="24">
        <v>26.3</v>
      </c>
      <c r="O169" s="9">
        <f>Table1[[#This Row],[R1 Length (km)]]+Table1[[#This Row],[T1 Length (km)]]</f>
        <v>26.6</v>
      </c>
      <c r="P169" s="26">
        <v>230</v>
      </c>
      <c r="Q169" s="9">
        <f>(Table1[[#This Row],[Linear Features (km)]]*0.4)*100</f>
        <v>1064</v>
      </c>
      <c r="R169" s="24">
        <v>724.95</v>
      </c>
      <c r="S169" s="3">
        <f>Table1[[#This Row],[ATG (ha)]]/Table1[[#This Row],[Linear Area (ha)]]</f>
        <v>0.68134398496240611</v>
      </c>
      <c r="T169" s="2" t="s">
        <v>22</v>
      </c>
      <c r="U169" s="2" t="s">
        <v>22</v>
      </c>
      <c r="V169" s="24">
        <v>724.95</v>
      </c>
      <c r="W169" s="24">
        <v>289.98</v>
      </c>
      <c r="X169" s="10">
        <v>402.65690000000001</v>
      </c>
      <c r="Y169" s="10">
        <f>Table1[[#This Row],[Raw Terrestrial Score]]/Table1[[#This Row],[Summed Raw Scores]]</f>
        <v>0.5093123572504713</v>
      </c>
      <c r="Z169" s="10">
        <v>387.93239999999997</v>
      </c>
      <c r="AA169" s="10">
        <f>Table1[[#This Row],[Raw Freshwater Score]]/Table1[[#This Row],[Summed Raw Scores]]</f>
        <v>0.4906876427495287</v>
      </c>
      <c r="AB169" s="10">
        <f>Table1[[#This Row],[Raw Terrestrial Score]]+Table1[[#This Row],[Raw Freshwater Score]]</f>
        <v>790.58929999999998</v>
      </c>
      <c r="AC169" s="11">
        <f>Table1[[#This Row],[Terrestrial % of Summed Score]]*Table1[[#This Row],[Scaled Summed Score]]</f>
        <v>4.9476575918363644E-2</v>
      </c>
      <c r="AD169" s="11">
        <f>Table1[[#This Row],[Freshwater % of Summed Score]]*Table1[[#This Row],[Scaled Summed Score]]</f>
        <v>4.7667298982813924E-2</v>
      </c>
      <c r="AE169" s="39">
        <f>Table1[[#This Row],[Summed Raw Scores]]/MAX(Table1[Summed Raw Scores])</f>
        <v>9.7143874901177568E-2</v>
      </c>
      <c r="AF169" s="9"/>
    </row>
    <row r="170" spans="1:32" x14ac:dyDescent="0.3">
      <c r="A170" s="8" t="s">
        <v>335</v>
      </c>
      <c r="B170" s="8" t="s">
        <v>58</v>
      </c>
      <c r="C170" s="8" t="s">
        <v>59</v>
      </c>
      <c r="D170" s="8"/>
      <c r="E170" s="24">
        <v>53.959504670000001</v>
      </c>
      <c r="F170" s="24">
        <v>-122.9757654</v>
      </c>
      <c r="G170" s="24">
        <v>85.934769230000001</v>
      </c>
      <c r="H170" s="8" t="s">
        <v>22</v>
      </c>
      <c r="I170" s="8" t="s">
        <v>22</v>
      </c>
      <c r="J170" s="24">
        <v>135.02003830000001</v>
      </c>
      <c r="K170" s="24">
        <v>136.94637689999999</v>
      </c>
      <c r="L170" s="9" t="s">
        <v>22</v>
      </c>
      <c r="M170" s="24">
        <v>0.3</v>
      </c>
      <c r="N170" s="24">
        <v>33.1</v>
      </c>
      <c r="O170" s="9">
        <f>Table1[[#This Row],[R1 Length (km)]]+Table1[[#This Row],[T1 Length (km)]]</f>
        <v>33.4</v>
      </c>
      <c r="P170" s="26">
        <v>130</v>
      </c>
      <c r="Q170" s="9">
        <f>(Table1[[#This Row],[Linear Features (km)]]*0.4)*100</f>
        <v>1336</v>
      </c>
      <c r="R170" s="24">
        <v>349.11</v>
      </c>
      <c r="S170" s="3">
        <f>Table1[[#This Row],[ATG (ha)]]/Table1[[#This Row],[Linear Area (ha)]]</f>
        <v>0.26130988023952095</v>
      </c>
      <c r="T170" s="2" t="s">
        <v>22</v>
      </c>
      <c r="U170" s="2" t="s">
        <v>22</v>
      </c>
      <c r="V170" s="24">
        <v>349.11</v>
      </c>
      <c r="W170" s="24">
        <v>139.64400000000001</v>
      </c>
      <c r="X170" s="10">
        <v>307.34429999999998</v>
      </c>
      <c r="Y170" s="10">
        <f>Table1[[#This Row],[Raw Terrestrial Score]]/Table1[[#This Row],[Summed Raw Scores]]</f>
        <v>0.4558106141848639</v>
      </c>
      <c r="Z170" s="10">
        <v>366.93639999999999</v>
      </c>
      <c r="AA170" s="10">
        <f>Table1[[#This Row],[Raw Freshwater Score]]/Table1[[#This Row],[Summed Raw Scores]]</f>
        <v>0.54418938581513598</v>
      </c>
      <c r="AB170" s="10">
        <f>Table1[[#This Row],[Raw Terrestrial Score]]+Table1[[#This Row],[Raw Freshwater Score]]</f>
        <v>674.28070000000002</v>
      </c>
      <c r="AC170" s="11">
        <f>Table1[[#This Row],[Terrestrial % of Summed Score]]*Table1[[#This Row],[Scaled Summed Score]]</f>
        <v>3.776501431374038E-2</v>
      </c>
      <c r="AD170" s="11">
        <f>Table1[[#This Row],[Freshwater % of Summed Score]]*Table1[[#This Row],[Scaled Summed Score]]</f>
        <v>4.5087409781903766E-2</v>
      </c>
      <c r="AE170" s="11">
        <f>Table1[[#This Row],[Summed Raw Scores]]/MAX(Table1[Summed Raw Scores])</f>
        <v>8.2852424095644153E-2</v>
      </c>
      <c r="AF170" s="9"/>
    </row>
    <row r="171" spans="1:32" x14ac:dyDescent="0.3">
      <c r="A171" s="8" t="s">
        <v>298</v>
      </c>
      <c r="B171" s="8" t="s">
        <v>58</v>
      </c>
      <c r="C171" s="8" t="s">
        <v>59</v>
      </c>
      <c r="D171" s="8"/>
      <c r="E171" s="24">
        <v>53.97343935</v>
      </c>
      <c r="F171" s="24">
        <v>-122.88806870000001</v>
      </c>
      <c r="G171" s="24">
        <v>17.944615379999998</v>
      </c>
      <c r="H171" s="8" t="s">
        <v>22</v>
      </c>
      <c r="I171" s="8" t="s">
        <v>22</v>
      </c>
      <c r="J171" s="24">
        <v>28.308161129999998</v>
      </c>
      <c r="K171" s="24">
        <v>127.5842246</v>
      </c>
      <c r="L171" s="9" t="s">
        <v>22</v>
      </c>
      <c r="M171" s="24">
        <v>0</v>
      </c>
      <c r="N171" s="24">
        <v>6.1</v>
      </c>
      <c r="O171" s="9">
        <f>Table1[[#This Row],[R1 Length (km)]]+Table1[[#This Row],[T1 Length (km)]]</f>
        <v>6.1</v>
      </c>
      <c r="P171" s="26">
        <v>25</v>
      </c>
      <c r="Q171" s="9">
        <f>(Table1[[#This Row],[Linear Features (km)]]*0.4)*100</f>
        <v>244</v>
      </c>
      <c r="R171" s="24">
        <v>72.900000000000006</v>
      </c>
      <c r="S171" s="3">
        <f>Table1[[#This Row],[ATG (ha)]]/Table1[[#This Row],[Linear Area (ha)]]</f>
        <v>0.29877049180327869</v>
      </c>
      <c r="T171" s="2" t="s">
        <v>22</v>
      </c>
      <c r="U171" s="2" t="s">
        <v>22</v>
      </c>
      <c r="V171" s="24">
        <v>72.900000000000006</v>
      </c>
      <c r="W171" s="24">
        <v>29.16</v>
      </c>
      <c r="X171" s="10">
        <v>221.3896</v>
      </c>
      <c r="Y171" s="10">
        <f>Table1[[#This Row],[Raw Terrestrial Score]]/Table1[[#This Row],[Summed Raw Scores]]</f>
        <v>0.52089268353741813</v>
      </c>
      <c r="Z171" s="10">
        <v>203.63</v>
      </c>
      <c r="AA171" s="10">
        <f>Table1[[#This Row],[Raw Freshwater Score]]/Table1[[#This Row],[Summed Raw Scores]]</f>
        <v>0.47910731646258198</v>
      </c>
      <c r="AB171" s="10">
        <f>Table1[[#This Row],[Raw Terrestrial Score]]+Table1[[#This Row],[Raw Freshwater Score]]</f>
        <v>425.01959999999997</v>
      </c>
      <c r="AC171" s="11">
        <f>Table1[[#This Row],[Terrestrial % of Summed Score]]*Table1[[#This Row],[Scaled Summed Score]]</f>
        <v>2.7203307212508122E-2</v>
      </c>
      <c r="AD171" s="11">
        <f>Table1[[#This Row],[Freshwater % of Summed Score]]*Table1[[#This Row],[Scaled Summed Score]]</f>
        <v>2.5021091540357036E-2</v>
      </c>
      <c r="AE171" s="11">
        <f>Table1[[#This Row],[Summed Raw Scores]]/MAX(Table1[Summed Raw Scores])</f>
        <v>5.222439875286515E-2</v>
      </c>
      <c r="AF171" s="9"/>
    </row>
    <row r="172" spans="1:32" x14ac:dyDescent="0.3">
      <c r="A172" s="8" t="s">
        <v>330</v>
      </c>
      <c r="B172" s="8" t="s">
        <v>58</v>
      </c>
      <c r="C172" s="8" t="s">
        <v>59</v>
      </c>
      <c r="D172" s="8"/>
      <c r="E172" s="24">
        <v>54.035080030000003</v>
      </c>
      <c r="F172" s="24">
        <v>-122.82584369999999</v>
      </c>
      <c r="G172" s="24">
        <v>66.594461539999998</v>
      </c>
      <c r="H172" s="8" t="s">
        <v>22</v>
      </c>
      <c r="I172" s="8" t="s">
        <v>22</v>
      </c>
      <c r="J172" s="24">
        <v>106.9153087</v>
      </c>
      <c r="K172" s="24">
        <v>134.8991723</v>
      </c>
      <c r="L172" s="9" t="s">
        <v>22</v>
      </c>
      <c r="M172" s="24">
        <v>0.3</v>
      </c>
      <c r="N172" s="24">
        <v>19.8</v>
      </c>
      <c r="O172" s="9">
        <f>Table1[[#This Row],[R1 Length (km)]]+Table1[[#This Row],[T1 Length (km)]]</f>
        <v>20.100000000000001</v>
      </c>
      <c r="P172" s="26">
        <v>130</v>
      </c>
      <c r="Q172" s="9">
        <f>(Table1[[#This Row],[Linear Features (km)]]*0.4)*100</f>
        <v>804.00000000000011</v>
      </c>
      <c r="R172" s="24">
        <v>270.54000000000002</v>
      </c>
      <c r="S172" s="3">
        <f>Table1[[#This Row],[ATG (ha)]]/Table1[[#This Row],[Linear Area (ha)]]</f>
        <v>0.33649253731343282</v>
      </c>
      <c r="T172" s="2" t="s">
        <v>22</v>
      </c>
      <c r="U172" s="2" t="s">
        <v>22</v>
      </c>
      <c r="V172" s="24">
        <v>270.54000000000002</v>
      </c>
      <c r="W172" s="24">
        <v>108.21599999999999</v>
      </c>
      <c r="X172" s="10">
        <v>180.60290000000001</v>
      </c>
      <c r="Y172" s="10">
        <f>Table1[[#This Row],[Raw Terrestrial Score]]/Table1[[#This Row],[Summed Raw Scores]]</f>
        <v>0.47749478425963454</v>
      </c>
      <c r="Z172" s="10">
        <v>197.62719999999999</v>
      </c>
      <c r="AA172" s="10">
        <f>Table1[[#This Row],[Raw Freshwater Score]]/Table1[[#This Row],[Summed Raw Scores]]</f>
        <v>0.52250521574036546</v>
      </c>
      <c r="AB172" s="10">
        <f>Table1[[#This Row],[Raw Terrestrial Score]]+Table1[[#This Row],[Raw Freshwater Score]]</f>
        <v>378.23009999999999</v>
      </c>
      <c r="AC172" s="11">
        <f>Table1[[#This Row],[Terrestrial % of Summed Score]]*Table1[[#This Row],[Scaled Summed Score]]</f>
        <v>2.2191630375455226E-2</v>
      </c>
      <c r="AD172" s="11">
        <f>Table1[[#This Row],[Freshwater % of Summed Score]]*Table1[[#This Row],[Scaled Summed Score]]</f>
        <v>2.428349586045498E-2</v>
      </c>
      <c r="AE172" s="11">
        <f>Table1[[#This Row],[Summed Raw Scores]]/MAX(Table1[Summed Raw Scores])</f>
        <v>4.6475126235910207E-2</v>
      </c>
      <c r="AF172" s="9"/>
    </row>
    <row r="173" spans="1:32" x14ac:dyDescent="0.3">
      <c r="A173" s="8" t="s">
        <v>272</v>
      </c>
      <c r="B173" s="8" t="s">
        <v>58</v>
      </c>
      <c r="C173" s="8" t="s">
        <v>59</v>
      </c>
      <c r="D173" s="8"/>
      <c r="E173" s="24">
        <v>54.048943790000003</v>
      </c>
      <c r="F173" s="24">
        <v>-122.7379779</v>
      </c>
      <c r="G173" s="24">
        <v>167.68246149999999</v>
      </c>
      <c r="H173" s="8" t="s">
        <v>22</v>
      </c>
      <c r="I173" s="8" t="s">
        <v>22</v>
      </c>
      <c r="J173" s="24">
        <v>264.55341770000001</v>
      </c>
      <c r="K173" s="24">
        <v>122.5670989</v>
      </c>
      <c r="L173" s="9" t="s">
        <v>22</v>
      </c>
      <c r="M173" s="24">
        <v>0.3</v>
      </c>
      <c r="N173" s="24">
        <v>14.1</v>
      </c>
      <c r="O173" s="9">
        <f>Table1[[#This Row],[R1 Length (km)]]+Table1[[#This Row],[T1 Length (km)]]</f>
        <v>14.4</v>
      </c>
      <c r="P173" s="26">
        <v>230</v>
      </c>
      <c r="Q173" s="9">
        <f>(Table1[[#This Row],[Linear Features (km)]]*0.4)*100</f>
        <v>576.00000000000011</v>
      </c>
      <c r="R173" s="24">
        <v>681.21</v>
      </c>
      <c r="S173" s="3">
        <f>Table1[[#This Row],[ATG (ha)]]/Table1[[#This Row],[Linear Area (ha)]]</f>
        <v>1.1826562499999997</v>
      </c>
      <c r="T173" s="2" t="s">
        <v>22</v>
      </c>
      <c r="U173" s="2" t="s">
        <v>22</v>
      </c>
      <c r="V173" s="24">
        <v>681.21</v>
      </c>
      <c r="W173" s="24">
        <v>272.48399999999998</v>
      </c>
      <c r="X173" s="10">
        <v>188.88849999999999</v>
      </c>
      <c r="Y173" s="10">
        <f>Table1[[#This Row],[Raw Terrestrial Score]]/Table1[[#This Row],[Summed Raw Scores]]</f>
        <v>0.55230006485315641</v>
      </c>
      <c r="Z173" s="10">
        <v>153.11490000000001</v>
      </c>
      <c r="AA173" s="10">
        <f>Table1[[#This Row],[Raw Freshwater Score]]/Table1[[#This Row],[Summed Raw Scores]]</f>
        <v>0.44769993514684359</v>
      </c>
      <c r="AB173" s="10">
        <f>Table1[[#This Row],[Raw Terrestrial Score]]+Table1[[#This Row],[Raw Freshwater Score]]</f>
        <v>342.0034</v>
      </c>
      <c r="AC173" s="11">
        <f>Table1[[#This Row],[Terrestrial % of Summed Score]]*Table1[[#This Row],[Scaled Summed Score]]</f>
        <v>2.3209725725191425E-2</v>
      </c>
      <c r="AD173" s="11">
        <f>Table1[[#This Row],[Freshwater % of Summed Score]]*Table1[[#This Row],[Scaled Summed Score]]</f>
        <v>1.8814034911813649E-2</v>
      </c>
      <c r="AE173" s="11">
        <f>Table1[[#This Row],[Summed Raw Scores]]/MAX(Table1[Summed Raw Scores])</f>
        <v>4.2023760637005074E-2</v>
      </c>
      <c r="AF173" s="9"/>
    </row>
    <row r="174" spans="1:32" x14ac:dyDescent="0.3">
      <c r="A174" s="8" t="s">
        <v>62</v>
      </c>
      <c r="B174" s="8" t="s">
        <v>58</v>
      </c>
      <c r="C174" s="8" t="s">
        <v>59</v>
      </c>
      <c r="D174" s="8"/>
      <c r="E174" s="9">
        <v>53.987330720000003</v>
      </c>
      <c r="F174" s="9">
        <v>-122.8003246</v>
      </c>
      <c r="G174" s="9">
        <v>153.725538462</v>
      </c>
      <c r="H174" s="9" t="s">
        <v>22</v>
      </c>
      <c r="I174" s="9" t="s">
        <v>22</v>
      </c>
      <c r="J174" s="9">
        <v>246.20021132315097</v>
      </c>
      <c r="K174" s="9">
        <v>103.56327708214516</v>
      </c>
      <c r="L174" s="9" t="s">
        <v>22</v>
      </c>
      <c r="M174" s="9">
        <v>0</v>
      </c>
      <c r="N174" s="9">
        <v>22.5</v>
      </c>
      <c r="O174" s="9">
        <f>Table1[[#This Row],[R1 Length (km)]]+Table1[[#This Row],[T1 Length (km)]]</f>
        <v>22.5</v>
      </c>
      <c r="P174" s="8">
        <v>130</v>
      </c>
      <c r="Q174" s="9">
        <f>(Table1[[#This Row],[Linear Features (km)]]*0.4)*100</f>
        <v>900</v>
      </c>
      <c r="R174" s="9">
        <v>495.72</v>
      </c>
      <c r="S174" s="18">
        <f>Table1[[#This Row],[ATG (ha)]]/Table1[[#This Row],[Linear Area (ha)]]</f>
        <v>0.55080000000000007</v>
      </c>
      <c r="T174" s="2" t="s">
        <v>22</v>
      </c>
      <c r="U174" s="2" t="s">
        <v>22</v>
      </c>
      <c r="V174" s="9">
        <v>495.72</v>
      </c>
      <c r="W174" s="9">
        <v>198.28800000000001</v>
      </c>
      <c r="X174" s="10">
        <v>215.3552</v>
      </c>
      <c r="Y174" s="10">
        <f>Table1[[#This Row],[Raw Terrestrial Score]]/Table1[[#This Row],[Summed Raw Scores]]</f>
        <v>0.38396401041661099</v>
      </c>
      <c r="Z174" s="10">
        <v>345.51819999999998</v>
      </c>
      <c r="AA174" s="10">
        <f>Table1[[#This Row],[Raw Freshwater Score]]/Table1[[#This Row],[Summed Raw Scores]]</f>
        <v>0.61603598958338912</v>
      </c>
      <c r="AB174" s="10">
        <f>Table1[[#This Row],[Raw Terrestrial Score]]+Table1[[#This Row],[Raw Freshwater Score]]</f>
        <v>560.87339999999995</v>
      </c>
      <c r="AC174" s="11">
        <f>Table1[[#This Row],[Terrestrial % of Summed Score]]*Table1[[#This Row],[Scaled Summed Score]]</f>
        <v>2.6461828674025915E-2</v>
      </c>
      <c r="AD174" s="11">
        <f>Table1[[#This Row],[Freshwater % of Summed Score]]*Table1[[#This Row],[Scaled Summed Score]]</f>
        <v>4.2455642641356331E-2</v>
      </c>
      <c r="AE174" s="11">
        <f>Table1[[#This Row],[Summed Raw Scores]]/MAX(Table1[Summed Raw Scores])</f>
        <v>6.8917471315382242E-2</v>
      </c>
      <c r="AF174" s="9"/>
    </row>
    <row r="175" spans="1:32" x14ac:dyDescent="0.3">
      <c r="A175" s="8" t="s">
        <v>280</v>
      </c>
      <c r="B175" s="8" t="s">
        <v>58</v>
      </c>
      <c r="C175" s="8" t="s">
        <v>59</v>
      </c>
      <c r="D175" s="8"/>
      <c r="E175" s="24">
        <v>54.001178719999999</v>
      </c>
      <c r="F175" s="24">
        <v>-122.7125333</v>
      </c>
      <c r="G175" s="24">
        <v>123.6184615</v>
      </c>
      <c r="H175" s="8" t="s">
        <v>22</v>
      </c>
      <c r="I175" s="8" t="s">
        <v>22</v>
      </c>
      <c r="J175" s="24">
        <v>193.73190249999999</v>
      </c>
      <c r="K175" s="24">
        <v>124.1667075</v>
      </c>
      <c r="L175" s="9" t="s">
        <v>22</v>
      </c>
      <c r="M175" s="24">
        <v>1</v>
      </c>
      <c r="N175" s="24">
        <v>18.3</v>
      </c>
      <c r="O175" s="9">
        <f>Table1[[#This Row],[R1 Length (km)]]+Table1[[#This Row],[T1 Length (km)]]</f>
        <v>19.3</v>
      </c>
      <c r="P175" s="26">
        <v>130</v>
      </c>
      <c r="Q175" s="9">
        <f>(Table1[[#This Row],[Linear Features (km)]]*0.4)*100</f>
        <v>772.00000000000011</v>
      </c>
      <c r="R175" s="24">
        <v>502.2</v>
      </c>
      <c r="S175" s="3">
        <f>Table1[[#This Row],[ATG (ha)]]/Table1[[#This Row],[Linear Area (ha)]]</f>
        <v>0.65051813471502584</v>
      </c>
      <c r="T175" s="2" t="s">
        <v>22</v>
      </c>
      <c r="U175" s="2" t="s">
        <v>22</v>
      </c>
      <c r="V175" s="24">
        <v>502.2</v>
      </c>
      <c r="W175" s="24">
        <v>200.88</v>
      </c>
      <c r="X175" s="10">
        <v>226.0943</v>
      </c>
      <c r="Y175" s="10">
        <f>Table1[[#This Row],[Raw Terrestrial Score]]/Table1[[#This Row],[Summed Raw Scores]]</f>
        <v>0.47111311979973125</v>
      </c>
      <c r="Z175" s="10">
        <v>253.82079999999999</v>
      </c>
      <c r="AA175" s="10">
        <f>Table1[[#This Row],[Raw Freshwater Score]]/Table1[[#This Row],[Summed Raw Scores]]</f>
        <v>0.52888688020026875</v>
      </c>
      <c r="AB175" s="10">
        <f>Table1[[#This Row],[Raw Terrestrial Score]]+Table1[[#This Row],[Raw Freshwater Score]]</f>
        <v>479.9151</v>
      </c>
      <c r="AC175" s="11">
        <f>Table1[[#This Row],[Terrestrial % of Summed Score]]*Table1[[#This Row],[Scaled Summed Score]]</f>
        <v>2.7781398502445345E-2</v>
      </c>
      <c r="AD175" s="11">
        <f>Table1[[#This Row],[Freshwater % of Summed Score]]*Table1[[#This Row],[Scaled Summed Score]]</f>
        <v>3.1188299718345306E-2</v>
      </c>
      <c r="AE175" s="11">
        <f>Table1[[#This Row],[Summed Raw Scores]]/MAX(Table1[Summed Raw Scores])</f>
        <v>5.8969698220790651E-2</v>
      </c>
      <c r="AF175" s="9"/>
    </row>
    <row r="176" spans="1:32" x14ac:dyDescent="0.3">
      <c r="A176" s="8" t="s">
        <v>267</v>
      </c>
      <c r="B176" s="8" t="s">
        <v>58</v>
      </c>
      <c r="C176" s="8" t="s">
        <v>59</v>
      </c>
      <c r="D176" s="8"/>
      <c r="E176" s="24">
        <v>54.062764119999997</v>
      </c>
      <c r="F176" s="24">
        <v>-122.6500649</v>
      </c>
      <c r="G176" s="24">
        <v>127.008</v>
      </c>
      <c r="H176" s="8" t="s">
        <v>22</v>
      </c>
      <c r="I176" s="8" t="s">
        <v>22</v>
      </c>
      <c r="J176" s="24">
        <v>198.5628634</v>
      </c>
      <c r="K176" s="24">
        <v>121.6432087</v>
      </c>
      <c r="L176" s="9" t="s">
        <v>22</v>
      </c>
      <c r="M176" s="24">
        <v>1.6</v>
      </c>
      <c r="N176" s="24">
        <v>9.9</v>
      </c>
      <c r="O176" s="9">
        <f>Table1[[#This Row],[R1 Length (km)]]+Table1[[#This Row],[T1 Length (km)]]</f>
        <v>11.5</v>
      </c>
      <c r="P176" s="26">
        <v>130</v>
      </c>
      <c r="Q176" s="9">
        <f>(Table1[[#This Row],[Linear Features (km)]]*0.4)*100</f>
        <v>460.00000000000006</v>
      </c>
      <c r="R176" s="24">
        <v>515.97</v>
      </c>
      <c r="S176" s="3">
        <f>Table1[[#This Row],[ATG (ha)]]/Table1[[#This Row],[Linear Area (ha)]]</f>
        <v>1.1216739130434781</v>
      </c>
      <c r="T176" s="2" t="s">
        <v>22</v>
      </c>
      <c r="U176" s="2" t="s">
        <v>22</v>
      </c>
      <c r="V176" s="24">
        <v>515.97</v>
      </c>
      <c r="W176" s="24">
        <v>206.38800000000001</v>
      </c>
      <c r="X176" s="10">
        <v>218.35550000000001</v>
      </c>
      <c r="Y176" s="10">
        <f>Table1[[#This Row],[Raw Terrestrial Score]]/Table1[[#This Row],[Summed Raw Scores]]</f>
        <v>0.53130845066961185</v>
      </c>
      <c r="Z176" s="10">
        <v>192.62139999999999</v>
      </c>
      <c r="AA176" s="10">
        <f>Table1[[#This Row],[Raw Freshwater Score]]/Table1[[#This Row],[Summed Raw Scores]]</f>
        <v>0.46869154933038815</v>
      </c>
      <c r="AB176" s="10">
        <f>Table1[[#This Row],[Raw Terrestrial Score]]+Table1[[#This Row],[Raw Freshwater Score]]</f>
        <v>410.9769</v>
      </c>
      <c r="AC176" s="11">
        <f>Table1[[#This Row],[Terrestrial % of Summed Score]]*Table1[[#This Row],[Scaled Summed Score]]</f>
        <v>2.6830491351178268E-2</v>
      </c>
      <c r="AD176" s="11">
        <f>Table1[[#This Row],[Freshwater % of Summed Score]]*Table1[[#This Row],[Scaled Summed Score]]</f>
        <v>2.3668406826261989E-2</v>
      </c>
      <c r="AE176" s="11">
        <f>Table1[[#This Row],[Summed Raw Scores]]/MAX(Table1[Summed Raw Scores])</f>
        <v>5.0498898177440257E-2</v>
      </c>
      <c r="AF176" s="9"/>
    </row>
    <row r="177" spans="1:32" x14ac:dyDescent="0.3">
      <c r="A177" s="8" t="s">
        <v>63</v>
      </c>
      <c r="B177" s="8" t="s">
        <v>58</v>
      </c>
      <c r="C177" s="8" t="s">
        <v>59</v>
      </c>
      <c r="D177" s="8"/>
      <c r="E177" s="9">
        <v>54.076540960000003</v>
      </c>
      <c r="F177" s="9">
        <v>-122.56210470000001</v>
      </c>
      <c r="G177" s="9">
        <v>250.626461538</v>
      </c>
      <c r="H177" s="9" t="s">
        <v>22</v>
      </c>
      <c r="I177" s="9" t="s">
        <v>22</v>
      </c>
      <c r="J177" s="9">
        <v>389.13790936218737</v>
      </c>
      <c r="K177" s="9">
        <v>103.23340136967143</v>
      </c>
      <c r="L177" s="9" t="s">
        <v>22</v>
      </c>
      <c r="M177" s="9">
        <v>0.8</v>
      </c>
      <c r="N177" s="9">
        <v>9.6</v>
      </c>
      <c r="O177" s="9">
        <f>Table1[[#This Row],[R1 Length (km)]]+Table1[[#This Row],[T1 Length (km)]]</f>
        <v>10.4</v>
      </c>
      <c r="P177" s="8">
        <v>230</v>
      </c>
      <c r="Q177" s="9">
        <f>(Table1[[#This Row],[Linear Features (km)]]*0.4)*100</f>
        <v>416</v>
      </c>
      <c r="R177" s="9">
        <v>384.75</v>
      </c>
      <c r="S177" s="18">
        <f>Table1[[#This Row],[ATG (ha)]]/Table1[[#This Row],[Linear Area (ha)]]</f>
        <v>0.92487980769230771</v>
      </c>
      <c r="T177" s="2" t="s">
        <v>22</v>
      </c>
      <c r="U177" s="2" t="s">
        <v>22</v>
      </c>
      <c r="V177" s="9">
        <v>384.75</v>
      </c>
      <c r="W177" s="9">
        <v>153.9</v>
      </c>
      <c r="X177" s="10">
        <v>258.73439999999999</v>
      </c>
      <c r="Y177" s="10">
        <f>Table1[[#This Row],[Raw Terrestrial Score]]/Table1[[#This Row],[Summed Raw Scores]]</f>
        <v>0.49904486216080263</v>
      </c>
      <c r="Z177" s="10">
        <v>259.72480000000002</v>
      </c>
      <c r="AA177" s="10">
        <f>Table1[[#This Row],[Raw Freshwater Score]]/Table1[[#This Row],[Summed Raw Scores]]</f>
        <v>0.50095513783919743</v>
      </c>
      <c r="AB177" s="10">
        <f>Table1[[#This Row],[Raw Terrestrial Score]]+Table1[[#This Row],[Raw Freshwater Score]]</f>
        <v>518.45920000000001</v>
      </c>
      <c r="AC177" s="11">
        <f>Table1[[#This Row],[Terrestrial % of Summed Score]]*Table1[[#This Row],[Scaled Summed Score]]</f>
        <v>3.1792059652503819E-2</v>
      </c>
      <c r="AD177" s="11">
        <f>Table1[[#This Row],[Freshwater % of Summed Score]]*Table1[[#This Row],[Scaled Summed Score]]</f>
        <v>3.1913755321420829E-2</v>
      </c>
      <c r="AE177" s="11">
        <f>Table1[[#This Row],[Summed Raw Scores]]/MAX(Table1[Summed Raw Scores])</f>
        <v>6.3705814973924649E-2</v>
      </c>
      <c r="AF177" s="9"/>
    </row>
    <row r="178" spans="1:32" x14ac:dyDescent="0.3">
      <c r="A178" s="8" t="s">
        <v>64</v>
      </c>
      <c r="B178" s="8" t="s">
        <v>58</v>
      </c>
      <c r="C178" s="8" t="s">
        <v>59</v>
      </c>
      <c r="D178" s="8"/>
      <c r="E178" s="9">
        <v>54.01498333</v>
      </c>
      <c r="F178" s="9">
        <v>-122.62469489999999</v>
      </c>
      <c r="G178" s="9">
        <v>290.70276923099999</v>
      </c>
      <c r="H178" s="9" t="s">
        <v>22</v>
      </c>
      <c r="I178" s="9" t="s">
        <v>22</v>
      </c>
      <c r="J178" s="9">
        <v>454.63551613398141</v>
      </c>
      <c r="K178" s="9">
        <v>102.89142068129254</v>
      </c>
      <c r="L178" s="9" t="s">
        <v>22</v>
      </c>
      <c r="M178" s="9">
        <v>0.4</v>
      </c>
      <c r="N178" s="9">
        <v>15</v>
      </c>
      <c r="O178" s="9">
        <f>Table1[[#This Row],[R1 Length (km)]]+Table1[[#This Row],[T1 Length (km)]]</f>
        <v>15.4</v>
      </c>
      <c r="P178" s="8">
        <v>230</v>
      </c>
      <c r="Q178" s="9">
        <f>(Table1[[#This Row],[Linear Features (km)]]*0.4)*100</f>
        <v>616</v>
      </c>
      <c r="R178" s="9">
        <v>464.94</v>
      </c>
      <c r="S178" s="18">
        <f>Table1[[#This Row],[ATG (ha)]]/Table1[[#This Row],[Linear Area (ha)]]</f>
        <v>0.75477272727272726</v>
      </c>
      <c r="T178" s="2" t="s">
        <v>22</v>
      </c>
      <c r="U178" s="2" t="s">
        <v>22</v>
      </c>
      <c r="V178" s="9">
        <v>464.94</v>
      </c>
      <c r="W178" s="9">
        <v>185.976</v>
      </c>
      <c r="X178" s="10">
        <v>413.50760000000002</v>
      </c>
      <c r="Y178" s="10">
        <f>Table1[[#This Row],[Raw Terrestrial Score]]/Table1[[#This Row],[Summed Raw Scores]]</f>
        <v>0.52298472457360778</v>
      </c>
      <c r="Z178" s="10">
        <v>377.161</v>
      </c>
      <c r="AA178" s="10">
        <f>Table1[[#This Row],[Raw Freshwater Score]]/Table1[[#This Row],[Summed Raw Scores]]</f>
        <v>0.47701527542639233</v>
      </c>
      <c r="AB178" s="10">
        <f>Table1[[#This Row],[Raw Terrestrial Score]]+Table1[[#This Row],[Raw Freshwater Score]]</f>
        <v>790.66859999999997</v>
      </c>
      <c r="AC178" s="11">
        <f>Table1[[#This Row],[Terrestrial % of Summed Score]]*Table1[[#This Row],[Scaled Summed Score]]</f>
        <v>5.0809858627085112E-2</v>
      </c>
      <c r="AD178" s="11">
        <f>Table1[[#This Row],[Freshwater % of Summed Score]]*Table1[[#This Row],[Scaled Summed Score]]</f>
        <v>4.6343760283124293E-2</v>
      </c>
      <c r="AE178" s="39">
        <f>Table1[[#This Row],[Summed Raw Scores]]/MAX(Table1[Summed Raw Scores])</f>
        <v>9.7153618910209391E-2</v>
      </c>
      <c r="AF178" s="9"/>
    </row>
    <row r="179" spans="1:32" x14ac:dyDescent="0.3">
      <c r="A179" s="8" t="s">
        <v>390</v>
      </c>
      <c r="B179" s="8" t="s">
        <v>58</v>
      </c>
      <c r="C179" s="8" t="s">
        <v>59</v>
      </c>
      <c r="D179" s="8"/>
      <c r="E179" s="24">
        <v>54.103964050000002</v>
      </c>
      <c r="F179" s="24">
        <v>-122.3860435</v>
      </c>
      <c r="G179" s="24">
        <v>14.754461539999999</v>
      </c>
      <c r="H179" s="8" t="s">
        <v>22</v>
      </c>
      <c r="I179" s="8" t="s">
        <v>22</v>
      </c>
      <c r="J179" s="24">
        <v>22.972212339999999</v>
      </c>
      <c r="K179" s="24">
        <v>158.62293260000001</v>
      </c>
      <c r="L179" s="9" t="s">
        <v>22</v>
      </c>
      <c r="M179" s="24">
        <v>0.3</v>
      </c>
      <c r="N179" s="24">
        <v>17.2</v>
      </c>
      <c r="O179" s="9">
        <f>Table1[[#This Row],[R1 Length (km)]]+Table1[[#This Row],[T1 Length (km)]]</f>
        <v>17.5</v>
      </c>
      <c r="P179" s="26">
        <v>25</v>
      </c>
      <c r="Q179" s="9">
        <f>(Table1[[#This Row],[Linear Features (km)]]*0.4)*100</f>
        <v>700</v>
      </c>
      <c r="R179" s="24">
        <v>59.94</v>
      </c>
      <c r="S179" s="3">
        <f>Table1[[#This Row],[ATG (ha)]]/Table1[[#This Row],[Linear Area (ha)]]</f>
        <v>8.5628571428571429E-2</v>
      </c>
      <c r="T179" s="2" t="s">
        <v>22</v>
      </c>
      <c r="U179" s="2" t="s">
        <v>22</v>
      </c>
      <c r="V179" s="24">
        <v>59.94</v>
      </c>
      <c r="W179" s="24">
        <v>23.975999999999999</v>
      </c>
      <c r="X179" s="10">
        <v>297.55110000000002</v>
      </c>
      <c r="Y179" s="10">
        <f>Table1[[#This Row],[Raw Terrestrial Score]]/Table1[[#This Row],[Summed Raw Scores]]</f>
        <v>0.58229554124322136</v>
      </c>
      <c r="Z179" s="10">
        <v>213.44560000000001</v>
      </c>
      <c r="AA179" s="10">
        <f>Table1[[#This Row],[Raw Freshwater Score]]/Table1[[#This Row],[Summed Raw Scores]]</f>
        <v>0.41770445875677864</v>
      </c>
      <c r="AB179" s="10">
        <f>Table1[[#This Row],[Raw Terrestrial Score]]+Table1[[#This Row],[Raw Freshwater Score]]</f>
        <v>510.99670000000003</v>
      </c>
      <c r="AC179" s="11">
        <f>Table1[[#This Row],[Terrestrial % of Summed Score]]*Table1[[#This Row],[Scaled Summed Score]]</f>
        <v>3.6561672204655157E-2</v>
      </c>
      <c r="AD179" s="11">
        <f>Table1[[#This Row],[Freshwater % of Summed Score]]*Table1[[#This Row],[Scaled Summed Score]]</f>
        <v>2.6227186055524387E-2</v>
      </c>
      <c r="AE179" s="11">
        <f>Table1[[#This Row],[Summed Raw Scores]]/MAX(Table1[Summed Raw Scores])</f>
        <v>6.2788858260179548E-2</v>
      </c>
      <c r="AF179" s="9"/>
    </row>
    <row r="180" spans="1:32" x14ac:dyDescent="0.3">
      <c r="A180" s="8" t="s">
        <v>383</v>
      </c>
      <c r="B180" s="8" t="s">
        <v>58</v>
      </c>
      <c r="C180" s="8" t="s">
        <v>59</v>
      </c>
      <c r="D180" s="8"/>
      <c r="E180" s="24">
        <v>53.883825719999997</v>
      </c>
      <c r="F180" s="24">
        <v>-123.1252483</v>
      </c>
      <c r="G180" s="24">
        <v>24.92307692</v>
      </c>
      <c r="H180" s="8" t="s">
        <v>22</v>
      </c>
      <c r="I180" s="8" t="s">
        <v>22</v>
      </c>
      <c r="J180" s="24">
        <v>38.799224440000003</v>
      </c>
      <c r="K180" s="24">
        <v>155.846732</v>
      </c>
      <c r="L180" s="9" t="s">
        <v>22</v>
      </c>
      <c r="M180" s="24">
        <v>1.1000000000000001</v>
      </c>
      <c r="N180" s="24">
        <v>10.3</v>
      </c>
      <c r="O180" s="9">
        <f>Table1[[#This Row],[R1 Length (km)]]+Table1[[#This Row],[T1 Length (km)]]</f>
        <v>11.4</v>
      </c>
      <c r="P180" s="26">
        <v>69</v>
      </c>
      <c r="Q180" s="9">
        <f>(Table1[[#This Row],[Linear Features (km)]]*0.4)*100</f>
        <v>456.00000000000006</v>
      </c>
      <c r="R180" s="24">
        <v>101.25</v>
      </c>
      <c r="S180" s="3">
        <f>Table1[[#This Row],[ATG (ha)]]/Table1[[#This Row],[Linear Area (ha)]]</f>
        <v>0.22203947368421051</v>
      </c>
      <c r="T180" s="2" t="s">
        <v>22</v>
      </c>
      <c r="U180" s="2" t="s">
        <v>22</v>
      </c>
      <c r="V180" s="24">
        <v>101.25</v>
      </c>
      <c r="W180" s="24">
        <v>40.5</v>
      </c>
      <c r="X180" s="10">
        <v>56.460740000000001</v>
      </c>
      <c r="Y180" s="10">
        <f>Table1[[#This Row],[Raw Terrestrial Score]]/Table1[[#This Row],[Summed Raw Scores]]</f>
        <v>0.23155444488891888</v>
      </c>
      <c r="Z180" s="10">
        <v>187.37280000000001</v>
      </c>
      <c r="AA180" s="10">
        <f>Table1[[#This Row],[Raw Freshwater Score]]/Table1[[#This Row],[Summed Raw Scores]]</f>
        <v>0.76844555511108104</v>
      </c>
      <c r="AB180" s="10">
        <f>Table1[[#This Row],[Raw Terrestrial Score]]+Table1[[#This Row],[Raw Freshwater Score]]</f>
        <v>243.83354000000003</v>
      </c>
      <c r="AC180" s="11">
        <f>Table1[[#This Row],[Terrestrial % of Summed Score]]*Table1[[#This Row],[Scaled Summed Score]]</f>
        <v>6.9376287579251492E-3</v>
      </c>
      <c r="AD180" s="11">
        <f>Table1[[#This Row],[Freshwater % of Summed Score]]*Table1[[#This Row],[Scaled Summed Score]]</f>
        <v>2.3023483676143059E-2</v>
      </c>
      <c r="AE180" s="11">
        <f>Table1[[#This Row],[Summed Raw Scores]]/MAX(Table1[Summed Raw Scores])</f>
        <v>2.996111243406821E-2</v>
      </c>
      <c r="AF180" s="9"/>
    </row>
    <row r="181" spans="1:32" x14ac:dyDescent="0.3">
      <c r="A181" s="8" t="s">
        <v>363</v>
      </c>
      <c r="B181" s="8" t="s">
        <v>58</v>
      </c>
      <c r="C181" s="8" t="s">
        <v>59</v>
      </c>
      <c r="D181" s="8"/>
      <c r="E181" s="24">
        <v>53.897831050000001</v>
      </c>
      <c r="F181" s="24">
        <v>-123.0377204</v>
      </c>
      <c r="G181" s="24">
        <v>34.69292308</v>
      </c>
      <c r="H181" s="8" t="s">
        <v>22</v>
      </c>
      <c r="I181" s="8" t="s">
        <v>22</v>
      </c>
      <c r="J181" s="24">
        <v>54.238500999999999</v>
      </c>
      <c r="K181" s="24">
        <v>144.98988410000001</v>
      </c>
      <c r="L181" s="9" t="s">
        <v>22</v>
      </c>
      <c r="M181" s="24">
        <v>0.8</v>
      </c>
      <c r="N181" s="24">
        <v>15.4</v>
      </c>
      <c r="O181" s="9">
        <f>Table1[[#This Row],[R1 Length (km)]]+Table1[[#This Row],[T1 Length (km)]]</f>
        <v>16.2</v>
      </c>
      <c r="P181" s="26">
        <v>69</v>
      </c>
      <c r="Q181" s="9">
        <f>(Table1[[#This Row],[Linear Features (km)]]*0.4)*100</f>
        <v>648</v>
      </c>
      <c r="R181" s="24">
        <v>140.94</v>
      </c>
      <c r="S181" s="3">
        <f>Table1[[#This Row],[ATG (ha)]]/Table1[[#This Row],[Linear Area (ha)]]</f>
        <v>0.2175</v>
      </c>
      <c r="T181" s="2" t="s">
        <v>22</v>
      </c>
      <c r="U181" s="2" t="s">
        <v>22</v>
      </c>
      <c r="V181" s="24">
        <v>140.94</v>
      </c>
      <c r="W181" s="24">
        <v>56.375999999999998</v>
      </c>
      <c r="X181" s="10">
        <v>368.4753</v>
      </c>
      <c r="Y181" s="10">
        <f>Table1[[#This Row],[Raw Terrestrial Score]]/Table1[[#This Row],[Summed Raw Scores]]</f>
        <v>0.48868249529387764</v>
      </c>
      <c r="Z181" s="10">
        <v>385.54250000000002</v>
      </c>
      <c r="AA181" s="10">
        <f>Table1[[#This Row],[Raw Freshwater Score]]/Table1[[#This Row],[Summed Raw Scores]]</f>
        <v>0.51131750470612225</v>
      </c>
      <c r="AB181" s="10">
        <f>Table1[[#This Row],[Raw Terrestrial Score]]+Table1[[#This Row],[Raw Freshwater Score]]</f>
        <v>754.01780000000008</v>
      </c>
      <c r="AC181" s="11">
        <f>Table1[[#This Row],[Terrestrial % of Summed Score]]*Table1[[#This Row],[Scaled Summed Score]]</f>
        <v>4.527650253725149E-2</v>
      </c>
      <c r="AD181" s="11">
        <f>Table1[[#This Row],[Freshwater % of Summed Score]]*Table1[[#This Row],[Scaled Summed Score]]</f>
        <v>4.7373639371399608E-2</v>
      </c>
      <c r="AE181" s="11">
        <f>Table1[[#This Row],[Summed Raw Scores]]/MAX(Table1[Summed Raw Scores])</f>
        <v>9.2650141908651104E-2</v>
      </c>
      <c r="AF181" s="9"/>
    </row>
    <row r="182" spans="1:32" x14ac:dyDescent="0.3">
      <c r="A182" s="8" t="s">
        <v>371</v>
      </c>
      <c r="B182" s="8" t="s">
        <v>58</v>
      </c>
      <c r="C182" s="8" t="s">
        <v>59</v>
      </c>
      <c r="D182" s="8"/>
      <c r="E182" s="24">
        <v>53.836151950000001</v>
      </c>
      <c r="F182" s="24">
        <v>-123.09952749999999</v>
      </c>
      <c r="G182" s="24">
        <v>77.361230770000006</v>
      </c>
      <c r="H182" s="8" t="s">
        <v>22</v>
      </c>
      <c r="I182" s="8" t="s">
        <v>22</v>
      </c>
      <c r="J182" s="24">
        <v>120.16547749999999</v>
      </c>
      <c r="K182" s="24">
        <v>149.45837270000001</v>
      </c>
      <c r="L182" s="9" t="s">
        <v>22</v>
      </c>
      <c r="M182" s="24">
        <v>0</v>
      </c>
      <c r="N182" s="24">
        <v>48.9</v>
      </c>
      <c r="O182" s="9">
        <f>Table1[[#This Row],[R1 Length (km)]]+Table1[[#This Row],[T1 Length (km)]]</f>
        <v>48.9</v>
      </c>
      <c r="P182" s="26">
        <v>130</v>
      </c>
      <c r="Q182" s="9">
        <f>(Table1[[#This Row],[Linear Features (km)]]*0.4)*100</f>
        <v>1956.0000000000002</v>
      </c>
      <c r="R182" s="24">
        <v>314.27999999999997</v>
      </c>
      <c r="S182" s="3">
        <f>Table1[[#This Row],[ATG (ha)]]/Table1[[#This Row],[Linear Area (ha)]]</f>
        <v>0.16067484662576684</v>
      </c>
      <c r="T182" s="2" t="s">
        <v>22</v>
      </c>
      <c r="U182" s="2" t="s">
        <v>22</v>
      </c>
      <c r="V182" s="24">
        <v>314.27999999999997</v>
      </c>
      <c r="W182" s="24">
        <v>125.712</v>
      </c>
      <c r="X182" s="10">
        <v>416.63299999999998</v>
      </c>
      <c r="Y182" s="10">
        <f>Table1[[#This Row],[Raw Terrestrial Score]]/Table1[[#This Row],[Summed Raw Scores]]</f>
        <v>0.44122488984813046</v>
      </c>
      <c r="Z182" s="10">
        <v>527.63149999999996</v>
      </c>
      <c r="AA182" s="10">
        <f>Table1[[#This Row],[Raw Freshwater Score]]/Table1[[#This Row],[Summed Raw Scores]]</f>
        <v>0.55877511015186954</v>
      </c>
      <c r="AB182" s="10">
        <f>Table1[[#This Row],[Raw Terrestrial Score]]+Table1[[#This Row],[Raw Freshwater Score]]</f>
        <v>944.2645</v>
      </c>
      <c r="AC182" s="11">
        <f>Table1[[#This Row],[Terrestrial % of Summed Score]]*Table1[[#This Row],[Scaled Summed Score]]</f>
        <v>5.1193893000705065E-2</v>
      </c>
      <c r="AD182" s="11">
        <f>Table1[[#This Row],[Freshwater % of Summed Score]]*Table1[[#This Row],[Scaled Summed Score]]</f>
        <v>6.4832863826920856E-2</v>
      </c>
      <c r="AE182" s="39">
        <f>Table1[[#This Row],[Summed Raw Scores]]/MAX(Table1[Summed Raw Scores])</f>
        <v>0.11602675682762592</v>
      </c>
      <c r="AF182" s="9"/>
    </row>
    <row r="183" spans="1:32" x14ac:dyDescent="0.3">
      <c r="A183" s="8" t="s">
        <v>304</v>
      </c>
      <c r="B183" s="8" t="s">
        <v>58</v>
      </c>
      <c r="C183" s="8" t="s">
        <v>59</v>
      </c>
      <c r="D183" s="8"/>
      <c r="E183" s="24">
        <v>53.850141479999998</v>
      </c>
      <c r="F183" s="24">
        <v>-123.01207340000001</v>
      </c>
      <c r="G183" s="24">
        <v>163.09661539999999</v>
      </c>
      <c r="H183" s="8" t="s">
        <v>22</v>
      </c>
      <c r="I183" s="8" t="s">
        <v>22</v>
      </c>
      <c r="J183" s="24">
        <v>253.96906899999999</v>
      </c>
      <c r="K183" s="24">
        <v>128.94942349999999</v>
      </c>
      <c r="L183" s="9" t="s">
        <v>22</v>
      </c>
      <c r="M183" s="24">
        <v>0.4</v>
      </c>
      <c r="N183" s="24">
        <v>27.5</v>
      </c>
      <c r="O183" s="9">
        <f>Table1[[#This Row],[R1 Length (km)]]+Table1[[#This Row],[T1 Length (km)]]</f>
        <v>27.9</v>
      </c>
      <c r="P183" s="26">
        <v>230</v>
      </c>
      <c r="Q183" s="9">
        <f>(Table1[[#This Row],[Linear Features (km)]]*0.4)*100</f>
        <v>1116</v>
      </c>
      <c r="R183" s="24">
        <v>662.58</v>
      </c>
      <c r="S183" s="3">
        <f>Table1[[#This Row],[ATG (ha)]]/Table1[[#This Row],[Linear Area (ha)]]</f>
        <v>0.59370967741935488</v>
      </c>
      <c r="T183" s="2" t="s">
        <v>22</v>
      </c>
      <c r="U183" s="2" t="s">
        <v>22</v>
      </c>
      <c r="V183" s="24">
        <v>662.58</v>
      </c>
      <c r="W183" s="24">
        <v>265.03199999999998</v>
      </c>
      <c r="X183" s="10">
        <v>344.57260000000002</v>
      </c>
      <c r="Y183" s="10">
        <f>Table1[[#This Row],[Raw Terrestrial Score]]/Table1[[#This Row],[Summed Raw Scores]]</f>
        <v>0.48128623988761088</v>
      </c>
      <c r="Z183" s="10">
        <v>371.36849999999998</v>
      </c>
      <c r="AA183" s="10">
        <f>Table1[[#This Row],[Raw Freshwater Score]]/Table1[[#This Row],[Summed Raw Scores]]</f>
        <v>0.51871376011238912</v>
      </c>
      <c r="AB183" s="10">
        <f>Table1[[#This Row],[Raw Terrestrial Score]]+Table1[[#This Row],[Raw Freshwater Score]]</f>
        <v>715.94110000000001</v>
      </c>
      <c r="AC183" s="11">
        <f>Table1[[#This Row],[Terrestrial % of Summed Score]]*Table1[[#This Row],[Scaled Summed Score]]</f>
        <v>4.2339451784603591E-2</v>
      </c>
      <c r="AD183" s="11">
        <f>Table1[[#This Row],[Freshwater % of Summed Score]]*Table1[[#This Row],[Scaled Summed Score]]</f>
        <v>4.5632005272823656E-2</v>
      </c>
      <c r="AE183" s="39">
        <f>Table1[[#This Row],[Summed Raw Scores]]/MAX(Table1[Summed Raw Scores])</f>
        <v>8.7971457057427246E-2</v>
      </c>
      <c r="AF183" s="9"/>
    </row>
    <row r="184" spans="1:32" x14ac:dyDescent="0.3">
      <c r="A184" s="8" t="s">
        <v>352</v>
      </c>
      <c r="B184" s="8" t="s">
        <v>58</v>
      </c>
      <c r="C184" s="8" t="s">
        <v>59</v>
      </c>
      <c r="D184" s="8"/>
      <c r="E184" s="24">
        <v>53.911793189999997</v>
      </c>
      <c r="F184" s="24">
        <v>-122.9501451</v>
      </c>
      <c r="G184" s="24">
        <v>79.953230770000005</v>
      </c>
      <c r="H184" s="8" t="s">
        <v>22</v>
      </c>
      <c r="I184" s="8" t="s">
        <v>22</v>
      </c>
      <c r="J184" s="24">
        <v>125.1369</v>
      </c>
      <c r="K184" s="24">
        <v>141.2623447</v>
      </c>
      <c r="L184" s="9" t="s">
        <v>22</v>
      </c>
      <c r="M184" s="24">
        <v>0.6</v>
      </c>
      <c r="N184" s="24">
        <v>36.299999999999997</v>
      </c>
      <c r="O184" s="9">
        <f>Table1[[#This Row],[R1 Length (km)]]+Table1[[#This Row],[T1 Length (km)]]</f>
        <v>36.9</v>
      </c>
      <c r="P184" s="26">
        <v>130</v>
      </c>
      <c r="Q184" s="9">
        <f>(Table1[[#This Row],[Linear Features (km)]]*0.4)*100</f>
        <v>1476</v>
      </c>
      <c r="R184" s="24">
        <v>324.81</v>
      </c>
      <c r="S184" s="3">
        <f>Table1[[#This Row],[ATG (ha)]]/Table1[[#This Row],[Linear Area (ha)]]</f>
        <v>0.2200609756097561</v>
      </c>
      <c r="T184" s="2" t="s">
        <v>22</v>
      </c>
      <c r="U184" s="2" t="s">
        <v>22</v>
      </c>
      <c r="V184" s="24">
        <v>324.81</v>
      </c>
      <c r="W184" s="24">
        <v>129.92400000000001</v>
      </c>
      <c r="X184" s="10">
        <v>415.85820000000001</v>
      </c>
      <c r="Y184" s="10">
        <f>Table1[[#This Row],[Raw Terrestrial Score]]/Table1[[#This Row],[Summed Raw Scores]]</f>
        <v>0.47496579308643438</v>
      </c>
      <c r="Z184" s="10">
        <v>459.69580000000002</v>
      </c>
      <c r="AA184" s="10">
        <f>Table1[[#This Row],[Raw Freshwater Score]]/Table1[[#This Row],[Summed Raw Scores]]</f>
        <v>0.5250342069135655</v>
      </c>
      <c r="AB184" s="10">
        <f>Table1[[#This Row],[Raw Terrestrial Score]]+Table1[[#This Row],[Raw Freshwater Score]]</f>
        <v>875.55400000000009</v>
      </c>
      <c r="AC184" s="11">
        <f>Table1[[#This Row],[Terrestrial % of Summed Score]]*Table1[[#This Row],[Scaled Summed Score]]</f>
        <v>5.1098689240328558E-2</v>
      </c>
      <c r="AD184" s="11">
        <f>Table1[[#This Row],[Freshwater % of Summed Score]]*Table1[[#This Row],[Scaled Summed Score]]</f>
        <v>5.6485246243272891E-2</v>
      </c>
      <c r="AE184" s="39">
        <f>Table1[[#This Row],[Summed Raw Scores]]/MAX(Table1[Summed Raw Scores])</f>
        <v>0.10758393548360146</v>
      </c>
      <c r="AF184" s="9"/>
    </row>
    <row r="185" spans="1:32" x14ac:dyDescent="0.3">
      <c r="A185" s="8" t="s">
        <v>302</v>
      </c>
      <c r="B185" s="8" t="s">
        <v>58</v>
      </c>
      <c r="C185" s="8" t="s">
        <v>59</v>
      </c>
      <c r="D185" s="8"/>
      <c r="E185" s="24">
        <v>53.925712089999998</v>
      </c>
      <c r="F185" s="24">
        <v>-122.8625225</v>
      </c>
      <c r="G185" s="24">
        <v>113.4498462</v>
      </c>
      <c r="H185" s="8" t="s">
        <v>22</v>
      </c>
      <c r="I185" s="8" t="s">
        <v>22</v>
      </c>
      <c r="J185" s="24">
        <v>179.15782189999999</v>
      </c>
      <c r="K185" s="24">
        <v>128.72191280000001</v>
      </c>
      <c r="L185" s="9" t="s">
        <v>22</v>
      </c>
      <c r="M185" s="24">
        <v>0</v>
      </c>
      <c r="N185" s="24">
        <v>31.3</v>
      </c>
      <c r="O185" s="9">
        <f>Table1[[#This Row],[R1 Length (km)]]+Table1[[#This Row],[T1 Length (km)]]</f>
        <v>31.3</v>
      </c>
      <c r="P185" s="26">
        <v>130</v>
      </c>
      <c r="Q185" s="9">
        <f>(Table1[[#This Row],[Linear Features (km)]]*0.4)*100</f>
        <v>1252.0000000000002</v>
      </c>
      <c r="R185" s="24">
        <v>460.89</v>
      </c>
      <c r="S185" s="3">
        <f>Table1[[#This Row],[ATG (ha)]]/Table1[[#This Row],[Linear Area (ha)]]</f>
        <v>0.36812300319488811</v>
      </c>
      <c r="T185" s="2" t="s">
        <v>22</v>
      </c>
      <c r="U185" s="2" t="s">
        <v>22</v>
      </c>
      <c r="V185" s="24">
        <v>460.89</v>
      </c>
      <c r="W185" s="24">
        <v>184.35599999999999</v>
      </c>
      <c r="X185" s="10">
        <v>263.15780000000001</v>
      </c>
      <c r="Y185" s="10">
        <f>Table1[[#This Row],[Raw Terrestrial Score]]/Table1[[#This Row],[Summed Raw Scores]]</f>
        <v>0.46062148713229922</v>
      </c>
      <c r="Z185" s="10">
        <v>308.15249999999997</v>
      </c>
      <c r="AA185" s="10">
        <f>Table1[[#This Row],[Raw Freshwater Score]]/Table1[[#This Row],[Summed Raw Scores]]</f>
        <v>0.53937851286770078</v>
      </c>
      <c r="AB185" s="10">
        <f>Table1[[#This Row],[Raw Terrestrial Score]]+Table1[[#This Row],[Raw Freshwater Score]]</f>
        <v>571.31029999999998</v>
      </c>
      <c r="AC185" s="11">
        <f>Table1[[#This Row],[Terrestrial % of Summed Score]]*Table1[[#This Row],[Scaled Summed Score]]</f>
        <v>3.2335586128561453E-2</v>
      </c>
      <c r="AD185" s="11">
        <f>Table1[[#This Row],[Freshwater % of Summed Score]]*Table1[[#This Row],[Scaled Summed Score]]</f>
        <v>3.7864322108185786E-2</v>
      </c>
      <c r="AE185" s="11">
        <f>Table1[[#This Row],[Summed Raw Scores]]/MAX(Table1[Summed Raw Scores])</f>
        <v>7.0199908236747238E-2</v>
      </c>
      <c r="AF185" s="9"/>
    </row>
    <row r="186" spans="1:32" x14ac:dyDescent="0.3">
      <c r="A186" s="8" t="s">
        <v>386</v>
      </c>
      <c r="B186" s="8" t="s">
        <v>58</v>
      </c>
      <c r="C186" s="8" t="s">
        <v>59</v>
      </c>
      <c r="D186" s="8"/>
      <c r="E186" s="24">
        <v>53.864087849999997</v>
      </c>
      <c r="F186" s="24">
        <v>-122.92457210000001</v>
      </c>
      <c r="G186" s="24">
        <v>56.226461540000003</v>
      </c>
      <c r="H186" s="8" t="s">
        <v>22</v>
      </c>
      <c r="I186" s="8" t="s">
        <v>22</v>
      </c>
      <c r="J186" s="24">
        <v>88.359315530000003</v>
      </c>
      <c r="K186" s="24">
        <v>156.55513719999999</v>
      </c>
      <c r="L186" s="9" t="s">
        <v>22</v>
      </c>
      <c r="M186" s="24">
        <v>0.3</v>
      </c>
      <c r="N186" s="24">
        <v>39.700000000000003</v>
      </c>
      <c r="O186" s="9">
        <f>Table1[[#This Row],[R1 Length (km)]]+Table1[[#This Row],[T1 Length (km)]]</f>
        <v>40</v>
      </c>
      <c r="P186" s="26">
        <v>130</v>
      </c>
      <c r="Q186" s="9">
        <f>(Table1[[#This Row],[Linear Features (km)]]*0.4)*100</f>
        <v>1600</v>
      </c>
      <c r="R186" s="24">
        <v>228.42</v>
      </c>
      <c r="S186" s="3">
        <f>Table1[[#This Row],[ATG (ha)]]/Table1[[#This Row],[Linear Area (ha)]]</f>
        <v>0.14276249999999999</v>
      </c>
      <c r="T186" s="2" t="s">
        <v>22</v>
      </c>
      <c r="U186" s="2" t="s">
        <v>22</v>
      </c>
      <c r="V186" s="24">
        <v>228.42</v>
      </c>
      <c r="W186" s="24">
        <v>91.367999999999995</v>
      </c>
      <c r="X186" s="10">
        <v>368.46300000000002</v>
      </c>
      <c r="Y186" s="10">
        <f>Table1[[#This Row],[Raw Terrestrial Score]]/Table1[[#This Row],[Summed Raw Scores]]</f>
        <v>0.43313326092169674</v>
      </c>
      <c r="Z186" s="10">
        <v>482.22899999999998</v>
      </c>
      <c r="AA186" s="10">
        <f>Table1[[#This Row],[Raw Freshwater Score]]/Table1[[#This Row],[Summed Raw Scores]]</f>
        <v>0.56686673907830332</v>
      </c>
      <c r="AB186" s="10">
        <f>Table1[[#This Row],[Raw Terrestrial Score]]+Table1[[#This Row],[Raw Freshwater Score]]</f>
        <v>850.69200000000001</v>
      </c>
      <c r="AC186" s="11">
        <f>Table1[[#This Row],[Terrestrial % of Summed Score]]*Table1[[#This Row],[Scaled Summed Score]]</f>
        <v>4.5274991171411753E-2</v>
      </c>
      <c r="AD186" s="11">
        <f>Table1[[#This Row],[Freshwater % of Summed Score]]*Table1[[#This Row],[Scaled Summed Score]]</f>
        <v>5.9254019311569178E-2</v>
      </c>
      <c r="AE186" s="39">
        <f>Table1[[#This Row],[Summed Raw Scores]]/MAX(Table1[Summed Raw Scores])</f>
        <v>0.10452901048298092</v>
      </c>
      <c r="AF186" s="9"/>
    </row>
    <row r="187" spans="1:32" x14ac:dyDescent="0.3">
      <c r="A187" s="8" t="s">
        <v>339</v>
      </c>
      <c r="B187" s="8" t="s">
        <v>58</v>
      </c>
      <c r="C187" s="8" t="s">
        <v>59</v>
      </c>
      <c r="D187" s="8"/>
      <c r="E187" s="24">
        <v>53.877991010000002</v>
      </c>
      <c r="F187" s="24">
        <v>-122.8370235</v>
      </c>
      <c r="G187" s="24">
        <v>33.496615380000001</v>
      </c>
      <c r="H187" s="8" t="s">
        <v>22</v>
      </c>
      <c r="I187" s="8" t="s">
        <v>22</v>
      </c>
      <c r="J187" s="24">
        <v>52.848051429999998</v>
      </c>
      <c r="K187" s="24">
        <v>138.08396289999999</v>
      </c>
      <c r="L187" s="9" t="s">
        <v>22</v>
      </c>
      <c r="M187" s="24">
        <v>1.6</v>
      </c>
      <c r="N187" s="24">
        <v>3.9</v>
      </c>
      <c r="O187" s="9">
        <f>Table1[[#This Row],[R1 Length (km)]]+Table1[[#This Row],[T1 Length (km)]]</f>
        <v>5.5</v>
      </c>
      <c r="P187" s="26">
        <v>69</v>
      </c>
      <c r="Q187" s="9">
        <f>(Table1[[#This Row],[Linear Features (km)]]*0.4)*100</f>
        <v>220.00000000000003</v>
      </c>
      <c r="R187" s="24">
        <v>136.08000000000001</v>
      </c>
      <c r="S187" s="3">
        <f>Table1[[#This Row],[ATG (ha)]]/Table1[[#This Row],[Linear Area (ha)]]</f>
        <v>0.61854545454545451</v>
      </c>
      <c r="T187" s="2" t="s">
        <v>22</v>
      </c>
      <c r="U187" s="2" t="s">
        <v>22</v>
      </c>
      <c r="V187" s="24">
        <v>136.08000000000001</v>
      </c>
      <c r="W187" s="24">
        <v>54.432000000000002</v>
      </c>
      <c r="X187" s="10">
        <v>25.683</v>
      </c>
      <c r="Y187" s="10">
        <f>Table1[[#This Row],[Raw Terrestrial Score]]/Table1[[#This Row],[Summed Raw Scores]]</f>
        <v>0.23013673883973915</v>
      </c>
      <c r="Z187" s="10">
        <f>85.91587</f>
        <v>85.915869999999998</v>
      </c>
      <c r="AA187" s="10">
        <f>Table1[[#This Row],[Raw Freshwater Score]]/Table1[[#This Row],[Summed Raw Scores]]</f>
        <v>0.76986326116026083</v>
      </c>
      <c r="AB187" s="10">
        <f>Table1[[#This Row],[Raw Terrestrial Score]]+Table1[[#This Row],[Raw Freshwater Score]]</f>
        <v>111.59887000000001</v>
      </c>
      <c r="AC187" s="11">
        <f>Table1[[#This Row],[Terrestrial % of Summed Score]]*Table1[[#This Row],[Scaled Summed Score]]</f>
        <v>3.155805598541422E-3</v>
      </c>
      <c r="AD187" s="11">
        <f>Table1[[#This Row],[Freshwater % of Summed Score]]*Table1[[#This Row],[Scaled Summed Score]]</f>
        <v>1.0556935854439006E-2</v>
      </c>
      <c r="AE187" s="11">
        <f>Table1[[#This Row],[Summed Raw Scores]]/MAX(Table1[Summed Raw Scores])</f>
        <v>1.3712741452980428E-2</v>
      </c>
      <c r="AF187" s="9"/>
    </row>
    <row r="188" spans="1:32" x14ac:dyDescent="0.3">
      <c r="A188" s="8" t="s">
        <v>293</v>
      </c>
      <c r="B188" s="8" t="s">
        <v>58</v>
      </c>
      <c r="C188" s="8" t="s">
        <v>59</v>
      </c>
      <c r="D188" s="8"/>
      <c r="E188" s="24">
        <v>53.939587699999997</v>
      </c>
      <c r="F188" s="24">
        <v>-122.7748527</v>
      </c>
      <c r="G188" s="24">
        <v>117.23815380000001</v>
      </c>
      <c r="H188" s="8" t="s">
        <v>22</v>
      </c>
      <c r="I188" s="8" t="s">
        <v>22</v>
      </c>
      <c r="J188" s="24">
        <v>185.2655259</v>
      </c>
      <c r="K188" s="24">
        <v>126.7814691</v>
      </c>
      <c r="L188" s="9" t="s">
        <v>22</v>
      </c>
      <c r="M188" s="24">
        <v>0.6</v>
      </c>
      <c r="N188" s="24">
        <v>27.4</v>
      </c>
      <c r="O188" s="9">
        <f>Table1[[#This Row],[R1 Length (km)]]+Table1[[#This Row],[T1 Length (km)]]</f>
        <v>28</v>
      </c>
      <c r="P188" s="26">
        <v>130</v>
      </c>
      <c r="Q188" s="9">
        <f>(Table1[[#This Row],[Linear Features (km)]]*0.4)*100</f>
        <v>1120</v>
      </c>
      <c r="R188" s="24">
        <v>476.28</v>
      </c>
      <c r="S188" s="3">
        <f>Table1[[#This Row],[ATG (ha)]]/Table1[[#This Row],[Linear Area (ha)]]</f>
        <v>0.42524999999999996</v>
      </c>
      <c r="T188" s="2" t="s">
        <v>22</v>
      </c>
      <c r="U188" s="2" t="s">
        <v>22</v>
      </c>
      <c r="V188" s="24">
        <v>476.28</v>
      </c>
      <c r="W188" s="24">
        <v>190.512</v>
      </c>
      <c r="X188" s="10">
        <v>255.83439999999999</v>
      </c>
      <c r="Y188" s="10">
        <f>Table1[[#This Row],[Raw Terrestrial Score]]/Table1[[#This Row],[Summed Raw Scores]]</f>
        <v>0.4252830170487632</v>
      </c>
      <c r="Z188" s="10">
        <v>345.72829999999999</v>
      </c>
      <c r="AA188" s="10">
        <f>Table1[[#This Row],[Raw Freshwater Score]]/Table1[[#This Row],[Summed Raw Scores]]</f>
        <v>0.57471698295123685</v>
      </c>
      <c r="AB188" s="10">
        <f>Table1[[#This Row],[Raw Terrestrial Score]]+Table1[[#This Row],[Raw Freshwater Score]]</f>
        <v>601.56269999999995</v>
      </c>
      <c r="AC188" s="11">
        <f>Table1[[#This Row],[Terrestrial % of Summed Score]]*Table1[[#This Row],[Scaled Summed Score]]</f>
        <v>3.1435721365085288E-2</v>
      </c>
      <c r="AD188" s="11">
        <f>Table1[[#This Row],[Freshwater % of Summed Score]]*Table1[[#This Row],[Scaled Summed Score]]</f>
        <v>4.2481458735903442E-2</v>
      </c>
      <c r="AE188" s="11">
        <f>Table1[[#This Row],[Summed Raw Scores]]/MAX(Table1[Summed Raw Scores])</f>
        <v>7.391718010098873E-2</v>
      </c>
      <c r="AF188" s="9"/>
    </row>
    <row r="189" spans="1:32" x14ac:dyDescent="0.3">
      <c r="A189" s="8" t="s">
        <v>266</v>
      </c>
      <c r="B189" s="8" t="s">
        <v>58</v>
      </c>
      <c r="C189" s="8" t="s">
        <v>59</v>
      </c>
      <c r="D189" s="8"/>
      <c r="E189" s="24">
        <v>53.953420000000001</v>
      </c>
      <c r="F189" s="24">
        <v>-122.68713579999999</v>
      </c>
      <c r="G189" s="24">
        <v>204.16984619999999</v>
      </c>
      <c r="H189" s="8" t="s">
        <v>22</v>
      </c>
      <c r="I189" s="8" t="s">
        <v>22</v>
      </c>
      <c r="J189" s="24">
        <v>317.67374080000002</v>
      </c>
      <c r="K189" s="24">
        <v>121.5247313</v>
      </c>
      <c r="L189" s="9" t="s">
        <v>22</v>
      </c>
      <c r="M189" s="24">
        <v>0.3</v>
      </c>
      <c r="N189" s="24">
        <v>13.8</v>
      </c>
      <c r="O189" s="9">
        <f>Table1[[#This Row],[R1 Length (km)]]+Table1[[#This Row],[T1 Length (km)]]</f>
        <v>14.100000000000001</v>
      </c>
      <c r="P189" s="26">
        <v>230</v>
      </c>
      <c r="Q189" s="9">
        <f>(Table1[[#This Row],[Linear Features (km)]]*0.4)*100</f>
        <v>564</v>
      </c>
      <c r="R189" s="24">
        <v>829.44</v>
      </c>
      <c r="S189" s="3">
        <f>Table1[[#This Row],[ATG (ha)]]/Table1[[#This Row],[Linear Area (ha)]]</f>
        <v>1.4706382978723405</v>
      </c>
      <c r="T189" s="2" t="s">
        <v>22</v>
      </c>
      <c r="U189" s="2" t="s">
        <v>22</v>
      </c>
      <c r="V189" s="24">
        <v>829.44</v>
      </c>
      <c r="W189" s="24">
        <v>331.77600000000001</v>
      </c>
      <c r="X189" s="10">
        <v>218.16550000000001</v>
      </c>
      <c r="Y189" s="10">
        <f>Table1[[#This Row],[Raw Terrestrial Score]]/Table1[[#This Row],[Summed Raw Scores]]</f>
        <v>0.47469871338916458</v>
      </c>
      <c r="Z189" s="10">
        <v>241.42179999999999</v>
      </c>
      <c r="AA189" s="10">
        <f>Table1[[#This Row],[Raw Freshwater Score]]/Table1[[#This Row],[Summed Raw Scores]]</f>
        <v>0.52530128661083542</v>
      </c>
      <c r="AB189" s="10">
        <f>Table1[[#This Row],[Raw Terrestrial Score]]+Table1[[#This Row],[Raw Freshwater Score]]</f>
        <v>459.58730000000003</v>
      </c>
      <c r="AC189" s="11">
        <f>Table1[[#This Row],[Terrestrial % of Summed Score]]*Table1[[#This Row],[Scaled Summed Score]]</f>
        <v>2.6807145049588779E-2</v>
      </c>
      <c r="AD189" s="11">
        <f>Table1[[#This Row],[Freshwater % of Summed Score]]*Table1[[#This Row],[Scaled Summed Score]]</f>
        <v>2.9664769226723803E-2</v>
      </c>
      <c r="AE189" s="11">
        <f>Table1[[#This Row],[Summed Raw Scores]]/MAX(Table1[Summed Raw Scores])</f>
        <v>5.6471914276312582E-2</v>
      </c>
      <c r="AF189" s="9"/>
    </row>
    <row r="190" spans="1:32" x14ac:dyDescent="0.3">
      <c r="A190" s="8" t="s">
        <v>65</v>
      </c>
      <c r="B190" s="8" t="s">
        <v>58</v>
      </c>
      <c r="C190" s="8" t="s">
        <v>59</v>
      </c>
      <c r="D190" s="8"/>
      <c r="E190" s="9">
        <v>53.891850929999997</v>
      </c>
      <c r="F190" s="9">
        <v>-122.7494279</v>
      </c>
      <c r="G190" s="9">
        <v>370.45661538500002</v>
      </c>
      <c r="H190" s="9" t="s">
        <v>22</v>
      </c>
      <c r="I190" s="9" t="s">
        <v>22</v>
      </c>
      <c r="J190" s="9">
        <v>580.13911071541554</v>
      </c>
      <c r="K190" s="9">
        <v>100.256598345669</v>
      </c>
      <c r="L190" s="9" t="s">
        <v>22</v>
      </c>
      <c r="M190" s="9">
        <v>0</v>
      </c>
      <c r="N190" s="9">
        <v>12.1</v>
      </c>
      <c r="O190" s="9">
        <f>Table1[[#This Row],[R1 Length (km)]]+Table1[[#This Row],[T1 Length (km)]]</f>
        <v>12.1</v>
      </c>
      <c r="P190" s="8">
        <v>230</v>
      </c>
      <c r="Q190" s="9">
        <f>(Table1[[#This Row],[Linear Features (km)]]*0.4)*100</f>
        <v>484</v>
      </c>
      <c r="R190" s="9">
        <v>329.67</v>
      </c>
      <c r="S190" s="18">
        <f>Table1[[#This Row],[ATG (ha)]]/Table1[[#This Row],[Linear Area (ha)]]</f>
        <v>0.68113636363636365</v>
      </c>
      <c r="T190" s="2" t="s">
        <v>22</v>
      </c>
      <c r="U190" s="2" t="s">
        <v>22</v>
      </c>
      <c r="V190" s="9">
        <v>329.67</v>
      </c>
      <c r="W190" s="9">
        <v>131.86800000000002</v>
      </c>
      <c r="X190" s="10">
        <v>309.92169999999999</v>
      </c>
      <c r="Y190" s="10">
        <f>Table1[[#This Row],[Raw Terrestrial Score]]/Table1[[#This Row],[Summed Raw Scores]]</f>
        <v>0.60746841787215911</v>
      </c>
      <c r="Z190" s="10">
        <v>200.26400000000001</v>
      </c>
      <c r="AA190" s="10">
        <f>Table1[[#This Row],[Raw Freshwater Score]]/Table1[[#This Row],[Summed Raw Scores]]</f>
        <v>0.39253158212784095</v>
      </c>
      <c r="AB190" s="10">
        <f>Table1[[#This Row],[Raw Terrestrial Score]]+Table1[[#This Row],[Raw Freshwater Score]]</f>
        <v>510.1857</v>
      </c>
      <c r="AC190" s="11">
        <f>Table1[[#This Row],[Terrestrial % of Summed Score]]*Table1[[#This Row],[Scaled Summed Score]]</f>
        <v>3.8081713038565397E-2</v>
      </c>
      <c r="AD190" s="11">
        <f>Table1[[#This Row],[Freshwater % of Summed Score]]*Table1[[#This Row],[Scaled Summed Score]]</f>
        <v>2.4607493376408496E-2</v>
      </c>
      <c r="AE190" s="11">
        <f>Table1[[#This Row],[Summed Raw Scores]]/MAX(Table1[Summed Raw Scores])</f>
        <v>6.2689206414973886E-2</v>
      </c>
      <c r="AF190" s="9"/>
    </row>
    <row r="191" spans="1:32" x14ac:dyDescent="0.3">
      <c r="A191" s="8" t="s">
        <v>66</v>
      </c>
      <c r="B191" s="8" t="s">
        <v>58</v>
      </c>
      <c r="C191" s="8" t="s">
        <v>59</v>
      </c>
      <c r="D191" s="8"/>
      <c r="E191" s="9">
        <v>53.905667559999998</v>
      </c>
      <c r="F191" s="9">
        <v>-122.66178530000001</v>
      </c>
      <c r="G191" s="9">
        <v>382.61907692300002</v>
      </c>
      <c r="H191" s="9" t="s">
        <v>22</v>
      </c>
      <c r="I191" s="9" t="s">
        <v>22</v>
      </c>
      <c r="J191" s="9">
        <v>593.97001973886643</v>
      </c>
      <c r="K191" s="9">
        <v>100.52005295582235</v>
      </c>
      <c r="L191" s="9" t="s">
        <v>22</v>
      </c>
      <c r="M191" s="9">
        <v>0.3</v>
      </c>
      <c r="N191" s="9">
        <v>7.9</v>
      </c>
      <c r="O191" s="9">
        <f>Table1[[#This Row],[R1 Length (km)]]+Table1[[#This Row],[T1 Length (km)]]</f>
        <v>8.2000000000000011</v>
      </c>
      <c r="P191" s="8">
        <v>230</v>
      </c>
      <c r="Q191" s="9">
        <f>(Table1[[#This Row],[Linear Features (km)]]*0.4)*100</f>
        <v>328.00000000000006</v>
      </c>
      <c r="R191" s="9">
        <v>357.21</v>
      </c>
      <c r="S191" s="18">
        <f>Table1[[#This Row],[ATG (ha)]]/Table1[[#This Row],[Linear Area (ha)]]</f>
        <v>1.0890548780487803</v>
      </c>
      <c r="T191" s="2" t="s">
        <v>22</v>
      </c>
      <c r="U191" s="2" t="s">
        <v>22</v>
      </c>
      <c r="V191" s="9">
        <v>357.21</v>
      </c>
      <c r="W191" s="9">
        <v>142.88399999999999</v>
      </c>
      <c r="X191" s="10">
        <v>138.55160000000001</v>
      </c>
      <c r="Y191" s="10">
        <f>Table1[[#This Row],[Raw Terrestrial Score]]/Table1[[#This Row],[Summed Raw Scores]]</f>
        <v>0.40804284238389688</v>
      </c>
      <c r="Z191" s="10">
        <v>201</v>
      </c>
      <c r="AA191" s="10">
        <f>Table1[[#This Row],[Raw Freshwater Score]]/Table1[[#This Row],[Summed Raw Scores]]</f>
        <v>0.59195715761610312</v>
      </c>
      <c r="AB191" s="10">
        <f>Table1[[#This Row],[Raw Terrestrial Score]]+Table1[[#This Row],[Raw Freshwater Score]]</f>
        <v>339.55160000000001</v>
      </c>
      <c r="AC191" s="11">
        <f>Table1[[#This Row],[Terrestrial % of Summed Score]]*Table1[[#This Row],[Scaled Summed Score]]</f>
        <v>1.7024565470033549E-2</v>
      </c>
      <c r="AD191" s="11">
        <f>Table1[[#This Row],[Freshwater % of Summed Score]]*Table1[[#This Row],[Scaled Summed Score]]</f>
        <v>2.4697929576249885E-2</v>
      </c>
      <c r="AE191" s="11">
        <f>Table1[[#This Row],[Summed Raw Scores]]/MAX(Table1[Summed Raw Scores])</f>
        <v>4.1722495046283434E-2</v>
      </c>
      <c r="AF191" s="9"/>
    </row>
    <row r="192" spans="1:32" x14ac:dyDescent="0.3">
      <c r="A192" s="8" t="s">
        <v>274</v>
      </c>
      <c r="B192" s="8" t="s">
        <v>58</v>
      </c>
      <c r="C192" s="8" t="s">
        <v>59</v>
      </c>
      <c r="D192" s="8"/>
      <c r="E192" s="24">
        <v>53.967208919999997</v>
      </c>
      <c r="F192" s="24">
        <v>-122.599372</v>
      </c>
      <c r="G192" s="24">
        <v>129.20123079999999</v>
      </c>
      <c r="H192" s="8" t="s">
        <v>22</v>
      </c>
      <c r="I192" s="8" t="s">
        <v>22</v>
      </c>
      <c r="J192" s="24">
        <v>204.3688823</v>
      </c>
      <c r="K192" s="24">
        <v>122.9682306</v>
      </c>
      <c r="L192" s="9" t="s">
        <v>22</v>
      </c>
      <c r="M192" s="24">
        <v>0.3</v>
      </c>
      <c r="N192" s="24">
        <v>20.8</v>
      </c>
      <c r="O192" s="9">
        <f>Table1[[#This Row],[R1 Length (km)]]+Table1[[#This Row],[T1 Length (km)]]</f>
        <v>21.1</v>
      </c>
      <c r="P192" s="26">
        <v>130</v>
      </c>
      <c r="Q192" s="9">
        <f>(Table1[[#This Row],[Linear Features (km)]]*0.4)*100</f>
        <v>844.00000000000011</v>
      </c>
      <c r="R192" s="24">
        <v>524.88</v>
      </c>
      <c r="S192" s="3">
        <f>Table1[[#This Row],[ATG (ha)]]/Table1[[#This Row],[Linear Area (ha)]]</f>
        <v>0.6218957345971563</v>
      </c>
      <c r="T192" s="2" t="s">
        <v>22</v>
      </c>
      <c r="U192" s="2" t="s">
        <v>22</v>
      </c>
      <c r="V192" s="24">
        <v>524.88</v>
      </c>
      <c r="W192" s="24">
        <v>209.952</v>
      </c>
      <c r="X192" s="10">
        <v>310.82760000000002</v>
      </c>
      <c r="Y192" s="10">
        <f>Table1[[#This Row],[Raw Terrestrial Score]]/Table1[[#This Row],[Summed Raw Scores]]</f>
        <v>0.51744748574149235</v>
      </c>
      <c r="Z192" s="10">
        <v>289.8664</v>
      </c>
      <c r="AA192" s="10">
        <f>Table1[[#This Row],[Raw Freshwater Score]]/Table1[[#This Row],[Summed Raw Scores]]</f>
        <v>0.4825525142585077</v>
      </c>
      <c r="AB192" s="10">
        <f>Table1[[#This Row],[Raw Terrestrial Score]]+Table1[[#This Row],[Raw Freshwater Score]]</f>
        <v>600.69399999999996</v>
      </c>
      <c r="AC192" s="11">
        <f>Table1[[#This Row],[Terrestrial % of Summed Score]]*Table1[[#This Row],[Scaled Summed Score]]</f>
        <v>3.8193025747038645E-2</v>
      </c>
      <c r="AD192" s="11">
        <f>Table1[[#This Row],[Freshwater % of Summed Score]]*Table1[[#This Row],[Scaled Summed Score]]</f>
        <v>3.5617412605577506E-2</v>
      </c>
      <c r="AE192" s="11">
        <f>Table1[[#This Row],[Summed Raw Scores]]/MAX(Table1[Summed Raw Scores])</f>
        <v>7.3810438352616151E-2</v>
      </c>
      <c r="AF192" s="9"/>
    </row>
    <row r="193" spans="1:32" x14ac:dyDescent="0.3">
      <c r="A193" s="8" t="s">
        <v>327</v>
      </c>
      <c r="B193" s="8" t="s">
        <v>58</v>
      </c>
      <c r="C193" s="8" t="s">
        <v>59</v>
      </c>
      <c r="D193" s="8"/>
      <c r="E193" s="24">
        <v>53.980954449999999</v>
      </c>
      <c r="F193" s="24">
        <v>-122.5115613</v>
      </c>
      <c r="G193" s="24">
        <v>41.671384619999998</v>
      </c>
      <c r="H193" s="8" t="s">
        <v>22</v>
      </c>
      <c r="I193" s="8" t="s">
        <v>22</v>
      </c>
      <c r="J193" s="24">
        <v>67.307982060000001</v>
      </c>
      <c r="K193" s="24">
        <v>133.56805600000001</v>
      </c>
      <c r="L193" s="9" t="s">
        <v>22</v>
      </c>
      <c r="M193" s="24">
        <v>0.3</v>
      </c>
      <c r="N193" s="24">
        <v>14.4</v>
      </c>
      <c r="O193" s="9">
        <f>Table1[[#This Row],[R1 Length (km)]]+Table1[[#This Row],[T1 Length (km)]]</f>
        <v>14.700000000000001</v>
      </c>
      <c r="P193" s="26">
        <v>69</v>
      </c>
      <c r="Q193" s="9">
        <f>(Table1[[#This Row],[Linear Features (km)]]*0.4)*100</f>
        <v>588.00000000000011</v>
      </c>
      <c r="R193" s="24">
        <v>169.29</v>
      </c>
      <c r="S193" s="3">
        <f>Table1[[#This Row],[ATG (ha)]]/Table1[[#This Row],[Linear Area (ha)]]</f>
        <v>0.28790816326530605</v>
      </c>
      <c r="T193" s="2" t="s">
        <v>22</v>
      </c>
      <c r="U193" s="2" t="s">
        <v>22</v>
      </c>
      <c r="V193" s="24">
        <v>169.29</v>
      </c>
      <c r="W193" s="24">
        <v>67.715999999999994</v>
      </c>
      <c r="X193" s="10">
        <v>125.8853</v>
      </c>
      <c r="Y193" s="10">
        <f>Table1[[#This Row],[Raw Terrestrial Score]]/Table1[[#This Row],[Summed Raw Scores]]</f>
        <v>0.4806193115460225</v>
      </c>
      <c r="Z193" s="10">
        <v>136.0378</v>
      </c>
      <c r="AA193" s="10">
        <f>Table1[[#This Row],[Raw Freshwater Score]]/Table1[[#This Row],[Summed Raw Scores]]</f>
        <v>0.51938068845397756</v>
      </c>
      <c r="AB193" s="10">
        <f>Table1[[#This Row],[Raw Terrestrial Score]]+Table1[[#This Row],[Raw Freshwater Score]]</f>
        <v>261.92309999999998</v>
      </c>
      <c r="AC193" s="11">
        <f>Table1[[#This Row],[Terrestrial % of Summed Score]]*Table1[[#This Row],[Scaled Summed Score]]</f>
        <v>1.5468190418333779E-2</v>
      </c>
      <c r="AD193" s="11">
        <f>Table1[[#This Row],[Freshwater % of Summed Score]]*Table1[[#This Row],[Scaled Summed Score]]</f>
        <v>1.6715681612477447E-2</v>
      </c>
      <c r="AE193" s="11">
        <f>Table1[[#This Row],[Summed Raw Scores]]/MAX(Table1[Summed Raw Scores])</f>
        <v>3.2183872030811224E-2</v>
      </c>
      <c r="AF193" s="9"/>
    </row>
    <row r="194" spans="1:32" x14ac:dyDescent="0.3">
      <c r="A194" s="8" t="s">
        <v>292</v>
      </c>
      <c r="B194" s="8" t="s">
        <v>58</v>
      </c>
      <c r="C194" s="8" t="s">
        <v>59</v>
      </c>
      <c r="D194" s="8"/>
      <c r="E194" s="24">
        <v>53.919440860000002</v>
      </c>
      <c r="F194" s="24">
        <v>-122.5740959</v>
      </c>
      <c r="G194" s="24">
        <v>122.4221538</v>
      </c>
      <c r="H194" s="8" t="s">
        <v>22</v>
      </c>
      <c r="I194" s="8" t="s">
        <v>22</v>
      </c>
      <c r="J194" s="24">
        <v>191.8030253</v>
      </c>
      <c r="K194" s="24">
        <v>126.719905</v>
      </c>
      <c r="L194" s="9" t="s">
        <v>22</v>
      </c>
      <c r="M194" s="24">
        <v>0.6</v>
      </c>
      <c r="N194" s="24">
        <v>8.8000000000000007</v>
      </c>
      <c r="O194" s="9">
        <f>Table1[[#This Row],[R1 Length (km)]]+Table1[[#This Row],[T1 Length (km)]]</f>
        <v>9.4</v>
      </c>
      <c r="P194" s="26">
        <v>230</v>
      </c>
      <c r="Q194" s="9">
        <f>(Table1[[#This Row],[Linear Features (km)]]*0.4)*100</f>
        <v>376</v>
      </c>
      <c r="R194" s="24">
        <v>497.34</v>
      </c>
      <c r="S194" s="3">
        <f>Table1[[#This Row],[ATG (ha)]]/Table1[[#This Row],[Linear Area (ha)]]</f>
        <v>1.3227127659574467</v>
      </c>
      <c r="T194" s="2" t="s">
        <v>22</v>
      </c>
      <c r="U194" s="2" t="s">
        <v>22</v>
      </c>
      <c r="V194" s="24">
        <v>497.34</v>
      </c>
      <c r="W194" s="24">
        <v>198.93600000000001</v>
      </c>
      <c r="X194" s="10">
        <v>175.13460000000001</v>
      </c>
      <c r="Y194" s="10">
        <f>Table1[[#This Row],[Raw Terrestrial Score]]/Table1[[#This Row],[Summed Raw Scores]]</f>
        <v>0.56392815731743007</v>
      </c>
      <c r="Z194" s="10">
        <v>135.4273</v>
      </c>
      <c r="AA194" s="10">
        <f>Table1[[#This Row],[Raw Freshwater Score]]/Table1[[#This Row],[Summed Raw Scores]]</f>
        <v>0.43607184268256982</v>
      </c>
      <c r="AB194" s="10">
        <f>Table1[[#This Row],[Raw Terrestrial Score]]+Table1[[#This Row],[Raw Freshwater Score]]</f>
        <v>310.56190000000004</v>
      </c>
      <c r="AC194" s="11">
        <f>Table1[[#This Row],[Terrestrial % of Summed Score]]*Table1[[#This Row],[Scaled Summed Score]]</f>
        <v>2.1519711528182554E-2</v>
      </c>
      <c r="AD194" s="11">
        <f>Table1[[#This Row],[Freshwater % of Summed Score]]*Table1[[#This Row],[Scaled Summed Score]]</f>
        <v>1.6640666259212268E-2</v>
      </c>
      <c r="AE194" s="11">
        <f>Table1[[#This Row],[Summed Raw Scores]]/MAX(Table1[Summed Raw Scores])</f>
        <v>3.8160377787394825E-2</v>
      </c>
      <c r="AF194" s="9"/>
    </row>
    <row r="195" spans="1:32" x14ac:dyDescent="0.3">
      <c r="A195" s="8" t="s">
        <v>333</v>
      </c>
      <c r="B195" s="8" t="s">
        <v>58</v>
      </c>
      <c r="C195" s="8" t="s">
        <v>59</v>
      </c>
      <c r="D195" s="8"/>
      <c r="E195" s="24">
        <v>53.933170789999998</v>
      </c>
      <c r="F195" s="24">
        <v>-122.48635969999999</v>
      </c>
      <c r="G195" s="24">
        <v>17.34646154</v>
      </c>
      <c r="H195" s="8" t="s">
        <v>22</v>
      </c>
      <c r="I195" s="8" t="s">
        <v>22</v>
      </c>
      <c r="J195" s="24">
        <v>28.451653329999999</v>
      </c>
      <c r="K195" s="24">
        <v>136.31417099999999</v>
      </c>
      <c r="L195" s="9" t="s">
        <v>22</v>
      </c>
      <c r="M195" s="24">
        <v>0.9</v>
      </c>
      <c r="N195" s="24">
        <v>17.7</v>
      </c>
      <c r="O195" s="9">
        <f>Table1[[#This Row],[R1 Length (km)]]+Table1[[#This Row],[T1 Length (km)]]</f>
        <v>18.599999999999998</v>
      </c>
      <c r="P195" s="26">
        <v>25</v>
      </c>
      <c r="Q195" s="9">
        <f>(Table1[[#This Row],[Linear Features (km)]]*0.4)*100</f>
        <v>744</v>
      </c>
      <c r="R195" s="24">
        <v>70.47</v>
      </c>
      <c r="S195" s="3">
        <f>Table1[[#This Row],[ATG (ha)]]/Table1[[#This Row],[Linear Area (ha)]]</f>
        <v>9.4717741935483865E-2</v>
      </c>
      <c r="T195" s="2" t="s">
        <v>22</v>
      </c>
      <c r="U195" s="2" t="s">
        <v>22</v>
      </c>
      <c r="V195" s="24">
        <v>70.47</v>
      </c>
      <c r="W195" s="24">
        <v>28.187999999999999</v>
      </c>
      <c r="X195" s="10">
        <v>143.9683</v>
      </c>
      <c r="Y195" s="10">
        <f>Table1[[#This Row],[Raw Terrestrial Score]]/Table1[[#This Row],[Summed Raw Scores]]</f>
        <v>0.42025337517331973</v>
      </c>
      <c r="Z195" s="10">
        <v>198.60669999999999</v>
      </c>
      <c r="AA195" s="10">
        <f>Table1[[#This Row],[Raw Freshwater Score]]/Table1[[#This Row],[Summed Raw Scores]]</f>
        <v>0.57974662482668027</v>
      </c>
      <c r="AB195" s="10">
        <f>Table1[[#This Row],[Raw Terrestrial Score]]+Table1[[#This Row],[Raw Freshwater Score]]</f>
        <v>342.57499999999999</v>
      </c>
      <c r="AC195" s="11">
        <f>Table1[[#This Row],[Terrestrial % of Summed Score]]*Table1[[#This Row],[Scaled Summed Score]]</f>
        <v>1.7690143953295601E-2</v>
      </c>
      <c r="AD195" s="11">
        <f>Table1[[#This Row],[Freshwater % of Summed Score]]*Table1[[#This Row],[Scaled Summed Score]]</f>
        <v>2.4403852188912376E-2</v>
      </c>
      <c r="AE195" s="11">
        <f>Table1[[#This Row],[Summed Raw Scores]]/MAX(Table1[Summed Raw Scores])</f>
        <v>4.2093996142207976E-2</v>
      </c>
      <c r="AF195" s="9"/>
    </row>
    <row r="196" spans="1:32" x14ac:dyDescent="0.3">
      <c r="A196" s="8" t="s">
        <v>373</v>
      </c>
      <c r="B196" s="8" t="s">
        <v>58</v>
      </c>
      <c r="C196" s="8" t="s">
        <v>59</v>
      </c>
      <c r="D196" s="8"/>
      <c r="E196" s="24">
        <v>53.994656519999999</v>
      </c>
      <c r="F196" s="24">
        <v>-122.4237038</v>
      </c>
      <c r="G196" s="24">
        <v>17.944615379999998</v>
      </c>
      <c r="H196" s="8" t="s">
        <v>22</v>
      </c>
      <c r="I196" s="8" t="s">
        <v>22</v>
      </c>
      <c r="J196" s="24">
        <v>28.218782319999999</v>
      </c>
      <c r="K196" s="24">
        <v>151.73646539999999</v>
      </c>
      <c r="L196" s="9" t="s">
        <v>22</v>
      </c>
      <c r="M196" s="24">
        <v>0.3</v>
      </c>
      <c r="N196" s="24">
        <v>20.9</v>
      </c>
      <c r="O196" s="9">
        <f>Table1[[#This Row],[R1 Length (km)]]+Table1[[#This Row],[T1 Length (km)]]</f>
        <v>21.2</v>
      </c>
      <c r="P196" s="26">
        <v>25</v>
      </c>
      <c r="Q196" s="9">
        <f>(Table1[[#This Row],[Linear Features (km)]]*0.4)*100</f>
        <v>848</v>
      </c>
      <c r="R196" s="24">
        <v>72.900000000000006</v>
      </c>
      <c r="S196" s="3">
        <f>Table1[[#This Row],[ATG (ha)]]/Table1[[#This Row],[Linear Area (ha)]]</f>
        <v>8.5966981132075473E-2</v>
      </c>
      <c r="T196" s="2" t="s">
        <v>22</v>
      </c>
      <c r="U196" s="2" t="s">
        <v>22</v>
      </c>
      <c r="V196" s="24">
        <v>72.900000000000006</v>
      </c>
      <c r="W196" s="24">
        <v>29.16</v>
      </c>
      <c r="X196" s="10">
        <v>181.18960000000001</v>
      </c>
      <c r="Y196" s="10">
        <f>Table1[[#This Row],[Raw Terrestrial Score]]/Table1[[#This Row],[Summed Raw Scores]]</f>
        <v>0.53255549902462085</v>
      </c>
      <c r="Z196" s="10">
        <v>159.03710000000001</v>
      </c>
      <c r="AA196" s="10">
        <f>Table1[[#This Row],[Raw Freshwater Score]]/Table1[[#This Row],[Summed Raw Scores]]</f>
        <v>0.46744450097537904</v>
      </c>
      <c r="AB196" s="10">
        <f>Table1[[#This Row],[Raw Terrestrial Score]]+Table1[[#This Row],[Raw Freshwater Score]]</f>
        <v>340.22670000000005</v>
      </c>
      <c r="AC196" s="11">
        <f>Table1[[#This Row],[Terrestrial % of Summed Score]]*Table1[[#This Row],[Scaled Summed Score]]</f>
        <v>2.2263721297258138E-2</v>
      </c>
      <c r="AD196" s="11">
        <f>Table1[[#This Row],[Freshwater % of Summed Score]]*Table1[[#This Row],[Scaled Summed Score]]</f>
        <v>1.9541726844830899E-2</v>
      </c>
      <c r="AE196" s="11">
        <f>Table1[[#This Row],[Summed Raw Scores]]/MAX(Table1[Summed Raw Scores])</f>
        <v>4.1805448142089044E-2</v>
      </c>
      <c r="AF196" s="9"/>
    </row>
    <row r="197" spans="1:32" x14ac:dyDescent="0.3">
      <c r="A197" s="8" t="s">
        <v>397</v>
      </c>
      <c r="B197" s="8" t="s">
        <v>58</v>
      </c>
      <c r="C197" s="8" t="s">
        <v>59</v>
      </c>
      <c r="D197" s="8"/>
      <c r="E197" s="24">
        <v>53.788484179999998</v>
      </c>
      <c r="F197" s="24">
        <v>-123.0738542</v>
      </c>
      <c r="G197" s="24">
        <v>25.321846149999999</v>
      </c>
      <c r="H197" s="8" t="s">
        <v>22</v>
      </c>
      <c r="I197" s="8" t="s">
        <v>22</v>
      </c>
      <c r="J197" s="24">
        <v>39.182250029999999</v>
      </c>
      <c r="K197" s="24">
        <v>161.05166819999999</v>
      </c>
      <c r="L197" s="9" t="s">
        <v>22</v>
      </c>
      <c r="M197" s="24">
        <v>0.6</v>
      </c>
      <c r="N197" s="24">
        <v>16.600000000000001</v>
      </c>
      <c r="O197" s="9">
        <f>Table1[[#This Row],[R1 Length (km)]]+Table1[[#This Row],[T1 Length (km)]]</f>
        <v>17.200000000000003</v>
      </c>
      <c r="P197" s="26">
        <v>69</v>
      </c>
      <c r="Q197" s="9">
        <f>(Table1[[#This Row],[Linear Features (km)]]*0.4)*100</f>
        <v>688.00000000000011</v>
      </c>
      <c r="R197" s="24">
        <v>102.87</v>
      </c>
      <c r="S197" s="3">
        <f>Table1[[#This Row],[ATG (ha)]]/Table1[[#This Row],[Linear Area (ha)]]</f>
        <v>0.14952034883720927</v>
      </c>
      <c r="T197" s="2" t="s">
        <v>22</v>
      </c>
      <c r="U197" s="2" t="s">
        <v>22</v>
      </c>
      <c r="V197" s="24">
        <v>102.87</v>
      </c>
      <c r="W197" s="24">
        <v>41.148000000000003</v>
      </c>
      <c r="X197" s="10">
        <v>105.6606</v>
      </c>
      <c r="Y197" s="10">
        <f>Table1[[#This Row],[Raw Terrestrial Score]]/Table1[[#This Row],[Summed Raw Scores]]</f>
        <v>0.40814382526630016</v>
      </c>
      <c r="Z197" s="10">
        <v>153.22020000000001</v>
      </c>
      <c r="AA197" s="10">
        <f>Table1[[#This Row],[Raw Freshwater Score]]/Table1[[#This Row],[Summed Raw Scores]]</f>
        <v>0.59185617473369978</v>
      </c>
      <c r="AB197" s="10">
        <f>Table1[[#This Row],[Raw Terrestrial Score]]+Table1[[#This Row],[Raw Freshwater Score]]</f>
        <v>258.88080000000002</v>
      </c>
      <c r="AC197" s="11">
        <f>Table1[[#This Row],[Terrestrial % of Summed Score]]*Table1[[#This Row],[Scaled Summed Score]]</f>
        <v>1.2983074914349794E-2</v>
      </c>
      <c r="AD197" s="11">
        <f>Table1[[#This Row],[Freshwater % of Summed Score]]*Table1[[#This Row],[Scaled Summed Score]]</f>
        <v>1.8826973677905087E-2</v>
      </c>
      <c r="AE197" s="11">
        <f>Table1[[#This Row],[Summed Raw Scores]]/MAX(Table1[Summed Raw Scores])</f>
        <v>3.1810048592254885E-2</v>
      </c>
      <c r="AF197" s="9"/>
    </row>
    <row r="198" spans="1:32" x14ac:dyDescent="0.3">
      <c r="A198" s="8" t="s">
        <v>366</v>
      </c>
      <c r="B198" s="8" t="s">
        <v>58</v>
      </c>
      <c r="C198" s="8" t="s">
        <v>59</v>
      </c>
      <c r="D198" s="8"/>
      <c r="E198" s="24">
        <v>53.802457949999997</v>
      </c>
      <c r="F198" s="24">
        <v>-122.9864738</v>
      </c>
      <c r="G198" s="24">
        <v>87.529846149999997</v>
      </c>
      <c r="H198" s="8" t="s">
        <v>22</v>
      </c>
      <c r="I198" s="8" t="s">
        <v>22</v>
      </c>
      <c r="J198" s="24">
        <v>135.9920813</v>
      </c>
      <c r="K198" s="24">
        <v>146.15374199999999</v>
      </c>
      <c r="L198" s="9" t="s">
        <v>22</v>
      </c>
      <c r="M198" s="24">
        <v>0</v>
      </c>
      <c r="N198" s="24">
        <v>27.5</v>
      </c>
      <c r="O198" s="9">
        <f>Table1[[#This Row],[R1 Length (km)]]+Table1[[#This Row],[T1 Length (km)]]</f>
        <v>27.5</v>
      </c>
      <c r="P198" s="26">
        <v>230</v>
      </c>
      <c r="Q198" s="9">
        <f>(Table1[[#This Row],[Linear Features (km)]]*0.4)*100</f>
        <v>1100</v>
      </c>
      <c r="R198" s="24">
        <v>355.59</v>
      </c>
      <c r="S198" s="3">
        <f>Table1[[#This Row],[ATG (ha)]]/Table1[[#This Row],[Linear Area (ha)]]</f>
        <v>0.32326363636363636</v>
      </c>
      <c r="T198" s="2" t="s">
        <v>22</v>
      </c>
      <c r="U198" s="2" t="s">
        <v>22</v>
      </c>
      <c r="V198" s="24">
        <v>355.59</v>
      </c>
      <c r="W198" s="24">
        <v>142.23599999999999</v>
      </c>
      <c r="X198" s="10">
        <v>443.1277</v>
      </c>
      <c r="Y198" s="10">
        <f>Table1[[#This Row],[Raw Terrestrial Score]]/Table1[[#This Row],[Summed Raw Scores]]</f>
        <v>0.46310967854400981</v>
      </c>
      <c r="Z198" s="10">
        <v>513.72490000000005</v>
      </c>
      <c r="AA198" s="10">
        <f>Table1[[#This Row],[Raw Freshwater Score]]/Table1[[#This Row],[Summed Raw Scores]]</f>
        <v>0.53689032145599025</v>
      </c>
      <c r="AB198" s="10">
        <f>Table1[[#This Row],[Raw Terrestrial Score]]+Table1[[#This Row],[Raw Freshwater Score]]</f>
        <v>956.85260000000005</v>
      </c>
      <c r="AC198" s="11">
        <f>Table1[[#This Row],[Terrestrial % of Summed Score]]*Table1[[#This Row],[Scaled Summed Score]]</f>
        <v>5.4449436457142217E-2</v>
      </c>
      <c r="AD198" s="11">
        <f>Table1[[#This Row],[Freshwater % of Summed Score]]*Table1[[#This Row],[Scaled Summed Score]]</f>
        <v>6.3124086575950325E-2</v>
      </c>
      <c r="AE198" s="18">
        <f>Table1[[#This Row],[Summed Raw Scores]]/MAX(Table1[Summed Raw Scores])</f>
        <v>0.11757352303309254</v>
      </c>
    </row>
    <row r="199" spans="1:32" x14ac:dyDescent="0.3">
      <c r="A199" s="8" t="s">
        <v>402</v>
      </c>
      <c r="B199" s="8" t="s">
        <v>58</v>
      </c>
      <c r="C199" s="8" t="s">
        <v>59</v>
      </c>
      <c r="D199" s="8"/>
      <c r="E199" s="24">
        <v>53.754780400000001</v>
      </c>
      <c r="F199" s="24">
        <v>-122.9609213</v>
      </c>
      <c r="G199" s="24">
        <v>55.827692310000003</v>
      </c>
      <c r="H199" s="8" t="s">
        <v>22</v>
      </c>
      <c r="I199" s="8" t="s">
        <v>22</v>
      </c>
      <c r="J199" s="24">
        <v>87.185765470000007</v>
      </c>
      <c r="K199" s="24">
        <v>167.28013350000001</v>
      </c>
      <c r="L199" s="9" t="s">
        <v>22</v>
      </c>
      <c r="M199" s="24">
        <v>0.7</v>
      </c>
      <c r="N199" s="24">
        <v>28.5</v>
      </c>
      <c r="O199" s="9">
        <f>Table1[[#This Row],[R1 Length (km)]]+Table1[[#This Row],[T1 Length (km)]]</f>
        <v>29.2</v>
      </c>
      <c r="P199" s="26">
        <v>230</v>
      </c>
      <c r="Q199" s="9">
        <f>(Table1[[#This Row],[Linear Features (km)]]*0.4)*100</f>
        <v>1168</v>
      </c>
      <c r="R199" s="24">
        <v>226.8</v>
      </c>
      <c r="S199" s="3">
        <f>Table1[[#This Row],[ATG (ha)]]/Table1[[#This Row],[Linear Area (ha)]]</f>
        <v>0.19417808219178084</v>
      </c>
      <c r="T199" s="2" t="s">
        <v>22</v>
      </c>
      <c r="U199" s="2" t="s">
        <v>22</v>
      </c>
      <c r="V199" s="24">
        <v>226.8</v>
      </c>
      <c r="W199" s="24">
        <v>90.72</v>
      </c>
      <c r="X199" s="10">
        <v>315.33179999999999</v>
      </c>
      <c r="Y199" s="10">
        <f>Table1[[#This Row],[Raw Terrestrial Score]]/Table1[[#This Row],[Summed Raw Scores]]</f>
        <v>0.48651691027345112</v>
      </c>
      <c r="Z199" s="10">
        <v>332.80970000000002</v>
      </c>
      <c r="AA199" s="10">
        <f>Table1[[#This Row],[Raw Freshwater Score]]/Table1[[#This Row],[Summed Raw Scores]]</f>
        <v>0.51348308972654899</v>
      </c>
      <c r="AB199" s="10">
        <f>Table1[[#This Row],[Raw Terrestrial Score]]+Table1[[#This Row],[Raw Freshwater Score]]</f>
        <v>648.14149999999995</v>
      </c>
      <c r="AC199" s="11">
        <f>Table1[[#This Row],[Terrestrial % of Summed Score]]*Table1[[#This Row],[Scaled Summed Score]]</f>
        <v>3.8746480545035385E-2</v>
      </c>
      <c r="AD199" s="11">
        <f>Table1[[#This Row],[Freshwater % of Summed Score]]*Table1[[#This Row],[Scaled Summed Score]]</f>
        <v>4.0894082253198266E-2</v>
      </c>
      <c r="AE199" s="18">
        <f>Table1[[#This Row],[Summed Raw Scores]]/MAX(Table1[Summed Raw Scores])</f>
        <v>7.9640562798233644E-2</v>
      </c>
    </row>
    <row r="200" spans="1:32" x14ac:dyDescent="0.3">
      <c r="A200" s="8" t="s">
        <v>268</v>
      </c>
      <c r="B200" s="8" t="s">
        <v>58</v>
      </c>
      <c r="C200" s="8" t="s">
        <v>59</v>
      </c>
      <c r="D200" s="8"/>
      <c r="E200" s="24">
        <v>53.816388590000003</v>
      </c>
      <c r="F200" s="24">
        <v>-122.8990462</v>
      </c>
      <c r="G200" s="24">
        <v>198.9858462</v>
      </c>
      <c r="H200" s="8" t="s">
        <v>22</v>
      </c>
      <c r="I200" s="8" t="s">
        <v>22</v>
      </c>
      <c r="J200" s="24">
        <v>314.82487129999998</v>
      </c>
      <c r="K200" s="24">
        <v>121.6868475</v>
      </c>
      <c r="L200" s="9" t="s">
        <v>22</v>
      </c>
      <c r="M200" s="24">
        <v>0</v>
      </c>
      <c r="N200" s="24">
        <v>21</v>
      </c>
      <c r="O200" s="9">
        <f>Table1[[#This Row],[R1 Length (km)]]+Table1[[#This Row],[T1 Length (km)]]</f>
        <v>21</v>
      </c>
      <c r="P200" s="26">
        <v>230</v>
      </c>
      <c r="Q200" s="9">
        <f>(Table1[[#This Row],[Linear Features (km)]]*0.4)*100</f>
        <v>840</v>
      </c>
      <c r="R200" s="24">
        <v>808.38</v>
      </c>
      <c r="S200" s="3">
        <f>Table1[[#This Row],[ATG (ha)]]/Table1[[#This Row],[Linear Area (ha)]]</f>
        <v>0.9623571428571428</v>
      </c>
      <c r="T200" s="2" t="s">
        <v>22</v>
      </c>
      <c r="U200" s="2" t="s">
        <v>22</v>
      </c>
      <c r="V200" s="24">
        <v>808.38</v>
      </c>
      <c r="W200" s="24">
        <v>323.35199999999998</v>
      </c>
      <c r="X200" s="10">
        <v>294.29559999999998</v>
      </c>
      <c r="Y200" s="10">
        <f>Table1[[#This Row],[Raw Terrestrial Score]]/Table1[[#This Row],[Summed Raw Scores]]</f>
        <v>0.48236853539872543</v>
      </c>
      <c r="Z200" s="10">
        <v>315.80970000000002</v>
      </c>
      <c r="AA200" s="10">
        <f>Table1[[#This Row],[Raw Freshwater Score]]/Table1[[#This Row],[Summed Raw Scores]]</f>
        <v>0.51763146460127463</v>
      </c>
      <c r="AB200" s="10">
        <f>Table1[[#This Row],[Raw Terrestrial Score]]+Table1[[#This Row],[Raw Freshwater Score]]</f>
        <v>610.10529999999994</v>
      </c>
      <c r="AC200" s="11">
        <f>Table1[[#This Row],[Terrestrial % of Summed Score]]*Table1[[#This Row],[Scaled Summed Score]]</f>
        <v>3.616165175820997E-2</v>
      </c>
      <c r="AD200" s="11">
        <f>Table1[[#This Row],[Freshwater % of Summed Score]]*Table1[[#This Row],[Scaled Summed Score]]</f>
        <v>3.8805202637296532E-2</v>
      </c>
      <c r="AE200" s="18">
        <f>Table1[[#This Row],[Summed Raw Scores]]/MAX(Table1[Summed Raw Scores])</f>
        <v>7.4966854395506502E-2</v>
      </c>
    </row>
    <row r="201" spans="1:32" x14ac:dyDescent="0.3">
      <c r="A201" s="8" t="s">
        <v>317</v>
      </c>
      <c r="B201" s="8" t="s">
        <v>58</v>
      </c>
      <c r="C201" s="8" t="s">
        <v>59</v>
      </c>
      <c r="D201" s="8"/>
      <c r="E201" s="24">
        <v>53.830276069999996</v>
      </c>
      <c r="F201" s="24">
        <v>-122.81157159999999</v>
      </c>
      <c r="G201" s="24">
        <v>103.4806154</v>
      </c>
      <c r="H201" s="8" t="s">
        <v>22</v>
      </c>
      <c r="I201" s="8" t="s">
        <v>22</v>
      </c>
      <c r="J201" s="24">
        <v>163.6309201</v>
      </c>
      <c r="K201" s="24">
        <v>131.49038400000001</v>
      </c>
      <c r="L201" s="9" t="s">
        <v>22</v>
      </c>
      <c r="M201" s="24">
        <v>0</v>
      </c>
      <c r="N201" s="24">
        <v>14.3</v>
      </c>
      <c r="O201" s="9">
        <f>Table1[[#This Row],[R1 Length (km)]]+Table1[[#This Row],[T1 Length (km)]]</f>
        <v>14.3</v>
      </c>
      <c r="P201" s="26">
        <v>230</v>
      </c>
      <c r="Q201" s="9">
        <f>(Table1[[#This Row],[Linear Features (km)]]*0.4)*100</f>
        <v>572.00000000000011</v>
      </c>
      <c r="R201" s="24">
        <v>420.39</v>
      </c>
      <c r="S201" s="3">
        <f>Table1[[#This Row],[ATG (ha)]]/Table1[[#This Row],[Linear Area (ha)]]</f>
        <v>0.73494755244755228</v>
      </c>
      <c r="T201" s="2" t="s">
        <v>22</v>
      </c>
      <c r="U201" s="2" t="s">
        <v>22</v>
      </c>
      <c r="V201" s="24">
        <v>420.39</v>
      </c>
      <c r="W201" s="24">
        <v>168.15600000000001</v>
      </c>
      <c r="X201" s="10">
        <v>243.02869999999999</v>
      </c>
      <c r="Y201" s="10">
        <f>Table1[[#This Row],[Raw Terrestrial Score]]/Table1[[#This Row],[Summed Raw Scores]]</f>
        <v>0.5343147881307303</v>
      </c>
      <c r="Z201" s="10">
        <v>211.81309999999999</v>
      </c>
      <c r="AA201" s="10">
        <f>Table1[[#This Row],[Raw Freshwater Score]]/Table1[[#This Row],[Summed Raw Scores]]</f>
        <v>0.4656852118692697</v>
      </c>
      <c r="AB201" s="10">
        <f>Table1[[#This Row],[Raw Terrestrial Score]]+Table1[[#This Row],[Raw Freshwater Score]]</f>
        <v>454.84179999999998</v>
      </c>
      <c r="AC201" s="11">
        <f>Table1[[#This Row],[Terrestrial % of Summed Score]]*Table1[[#This Row],[Scaled Summed Score]]</f>
        <v>2.9862217500535124E-2</v>
      </c>
      <c r="AD201" s="11">
        <f>Table1[[#This Row],[Freshwater % of Summed Score]]*Table1[[#This Row],[Scaled Summed Score]]</f>
        <v>2.602659217476206E-2</v>
      </c>
      <c r="AE201" s="18">
        <f>Table1[[#This Row],[Summed Raw Scores]]/MAX(Table1[Summed Raw Scores])</f>
        <v>5.5888809675297184E-2</v>
      </c>
    </row>
    <row r="202" spans="1:32" x14ac:dyDescent="0.3">
      <c r="A202" s="8" t="s">
        <v>67</v>
      </c>
      <c r="B202" s="8" t="s">
        <v>58</v>
      </c>
      <c r="C202" s="8" t="s">
        <v>59</v>
      </c>
      <c r="D202" s="8"/>
      <c r="E202" s="9">
        <v>53.768695370000003</v>
      </c>
      <c r="F202" s="9">
        <v>-122.8735674</v>
      </c>
      <c r="G202" s="9">
        <v>305.25784615399999</v>
      </c>
      <c r="H202" s="9" t="s">
        <v>22</v>
      </c>
      <c r="I202" s="9" t="s">
        <v>22</v>
      </c>
      <c r="J202" s="9">
        <v>485.659340765303</v>
      </c>
      <c r="K202" s="9">
        <v>101.00995459166877</v>
      </c>
      <c r="L202" s="9" t="s">
        <v>22</v>
      </c>
      <c r="M202" s="9">
        <v>0.6</v>
      </c>
      <c r="N202" s="9">
        <v>21.1</v>
      </c>
      <c r="O202" s="9">
        <f>Table1[[#This Row],[R1 Length (km)]]+Table1[[#This Row],[T1 Length (km)]]</f>
        <v>21.700000000000003</v>
      </c>
      <c r="P202" s="8">
        <v>230</v>
      </c>
      <c r="Q202" s="9">
        <f>(Table1[[#This Row],[Linear Features (km)]]*0.4)*100</f>
        <v>868.00000000000011</v>
      </c>
      <c r="R202" s="9">
        <v>328.05</v>
      </c>
      <c r="S202" s="18">
        <f>Table1[[#This Row],[ATG (ha)]]/Table1[[#This Row],[Linear Area (ha)]]</f>
        <v>0.37793778801843314</v>
      </c>
      <c r="T202" s="2" t="s">
        <v>22</v>
      </c>
      <c r="U202" s="2" t="s">
        <v>22</v>
      </c>
      <c r="V202" s="9">
        <v>328.05</v>
      </c>
      <c r="W202" s="9">
        <v>131.22</v>
      </c>
      <c r="X202" s="10">
        <v>239.10470000000001</v>
      </c>
      <c r="Y202" s="10">
        <f>Table1[[#This Row],[Raw Terrestrial Score]]/Table1[[#This Row],[Summed Raw Scores]]</f>
        <v>0.53953633731753492</v>
      </c>
      <c r="Z202" s="10">
        <v>204.06229999999999</v>
      </c>
      <c r="AA202" s="10">
        <f>Table1[[#This Row],[Raw Freshwater Score]]/Table1[[#This Row],[Summed Raw Scores]]</f>
        <v>0.46046366268246502</v>
      </c>
      <c r="AB202" s="10">
        <f>Table1[[#This Row],[Raw Terrestrial Score]]+Table1[[#This Row],[Raw Freshwater Score]]</f>
        <v>443.16700000000003</v>
      </c>
      <c r="AC202" s="11">
        <f>Table1[[#This Row],[Terrestrial % of Summed Score]]*Table1[[#This Row],[Scaled Summed Score]]</f>
        <v>2.9380054935076397E-2</v>
      </c>
      <c r="AD202" s="11">
        <f>Table1[[#This Row],[Freshwater % of Summed Score]]*Table1[[#This Row],[Scaled Summed Score]]</f>
        <v>2.50742105202367E-2</v>
      </c>
      <c r="AE202" s="18">
        <f>Table1[[#This Row],[Summed Raw Scores]]/MAX(Table1[Summed Raw Scores])</f>
        <v>5.4454265455313101E-2</v>
      </c>
    </row>
    <row r="203" spans="1:32" x14ac:dyDescent="0.3">
      <c r="A203" s="8" t="s">
        <v>68</v>
      </c>
      <c r="B203" s="8" t="s">
        <v>58</v>
      </c>
      <c r="C203" s="8" t="s">
        <v>59</v>
      </c>
      <c r="D203" s="8"/>
      <c r="E203" s="9">
        <v>53.844120330000003</v>
      </c>
      <c r="F203" s="9">
        <v>-122.72405000000001</v>
      </c>
      <c r="G203" s="9">
        <v>323.60123076899998</v>
      </c>
      <c r="H203" s="9" t="s">
        <v>22</v>
      </c>
      <c r="I203" s="9" t="s">
        <v>22</v>
      </c>
      <c r="J203" s="9">
        <v>502.62833385978621</v>
      </c>
      <c r="K203" s="9">
        <v>101.2851055941847</v>
      </c>
      <c r="L203" s="9" t="s">
        <v>22</v>
      </c>
      <c r="M203" s="9">
        <v>0</v>
      </c>
      <c r="N203" s="9">
        <v>7.9</v>
      </c>
      <c r="O203" s="9">
        <f>Table1[[#This Row],[R1 Length (km)]]+Table1[[#This Row],[T1 Length (km)]]</f>
        <v>7.9</v>
      </c>
      <c r="P203" s="8">
        <v>230</v>
      </c>
      <c r="Q203" s="9">
        <f>(Table1[[#This Row],[Linear Features (km)]]*0.4)*100</f>
        <v>316</v>
      </c>
      <c r="R203" s="9">
        <v>430.11</v>
      </c>
      <c r="S203" s="18">
        <f>Table1[[#This Row],[ATG (ha)]]/Table1[[#This Row],[Linear Area (ha)]]</f>
        <v>1.3611075949367089</v>
      </c>
      <c r="T203" s="2" t="s">
        <v>22</v>
      </c>
      <c r="U203" s="2" t="s">
        <v>22</v>
      </c>
      <c r="V203" s="9">
        <v>430.11</v>
      </c>
      <c r="W203" s="9">
        <v>172.04400000000001</v>
      </c>
      <c r="X203" s="10">
        <v>164.67439999999999</v>
      </c>
      <c r="Y203" s="10">
        <f>Table1[[#This Row],[Raw Terrestrial Score]]/Table1[[#This Row],[Summed Raw Scores]]</f>
        <v>0.45453965805685692</v>
      </c>
      <c r="Z203" s="10">
        <v>197.6139</v>
      </c>
      <c r="AA203" s="10">
        <f>Table1[[#This Row],[Raw Freshwater Score]]/Table1[[#This Row],[Summed Raw Scores]]</f>
        <v>0.54546034194314308</v>
      </c>
      <c r="AB203" s="10">
        <f>Table1[[#This Row],[Raw Terrestrial Score]]+Table1[[#This Row],[Raw Freshwater Score]]</f>
        <v>362.28829999999999</v>
      </c>
      <c r="AC203" s="11">
        <f>Table1[[#This Row],[Terrestrial % of Summed Score]]*Table1[[#This Row],[Scaled Summed Score]]</f>
        <v>2.0234411612991061E-2</v>
      </c>
      <c r="AD203" s="11">
        <f>Table1[[#This Row],[Freshwater % of Summed Score]]*Table1[[#This Row],[Scaled Summed Score]]</f>
        <v>2.4281861619343717E-2</v>
      </c>
      <c r="AE203" s="18">
        <f>Table1[[#This Row],[Summed Raw Scores]]/MAX(Table1[Summed Raw Scores])</f>
        <v>4.4516273232334778E-2</v>
      </c>
    </row>
    <row r="204" spans="1:32" x14ac:dyDescent="0.3">
      <c r="A204" s="8" t="s">
        <v>69</v>
      </c>
      <c r="B204" s="8" t="s">
        <v>58</v>
      </c>
      <c r="C204" s="8" t="s">
        <v>59</v>
      </c>
      <c r="D204" s="8"/>
      <c r="E204" s="9">
        <v>53.857921349999998</v>
      </c>
      <c r="F204" s="9">
        <v>-122.6364816</v>
      </c>
      <c r="G204" s="9">
        <v>587.18769230800001</v>
      </c>
      <c r="H204" s="9" t="s">
        <v>22</v>
      </c>
      <c r="I204" s="9" t="s">
        <v>22</v>
      </c>
      <c r="J204" s="9">
        <v>908.36290450179092</v>
      </c>
      <c r="K204" s="9">
        <v>103.28156857498674</v>
      </c>
      <c r="L204" s="9" t="s">
        <v>22</v>
      </c>
      <c r="M204" s="9">
        <v>0.3</v>
      </c>
      <c r="N204" s="9">
        <v>0</v>
      </c>
      <c r="O204" s="9">
        <f>Table1[[#This Row],[R1 Length (km)]]+Table1[[#This Row],[T1 Length (km)]]</f>
        <v>0.3</v>
      </c>
      <c r="P204" s="8">
        <v>500</v>
      </c>
      <c r="Q204" s="9">
        <f>(Table1[[#This Row],[Linear Features (km)]]*0.4)*100</f>
        <v>12</v>
      </c>
      <c r="R204" s="9">
        <v>447.93</v>
      </c>
      <c r="S204" s="18">
        <f>Table1[[#This Row],[ATG (ha)]]/Table1[[#This Row],[Linear Area (ha)]]</f>
        <v>37.327500000000001</v>
      </c>
      <c r="T204" s="2" t="s">
        <v>22</v>
      </c>
      <c r="U204" s="2" t="s">
        <v>22</v>
      </c>
      <c r="V204" s="9">
        <v>447.93</v>
      </c>
      <c r="W204" s="9">
        <v>179.17200000000003</v>
      </c>
      <c r="X204" s="10">
        <v>261.38339999999999</v>
      </c>
      <c r="Y204" s="10">
        <f>Table1[[#This Row],[Raw Terrestrial Score]]/Table1[[#This Row],[Summed Raw Scores]]</f>
        <v>0.64958793031720496</v>
      </c>
      <c r="Z204" s="10">
        <v>141</v>
      </c>
      <c r="AA204" s="10">
        <f>Table1[[#This Row],[Raw Freshwater Score]]/Table1[[#This Row],[Summed Raw Scores]]</f>
        <v>0.35041206968279509</v>
      </c>
      <c r="AB204" s="10">
        <f>Table1[[#This Row],[Raw Terrestrial Score]]+Table1[[#This Row],[Raw Freshwater Score]]</f>
        <v>402.38339999999999</v>
      </c>
      <c r="AC204" s="11">
        <f>Table1[[#This Row],[Terrestrial % of Summed Score]]*Table1[[#This Row],[Scaled Summed Score]]</f>
        <v>3.2117556246769922E-2</v>
      </c>
      <c r="AD204" s="11">
        <f>Table1[[#This Row],[Freshwater % of Summed Score]]*Table1[[#This Row],[Scaled Summed Score]]</f>
        <v>1.732541328483201E-2</v>
      </c>
      <c r="AE204" s="18">
        <f>Table1[[#This Row],[Summed Raw Scores]]/MAX(Table1[Summed Raw Scores])</f>
        <v>4.9442969531601925E-2</v>
      </c>
    </row>
    <row r="205" spans="1:32" x14ac:dyDescent="0.3">
      <c r="A205" s="8" t="s">
        <v>70</v>
      </c>
      <c r="B205" s="8" t="s">
        <v>58</v>
      </c>
      <c r="C205" s="8" t="s">
        <v>59</v>
      </c>
      <c r="D205" s="8"/>
      <c r="E205" s="9">
        <v>53.796395869999998</v>
      </c>
      <c r="F205" s="9">
        <v>-122.698719</v>
      </c>
      <c r="G205" s="9">
        <v>208.15753846199999</v>
      </c>
      <c r="H205" s="9" t="s">
        <v>22</v>
      </c>
      <c r="I205" s="9" t="s">
        <v>22</v>
      </c>
      <c r="J205" s="9">
        <v>322.65399598024555</v>
      </c>
      <c r="K205" s="9">
        <v>104.7992600895695</v>
      </c>
      <c r="L205" s="9" t="s">
        <v>22</v>
      </c>
      <c r="M205" s="9">
        <v>0.3</v>
      </c>
      <c r="N205" s="9">
        <v>9.1999999999999993</v>
      </c>
      <c r="O205" s="9">
        <f>Table1[[#This Row],[R1 Length (km)]]+Table1[[#This Row],[T1 Length (km)]]</f>
        <v>9.5</v>
      </c>
      <c r="P205" s="8">
        <v>230</v>
      </c>
      <c r="Q205" s="9">
        <f>(Table1[[#This Row],[Linear Features (km)]]*0.4)*100</f>
        <v>380</v>
      </c>
      <c r="R205" s="9">
        <v>1990.98</v>
      </c>
      <c r="S205" s="18">
        <f>Table1[[#This Row],[ATG (ha)]]/Table1[[#This Row],[Linear Area (ha)]]</f>
        <v>5.2394210526315792</v>
      </c>
      <c r="T205" s="2" t="s">
        <v>22</v>
      </c>
      <c r="U205" s="2" t="s">
        <v>22</v>
      </c>
      <c r="V205" s="9">
        <v>1990.98</v>
      </c>
      <c r="W205" s="9">
        <v>796.39200000000005</v>
      </c>
      <c r="X205" s="10">
        <v>906.19550000000004</v>
      </c>
      <c r="Y205" s="10">
        <f>Table1[[#This Row],[Raw Terrestrial Score]]/Table1[[#This Row],[Summed Raw Scores]]</f>
        <v>0.53844682098218011</v>
      </c>
      <c r="Z205" s="10">
        <v>776.78499999999997</v>
      </c>
      <c r="AA205" s="10">
        <f>Table1[[#This Row],[Raw Freshwater Score]]/Table1[[#This Row],[Summed Raw Scores]]</f>
        <v>0.46155317901781984</v>
      </c>
      <c r="AB205" s="10">
        <f>Table1[[#This Row],[Raw Terrestrial Score]]+Table1[[#This Row],[Raw Freshwater Score]]</f>
        <v>1682.9805000000001</v>
      </c>
      <c r="AC205" s="11">
        <f>Table1[[#This Row],[Terrestrial % of Summed Score]]*Table1[[#This Row],[Scaled Summed Score]]</f>
        <v>0.11134901811599281</v>
      </c>
      <c r="AD205" s="11">
        <f>Table1[[#This Row],[Freshwater % of Summed Score]]*Table1[[#This Row],[Scaled Summed Score]]</f>
        <v>9.5447667790483914E-2</v>
      </c>
      <c r="AE205" s="18">
        <f>Table1[[#This Row],[Summed Raw Scores]]/MAX(Table1[Summed Raw Scores])</f>
        <v>0.20679668590647673</v>
      </c>
    </row>
    <row r="206" spans="1:32" x14ac:dyDescent="0.3">
      <c r="A206" s="8" t="s">
        <v>71</v>
      </c>
      <c r="B206" s="8" t="s">
        <v>58</v>
      </c>
      <c r="C206" s="8" t="s">
        <v>59</v>
      </c>
      <c r="D206" s="8"/>
      <c r="E206" s="31">
        <v>53.810181309999997</v>
      </c>
      <c r="F206" s="31">
        <v>-122.61122469999999</v>
      </c>
      <c r="G206" s="31">
        <v>490.08738461500002</v>
      </c>
      <c r="H206" s="9" t="s">
        <v>22</v>
      </c>
      <c r="I206" s="9" t="s">
        <v>22</v>
      </c>
      <c r="J206" s="31">
        <v>754.37483183767301</v>
      </c>
      <c r="K206" s="31">
        <v>100.03668615824678</v>
      </c>
      <c r="L206" s="9" t="s">
        <v>22</v>
      </c>
      <c r="M206" s="31">
        <v>0.3</v>
      </c>
      <c r="N206" s="31">
        <v>4.2</v>
      </c>
      <c r="O206" s="9">
        <f>Table1[[#This Row],[R1 Length (km)]]+Table1[[#This Row],[T1 Length (km)]]</f>
        <v>4.5</v>
      </c>
      <c r="P206" s="28">
        <v>230</v>
      </c>
      <c r="Q206" s="9">
        <f>(Table1[[#This Row],[Linear Features (km)]]*0.4)*100</f>
        <v>180</v>
      </c>
      <c r="R206" s="31">
        <v>1504.98</v>
      </c>
      <c r="S206" s="18">
        <f>Table1[[#This Row],[ATG (ha)]]/Table1[[#This Row],[Linear Area (ha)]]</f>
        <v>8.3610000000000007</v>
      </c>
      <c r="T206" s="2" t="s">
        <v>22</v>
      </c>
      <c r="U206" s="2" t="s">
        <v>22</v>
      </c>
      <c r="V206" s="31">
        <v>1504.98</v>
      </c>
      <c r="W206" s="31">
        <v>601.99200000000008</v>
      </c>
      <c r="X206" s="10">
        <v>797.35709999999995</v>
      </c>
      <c r="Y206" s="10">
        <f>Table1[[#This Row],[Raw Terrestrial Score]]/Table1[[#This Row],[Summed Raw Scores]]</f>
        <v>0.58958664750271406</v>
      </c>
      <c r="Z206" s="10">
        <v>555.04309999999998</v>
      </c>
      <c r="AA206" s="10">
        <f>Table1[[#This Row],[Raw Freshwater Score]]/Table1[[#This Row],[Summed Raw Scores]]</f>
        <v>0.41041335249728589</v>
      </c>
      <c r="AB206" s="10">
        <f>Table1[[#This Row],[Raw Terrestrial Score]]+Table1[[#This Row],[Raw Freshwater Score]]</f>
        <v>1352.4002</v>
      </c>
      <c r="AC206" s="11">
        <f>Table1[[#This Row],[Terrestrial % of Summed Score]]*Table1[[#This Row],[Scaled Summed Score]]</f>
        <v>9.7975470163795209E-2</v>
      </c>
      <c r="AD206" s="11">
        <f>Table1[[#This Row],[Freshwater % of Summed Score]]*Table1[[#This Row],[Scaled Summed Score]]</f>
        <v>6.8201071619818018E-2</v>
      </c>
      <c r="AE206" s="18">
        <f>Table1[[#This Row],[Summed Raw Scores]]/MAX(Table1[Summed Raw Scores])</f>
        <v>0.16617654178361324</v>
      </c>
    </row>
    <row r="207" spans="1:32" x14ac:dyDescent="0.3">
      <c r="A207" s="8" t="s">
        <v>295</v>
      </c>
      <c r="B207" s="8" t="s">
        <v>58</v>
      </c>
      <c r="C207" s="8" t="s">
        <v>59</v>
      </c>
      <c r="D207" s="8"/>
      <c r="E207" s="34">
        <v>53.871679069999999</v>
      </c>
      <c r="F207" s="34">
        <v>-122.5488665</v>
      </c>
      <c r="G207" s="34">
        <v>114.64615379999999</v>
      </c>
      <c r="H207" s="8" t="s">
        <v>22</v>
      </c>
      <c r="I207" s="8" t="s">
        <v>22</v>
      </c>
      <c r="J207" s="34">
        <v>178.95521980000001</v>
      </c>
      <c r="K207" s="34">
        <v>126.9051374</v>
      </c>
      <c r="L207" s="9" t="s">
        <v>22</v>
      </c>
      <c r="M207" s="34">
        <v>1.7</v>
      </c>
      <c r="N207" s="34">
        <v>5</v>
      </c>
      <c r="O207" s="9">
        <f>Table1[[#This Row],[R1 Length (km)]]+Table1[[#This Row],[T1 Length (km)]]</f>
        <v>6.7</v>
      </c>
      <c r="P207" s="38">
        <v>230</v>
      </c>
      <c r="Q207" s="9">
        <f>(Table1[[#This Row],[Linear Features (km)]]*0.4)*100</f>
        <v>268</v>
      </c>
      <c r="R207" s="34">
        <v>465.75</v>
      </c>
      <c r="S207" s="3">
        <f>Table1[[#This Row],[ATG (ha)]]/Table1[[#This Row],[Linear Area (ha)]]</f>
        <v>1.7378731343283582</v>
      </c>
      <c r="T207" s="2" t="s">
        <v>22</v>
      </c>
      <c r="U207" s="2" t="s">
        <v>22</v>
      </c>
      <c r="V207" s="34">
        <v>465.75</v>
      </c>
      <c r="W207" s="34">
        <v>186.3</v>
      </c>
      <c r="X207" s="10">
        <v>65.424869999999999</v>
      </c>
      <c r="Y207" s="10">
        <f>Table1[[#This Row],[Raw Terrestrial Score]]/Table1[[#This Row],[Summed Raw Scores]]</f>
        <v>0.50007731436126301</v>
      </c>
      <c r="Z207" s="10">
        <v>65.404640000000001</v>
      </c>
      <c r="AA207" s="10">
        <f>Table1[[#This Row],[Raw Freshwater Score]]/Table1[[#This Row],[Summed Raw Scores]]</f>
        <v>0.49992268563873704</v>
      </c>
      <c r="AB207" s="10">
        <f>Table1[[#This Row],[Raw Terrestrial Score]]+Table1[[#This Row],[Raw Freshwater Score]]</f>
        <v>130.82951</v>
      </c>
      <c r="AC207" s="11">
        <f>Table1[[#This Row],[Terrestrial % of Summed Score]]*Table1[[#This Row],[Scaled Summed Score]]</f>
        <v>8.0390986656482775E-3</v>
      </c>
      <c r="AD207" s="11">
        <f>Table1[[#This Row],[Freshwater % of Summed Score]]*Table1[[#This Row],[Scaled Summed Score]]</f>
        <v>8.0366128989053549E-3</v>
      </c>
      <c r="AE207" s="18">
        <f>Table1[[#This Row],[Summed Raw Scores]]/MAX(Table1[Summed Raw Scores])</f>
        <v>1.6075711564553632E-2</v>
      </c>
    </row>
    <row r="208" spans="1:32" x14ac:dyDescent="0.3">
      <c r="A208" s="8" t="s">
        <v>336</v>
      </c>
      <c r="B208" s="8" t="s">
        <v>58</v>
      </c>
      <c r="C208" s="8" t="s">
        <v>59</v>
      </c>
      <c r="D208" s="8"/>
      <c r="E208" s="34">
        <v>53.823923499999999</v>
      </c>
      <c r="F208" s="34">
        <v>-122.5236838</v>
      </c>
      <c r="G208" s="34">
        <v>18.542769230000001</v>
      </c>
      <c r="H208" s="8" t="s">
        <v>22</v>
      </c>
      <c r="I208" s="8" t="s">
        <v>22</v>
      </c>
      <c r="J208" s="34">
        <v>28.7806788</v>
      </c>
      <c r="K208" s="34">
        <v>137.32988589999999</v>
      </c>
      <c r="L208" s="9" t="s">
        <v>22</v>
      </c>
      <c r="M208" s="34">
        <v>1.9</v>
      </c>
      <c r="N208" s="34">
        <v>12.1</v>
      </c>
      <c r="O208" s="9">
        <f>Table1[[#This Row],[R1 Length (km)]]+Table1[[#This Row],[T1 Length (km)]]</f>
        <v>14</v>
      </c>
      <c r="P208" s="38">
        <v>25</v>
      </c>
      <c r="Q208" s="9">
        <f>(Table1[[#This Row],[Linear Features (km)]]*0.4)*100</f>
        <v>560</v>
      </c>
      <c r="R208" s="34">
        <v>75.33</v>
      </c>
      <c r="S208" s="3">
        <f>Table1[[#This Row],[ATG (ha)]]/Table1[[#This Row],[Linear Area (ha)]]</f>
        <v>0.13451785714285713</v>
      </c>
      <c r="T208" s="2" t="s">
        <v>22</v>
      </c>
      <c r="U208" s="2" t="s">
        <v>22</v>
      </c>
      <c r="V208" s="34">
        <v>75.33</v>
      </c>
      <c r="W208" s="34">
        <v>30.132000000000001</v>
      </c>
      <c r="X208" s="10">
        <v>199.51490000000001</v>
      </c>
      <c r="Y208" s="10">
        <f>Table1[[#This Row],[Raw Terrestrial Score]]/Table1[[#This Row],[Summed Raw Scores]]</f>
        <v>0.55678379927587229</v>
      </c>
      <c r="Z208" s="10">
        <v>158.81970000000001</v>
      </c>
      <c r="AA208" s="10">
        <f>Table1[[#This Row],[Raw Freshwater Score]]/Table1[[#This Row],[Summed Raw Scores]]</f>
        <v>0.44321620072412765</v>
      </c>
      <c r="AB208" s="10">
        <f>Table1[[#This Row],[Raw Terrestrial Score]]+Table1[[#This Row],[Raw Freshwater Score]]</f>
        <v>358.33460000000002</v>
      </c>
      <c r="AC208" s="11">
        <f>Table1[[#This Row],[Terrestrial % of Summed Score]]*Table1[[#This Row],[Scaled Summed Score]]</f>
        <v>2.451544751051014E-2</v>
      </c>
      <c r="AD208" s="11">
        <f>Table1[[#This Row],[Freshwater % of Summed Score]]*Table1[[#This Row],[Scaled Summed Score]]</f>
        <v>1.9515013760801662E-2</v>
      </c>
      <c r="AE208" s="18">
        <f>Table1[[#This Row],[Summed Raw Scores]]/MAX(Table1[Summed Raw Scores])</f>
        <v>4.4030461271311806E-2</v>
      </c>
    </row>
    <row r="209" spans="1:31" x14ac:dyDescent="0.3">
      <c r="A209" s="8" t="s">
        <v>263</v>
      </c>
      <c r="B209" s="8" t="s">
        <v>58</v>
      </c>
      <c r="C209" s="8" t="s">
        <v>59</v>
      </c>
      <c r="D209" s="8"/>
      <c r="E209" s="34">
        <v>53.748677469999997</v>
      </c>
      <c r="F209" s="34">
        <v>-122.6734347</v>
      </c>
      <c r="G209" s="34">
        <v>226.8996923</v>
      </c>
      <c r="H209" s="8" t="s">
        <v>22</v>
      </c>
      <c r="I209" s="8" t="s">
        <v>22</v>
      </c>
      <c r="J209" s="34">
        <v>351.57893840000003</v>
      </c>
      <c r="K209" s="34">
        <v>120.639031</v>
      </c>
      <c r="L209" s="9" t="s">
        <v>22</v>
      </c>
      <c r="M209" s="34">
        <v>0.4</v>
      </c>
      <c r="N209" s="34">
        <v>13</v>
      </c>
      <c r="O209" s="9">
        <f>Table1[[#This Row],[R1 Length (km)]]+Table1[[#This Row],[T1 Length (km)]]</f>
        <v>13.4</v>
      </c>
      <c r="P209" s="38">
        <v>230</v>
      </c>
      <c r="Q209" s="9">
        <f>(Table1[[#This Row],[Linear Features (km)]]*0.4)*100</f>
        <v>536</v>
      </c>
      <c r="R209" s="34">
        <v>921.78</v>
      </c>
      <c r="S209" s="3">
        <f>Table1[[#This Row],[ATG (ha)]]/Table1[[#This Row],[Linear Area (ha)]]</f>
        <v>1.7197388059701493</v>
      </c>
      <c r="T209" s="2" t="s">
        <v>22</v>
      </c>
      <c r="U209" s="2" t="s">
        <v>22</v>
      </c>
      <c r="V209" s="34">
        <v>921.78</v>
      </c>
      <c r="W209" s="34">
        <v>368.71199999999999</v>
      </c>
      <c r="X209" s="10">
        <v>285.98500000000001</v>
      </c>
      <c r="Y209" s="10">
        <f>Table1[[#This Row],[Raw Terrestrial Score]]/Table1[[#This Row],[Summed Raw Scores]]</f>
        <v>0.60433912895371578</v>
      </c>
      <c r="Z209" s="10">
        <v>187.23439999999999</v>
      </c>
      <c r="AA209" s="10">
        <f>Table1[[#This Row],[Raw Freshwater Score]]/Table1[[#This Row],[Summed Raw Scores]]</f>
        <v>0.39566087104628422</v>
      </c>
      <c r="AB209" s="10">
        <f>Table1[[#This Row],[Raw Terrestrial Score]]+Table1[[#This Row],[Raw Freshwater Score]]</f>
        <v>473.21940000000001</v>
      </c>
      <c r="AC209" s="11">
        <f>Table1[[#This Row],[Terrestrial % of Summed Score]]*Table1[[#This Row],[Scaled Summed Score]]</f>
        <v>3.5140484526685688E-2</v>
      </c>
      <c r="AD209" s="11">
        <f>Table1[[#This Row],[Freshwater % of Summed Score]]*Table1[[#This Row],[Scaled Summed Score]]</f>
        <v>2.3006477738564186E-2</v>
      </c>
      <c r="AE209" s="18">
        <f>Table1[[#This Row],[Summed Raw Scores]]/MAX(Table1[Summed Raw Scores])</f>
        <v>5.8146962265249874E-2</v>
      </c>
    </row>
    <row r="210" spans="1:31" x14ac:dyDescent="0.3">
      <c r="A210" s="8" t="s">
        <v>72</v>
      </c>
      <c r="B210" s="8" t="s">
        <v>58</v>
      </c>
      <c r="C210" s="8" t="s">
        <v>59</v>
      </c>
      <c r="D210" s="8"/>
      <c r="E210" s="33">
        <v>53.762447399999999</v>
      </c>
      <c r="F210" s="33">
        <v>-122.5860143</v>
      </c>
      <c r="G210" s="33">
        <v>267.77353846199998</v>
      </c>
      <c r="H210" s="9" t="s">
        <v>22</v>
      </c>
      <c r="I210" s="9" t="s">
        <v>22</v>
      </c>
      <c r="J210" s="33">
        <v>417.37455832924564</v>
      </c>
      <c r="K210" s="33">
        <v>102.45902931533188</v>
      </c>
      <c r="L210" s="9" t="s">
        <v>22</v>
      </c>
      <c r="M210" s="33">
        <v>0.3</v>
      </c>
      <c r="N210" s="33">
        <v>10.3</v>
      </c>
      <c r="O210" s="9">
        <f>Table1[[#This Row],[R1 Length (km)]]+Table1[[#This Row],[T1 Length (km)]]</f>
        <v>10.600000000000001</v>
      </c>
      <c r="P210" s="36">
        <v>230</v>
      </c>
      <c r="Q210" s="9">
        <f>(Table1[[#This Row],[Linear Features (km)]]*0.4)*100</f>
        <v>424.00000000000011</v>
      </c>
      <c r="R210" s="33">
        <v>378.27000000000004</v>
      </c>
      <c r="S210" s="18">
        <f>Table1[[#This Row],[ATG (ha)]]/Table1[[#This Row],[Linear Area (ha)]]</f>
        <v>0.89214622641509422</v>
      </c>
      <c r="T210" s="2" t="s">
        <v>22</v>
      </c>
      <c r="U210" s="2" t="s">
        <v>22</v>
      </c>
      <c r="V210" s="33">
        <v>378.27000000000004</v>
      </c>
      <c r="W210" s="33">
        <v>151.30800000000002</v>
      </c>
      <c r="X210" s="10">
        <v>344.08269999999999</v>
      </c>
      <c r="Y210" s="10">
        <f>Table1[[#This Row],[Raw Terrestrial Score]]/Table1[[#This Row],[Summed Raw Scores]]</f>
        <v>0.59148056696976203</v>
      </c>
      <c r="Z210" s="10">
        <v>237.64850000000001</v>
      </c>
      <c r="AA210" s="10">
        <f>Table1[[#This Row],[Raw Freshwater Score]]/Table1[[#This Row],[Summed Raw Scores]]</f>
        <v>0.40851943303023808</v>
      </c>
      <c r="AB210" s="10">
        <f>Table1[[#This Row],[Raw Terrestrial Score]]+Table1[[#This Row],[Raw Freshwater Score]]</f>
        <v>581.73119999999994</v>
      </c>
      <c r="AC210" s="11">
        <f>Table1[[#This Row],[Terrestrial % of Summed Score]]*Table1[[#This Row],[Scaled Summed Score]]</f>
        <v>4.227925518908416E-2</v>
      </c>
      <c r="AD210" s="11">
        <f>Table1[[#This Row],[Freshwater % of Summed Score]]*Table1[[#This Row],[Scaled Summed Score]]</f>
        <v>2.920112396468369E-2</v>
      </c>
      <c r="AE210" s="18">
        <f>Table1[[#This Row],[Summed Raw Scores]]/MAX(Table1[Summed Raw Scores])</f>
        <v>7.1480379153767842E-2</v>
      </c>
    </row>
    <row r="211" spans="1:31" x14ac:dyDescent="0.3">
      <c r="A211" s="8" t="s">
        <v>329</v>
      </c>
      <c r="B211" s="8" t="s">
        <v>58</v>
      </c>
      <c r="C211" s="8" t="s">
        <v>59</v>
      </c>
      <c r="D211" s="8"/>
      <c r="E211" s="34">
        <v>53.776174099999999</v>
      </c>
      <c r="F211" s="34">
        <v>-122.4985475</v>
      </c>
      <c r="G211" s="34">
        <v>44.861538459999998</v>
      </c>
      <c r="H211" s="8" t="s">
        <v>22</v>
      </c>
      <c r="I211" s="8" t="s">
        <v>22</v>
      </c>
      <c r="J211" s="34">
        <v>71.358535660000001</v>
      </c>
      <c r="K211" s="34">
        <v>134.24201780000001</v>
      </c>
      <c r="L211" s="9" t="s">
        <v>22</v>
      </c>
      <c r="M211" s="34">
        <v>0</v>
      </c>
      <c r="N211" s="34">
        <v>16.2</v>
      </c>
      <c r="O211" s="9">
        <f>Table1[[#This Row],[R1 Length (km)]]+Table1[[#This Row],[T1 Length (km)]]</f>
        <v>16.2</v>
      </c>
      <c r="P211" s="38">
        <v>69</v>
      </c>
      <c r="Q211" s="9">
        <f>(Table1[[#This Row],[Linear Features (km)]]*0.4)*100</f>
        <v>648</v>
      </c>
      <c r="R211" s="34">
        <v>182.25</v>
      </c>
      <c r="S211" s="3">
        <f>Table1[[#This Row],[ATG (ha)]]/Table1[[#This Row],[Linear Area (ha)]]</f>
        <v>0.28125</v>
      </c>
      <c r="T211" s="2" t="s">
        <v>22</v>
      </c>
      <c r="U211" s="2" t="s">
        <v>22</v>
      </c>
      <c r="V211" s="34">
        <v>182.25</v>
      </c>
      <c r="W211" s="34">
        <v>72.900000000000006</v>
      </c>
      <c r="X211" s="10">
        <v>93.334969999999998</v>
      </c>
      <c r="Y211" s="10">
        <f>Table1[[#This Row],[Raw Terrestrial Score]]/Table1[[#This Row],[Summed Raw Scores]]</f>
        <v>0.48271056745752405</v>
      </c>
      <c r="Z211" s="10">
        <v>100.021</v>
      </c>
      <c r="AA211" s="10">
        <f>Table1[[#This Row],[Raw Freshwater Score]]/Table1[[#This Row],[Summed Raw Scores]]</f>
        <v>0.51728943254247595</v>
      </c>
      <c r="AB211" s="10">
        <f>Table1[[#This Row],[Raw Terrestrial Score]]+Table1[[#This Row],[Raw Freshwater Score]]</f>
        <v>193.35597000000001</v>
      </c>
      <c r="AC211" s="11">
        <f>Table1[[#This Row],[Terrestrial % of Summed Score]]*Table1[[#This Row],[Scaled Summed Score]]</f>
        <v>1.1468559781399979E-2</v>
      </c>
      <c r="AD211" s="11">
        <f>Table1[[#This Row],[Freshwater % of Summed Score]]*Table1[[#This Row],[Scaled Summed Score]]</f>
        <v>1.2290107533065125E-2</v>
      </c>
      <c r="AE211" s="18">
        <f>Table1[[#This Row],[Summed Raw Scores]]/MAX(Table1[Summed Raw Scores])</f>
        <v>2.3758667314465104E-2</v>
      </c>
    </row>
    <row r="212" spans="1:31" x14ac:dyDescent="0.3">
      <c r="A212" s="8" t="s">
        <v>261</v>
      </c>
      <c r="B212" s="8" t="s">
        <v>58</v>
      </c>
      <c r="C212" s="8" t="s">
        <v>59</v>
      </c>
      <c r="D212" s="8"/>
      <c r="E212" s="34">
        <v>52.123478200000001</v>
      </c>
      <c r="F212" s="34">
        <v>-122.2041897</v>
      </c>
      <c r="G212" s="34">
        <v>15.75138462</v>
      </c>
      <c r="H212" s="8" t="s">
        <v>22</v>
      </c>
      <c r="I212" s="8" t="s">
        <v>22</v>
      </c>
      <c r="J212" s="34">
        <v>26.907668229999999</v>
      </c>
      <c r="K212" s="34">
        <v>120.19274249999999</v>
      </c>
      <c r="L212" s="9" t="s">
        <v>22</v>
      </c>
      <c r="M212" s="34">
        <v>1.024264069</v>
      </c>
      <c r="N212" s="34">
        <v>4.6970562749999996</v>
      </c>
      <c r="O212" s="9">
        <f>Table1[[#This Row],[R1 Length (km)]]+Table1[[#This Row],[T1 Length (km)]]</f>
        <v>5.7213203439999996</v>
      </c>
      <c r="P212" s="38">
        <v>25</v>
      </c>
      <c r="Q212" s="9">
        <f>(Table1[[#This Row],[Linear Features (km)]]*0.4)*100</f>
        <v>228.85281375999998</v>
      </c>
      <c r="R212" s="34">
        <v>63.99</v>
      </c>
      <c r="S212" s="3">
        <f>Table1[[#This Row],[ATG (ha)]]/Table1[[#This Row],[Linear Area (ha)]]</f>
        <v>0.2796120307574933</v>
      </c>
      <c r="T212" s="2" t="s">
        <v>22</v>
      </c>
      <c r="U212" s="2" t="s">
        <v>22</v>
      </c>
      <c r="V212" s="34">
        <v>63.99</v>
      </c>
      <c r="W212" s="34">
        <v>25.596</v>
      </c>
      <c r="X212" s="10">
        <v>50.07938</v>
      </c>
      <c r="Y212" s="10">
        <f>Table1[[#This Row],[Raw Terrestrial Score]]/Table1[[#This Row],[Summed Raw Scores]]</f>
        <v>0.41021980943874387</v>
      </c>
      <c r="Z212" s="10">
        <v>72</v>
      </c>
      <c r="AA212" s="10">
        <f>Table1[[#This Row],[Raw Freshwater Score]]/Table1[[#This Row],[Summed Raw Scores]]</f>
        <v>0.58978019056125608</v>
      </c>
      <c r="AB212" s="10">
        <f>Table1[[#This Row],[Raw Terrestrial Score]]+Table1[[#This Row],[Raw Freshwater Score]]</f>
        <v>122.07938</v>
      </c>
      <c r="AC212" s="11">
        <f>Table1[[#This Row],[Terrestrial % of Summed Score]]*Table1[[#This Row],[Scaled Summed Score]]</f>
        <v>6.1535174152351092E-3</v>
      </c>
      <c r="AD212" s="11">
        <f>Table1[[#This Row],[Freshwater % of Summed Score]]*Table1[[#This Row],[Scaled Summed Score]]</f>
        <v>8.8470195497014504E-3</v>
      </c>
      <c r="AE212" s="18">
        <f>Table1[[#This Row],[Summed Raw Scores]]/MAX(Table1[Summed Raw Scores])</f>
        <v>1.500053696493656E-2</v>
      </c>
    </row>
    <row r="213" spans="1:31" x14ac:dyDescent="0.3">
      <c r="A213" s="8" t="s">
        <v>370</v>
      </c>
      <c r="B213" s="8" t="s">
        <v>58</v>
      </c>
      <c r="C213" s="8" t="s">
        <v>25</v>
      </c>
      <c r="D213" s="8"/>
      <c r="E213" s="29">
        <v>51.32422571</v>
      </c>
      <c r="F213" s="29">
        <v>-122.0755568</v>
      </c>
      <c r="G213" s="29">
        <v>35.291076920000002</v>
      </c>
      <c r="H213" s="8" t="s">
        <v>22</v>
      </c>
      <c r="I213" s="8" t="s">
        <v>22</v>
      </c>
      <c r="J213" s="24">
        <v>61.747177309999998</v>
      </c>
      <c r="K213" s="24">
        <v>148.3183689</v>
      </c>
      <c r="L213" s="9" t="s">
        <v>22</v>
      </c>
      <c r="M213" s="29">
        <v>1.9</v>
      </c>
      <c r="N213" s="29">
        <v>48.5</v>
      </c>
      <c r="O213" s="9">
        <f>Table1[[#This Row],[R1 Length (km)]]+Table1[[#This Row],[T1 Length (km)]]</f>
        <v>50.4</v>
      </c>
      <c r="P213" s="30">
        <v>69</v>
      </c>
      <c r="Q213" s="9">
        <f>(Table1[[#This Row],[Linear Features (km)]]*0.4)*100</f>
        <v>2016</v>
      </c>
      <c r="R213" s="29">
        <v>143.37</v>
      </c>
      <c r="S213" s="3">
        <f>Table1[[#This Row],[ATG (ha)]]/Table1[[#This Row],[Linear Area (ha)]]</f>
        <v>7.1116071428571431E-2</v>
      </c>
      <c r="T213" s="2" t="s">
        <v>22</v>
      </c>
      <c r="U213" s="2" t="s">
        <v>22</v>
      </c>
      <c r="V213" s="29">
        <v>143.37</v>
      </c>
      <c r="W213" s="29">
        <v>57.347999999999999</v>
      </c>
      <c r="X213" s="10">
        <v>447.71069999999997</v>
      </c>
      <c r="Y213" s="10">
        <f>Table1[[#This Row],[Raw Terrestrial Score]]/Table1[[#This Row],[Summed Raw Scores]]</f>
        <v>0.48624133893132854</v>
      </c>
      <c r="Z213" s="10">
        <v>473.04750000000001</v>
      </c>
      <c r="AA213" s="10">
        <f>Table1[[#This Row],[Raw Freshwater Score]]/Table1[[#This Row],[Summed Raw Scores]]</f>
        <v>0.51375866106867152</v>
      </c>
      <c r="AB213" s="10">
        <f>Table1[[#This Row],[Raw Terrestrial Score]]+Table1[[#This Row],[Raw Freshwater Score]]</f>
        <v>920.75819999999999</v>
      </c>
      <c r="AC213" s="11">
        <f>Table1[[#This Row],[Terrestrial % of Summed Score]]*Table1[[#This Row],[Scaled Summed Score]]</f>
        <v>5.5012573826535016E-2</v>
      </c>
      <c r="AD213" s="11">
        <f>Table1[[#This Row],[Freshwater % of Summed Score]]*Table1[[#This Row],[Scaled Summed Score]]</f>
        <v>5.8125840006074965E-2</v>
      </c>
      <c r="AE213" s="18">
        <f>Table1[[#This Row],[Summed Raw Scores]]/MAX(Table1[Summed Raw Scores])</f>
        <v>0.11313841383260997</v>
      </c>
    </row>
    <row r="214" spans="1:31" x14ac:dyDescent="0.3">
      <c r="A214" s="8" t="s">
        <v>404</v>
      </c>
      <c r="B214" s="8" t="s">
        <v>58</v>
      </c>
      <c r="C214" s="8" t="s">
        <v>25</v>
      </c>
      <c r="D214" s="8"/>
      <c r="E214" s="29">
        <v>51.276840249999999</v>
      </c>
      <c r="F214" s="29">
        <v>-122.0519788</v>
      </c>
      <c r="G214" s="29">
        <v>22.530461540000001</v>
      </c>
      <c r="H214" s="8" t="s">
        <v>22</v>
      </c>
      <c r="I214" s="8" t="s">
        <v>22</v>
      </c>
      <c r="J214" s="29">
        <v>39.048009829999998</v>
      </c>
      <c r="K214" s="29">
        <v>181.35141490000001</v>
      </c>
      <c r="L214" s="9" t="s">
        <v>22</v>
      </c>
      <c r="M214" s="29">
        <v>3.8</v>
      </c>
      <c r="N214" s="29">
        <v>45.9</v>
      </c>
      <c r="O214" s="9">
        <f>Table1[[#This Row],[R1 Length (km)]]+Table1[[#This Row],[T1 Length (km)]]</f>
        <v>49.699999999999996</v>
      </c>
      <c r="P214" s="30">
        <v>69</v>
      </c>
      <c r="Q214" s="9">
        <f>(Table1[[#This Row],[Linear Features (km)]]*0.4)*100</f>
        <v>1988</v>
      </c>
      <c r="R214" s="29">
        <v>91.53</v>
      </c>
      <c r="S214" s="3">
        <f>Table1[[#This Row],[ATG (ha)]]/Table1[[#This Row],[Linear Area (ha)]]</f>
        <v>4.604124748490946E-2</v>
      </c>
      <c r="T214" s="2" t="s">
        <v>22</v>
      </c>
      <c r="U214" s="2" t="s">
        <v>22</v>
      </c>
      <c r="V214" s="29">
        <v>91.53</v>
      </c>
      <c r="W214" s="29">
        <v>36.612000000000002</v>
      </c>
      <c r="X214" s="10">
        <v>468.54</v>
      </c>
      <c r="Y214" s="10">
        <f>Table1[[#This Row],[Raw Terrestrial Score]]/Table1[[#This Row],[Summed Raw Scores]]</f>
        <v>0.53112350406844422</v>
      </c>
      <c r="Z214" s="10">
        <v>413.6277</v>
      </c>
      <c r="AA214" s="10">
        <f>Table1[[#This Row],[Raw Freshwater Score]]/Table1[[#This Row],[Summed Raw Scores]]</f>
        <v>0.46887649593155589</v>
      </c>
      <c r="AB214" s="10">
        <f>Table1[[#This Row],[Raw Terrestrial Score]]+Table1[[#This Row],[Raw Freshwater Score]]</f>
        <v>882.16769999999997</v>
      </c>
      <c r="AC214" s="11">
        <f>Table1[[#This Row],[Terrestrial % of Summed Score]]*Table1[[#This Row],[Scaled Summed Score]]</f>
        <v>5.7571979719682205E-2</v>
      </c>
      <c r="AD214" s="11">
        <f>Table1[[#This Row],[Freshwater % of Summed Score]]*Table1[[#This Row],[Scaled Summed Score]]</f>
        <v>5.0824615947195097E-2</v>
      </c>
      <c r="AE214" s="18">
        <f>Table1[[#This Row],[Summed Raw Scores]]/MAX(Table1[Summed Raw Scores])</f>
        <v>0.10839659566687729</v>
      </c>
    </row>
    <row r="215" spans="1:31" x14ac:dyDescent="0.3">
      <c r="A215" s="8" t="s">
        <v>361</v>
      </c>
      <c r="B215" s="8" t="s">
        <v>58</v>
      </c>
      <c r="C215" s="8" t="s">
        <v>25</v>
      </c>
      <c r="D215" s="8"/>
      <c r="E215" s="29">
        <v>51.216091339999998</v>
      </c>
      <c r="F215" s="29">
        <v>-122.1119056</v>
      </c>
      <c r="G215" s="29">
        <v>39.876923079999997</v>
      </c>
      <c r="H215" s="8" t="s">
        <v>22</v>
      </c>
      <c r="I215" s="8" t="s">
        <v>22</v>
      </c>
      <c r="J215" s="29">
        <v>69.346494949999993</v>
      </c>
      <c r="K215" s="29">
        <v>143.15071119999999</v>
      </c>
      <c r="L215" s="9" t="s">
        <v>22</v>
      </c>
      <c r="M215" s="29">
        <v>1.2</v>
      </c>
      <c r="N215" s="29">
        <v>46</v>
      </c>
      <c r="O215" s="9">
        <f>Table1[[#This Row],[R1 Length (km)]]+Table1[[#This Row],[T1 Length (km)]]</f>
        <v>47.2</v>
      </c>
      <c r="P215" s="30">
        <v>69</v>
      </c>
      <c r="Q215" s="9">
        <f>(Table1[[#This Row],[Linear Features (km)]]*0.4)*100</f>
        <v>1888.0000000000002</v>
      </c>
      <c r="R215" s="29">
        <v>162</v>
      </c>
      <c r="S215" s="3">
        <f>Table1[[#This Row],[ATG (ha)]]/Table1[[#This Row],[Linear Area (ha)]]</f>
        <v>8.5805084745762705E-2</v>
      </c>
      <c r="T215" s="2" t="s">
        <v>22</v>
      </c>
      <c r="U215" s="2" t="s">
        <v>22</v>
      </c>
      <c r="V215" s="29">
        <v>162</v>
      </c>
      <c r="W215" s="29">
        <v>64.8</v>
      </c>
      <c r="X215" s="10">
        <v>396.73649999999998</v>
      </c>
      <c r="Y215" s="10">
        <f>Table1[[#This Row],[Raw Terrestrial Score]]/Table1[[#This Row],[Summed Raw Scores]]</f>
        <v>0.46631432829645791</v>
      </c>
      <c r="Z215" s="10">
        <v>454.05549999999999</v>
      </c>
      <c r="AA215" s="10">
        <f>Table1[[#This Row],[Raw Freshwater Score]]/Table1[[#This Row],[Summed Raw Scores]]</f>
        <v>0.5336856717035422</v>
      </c>
      <c r="AB215" s="10">
        <f>Table1[[#This Row],[Raw Terrestrial Score]]+Table1[[#This Row],[Raw Freshwater Score]]</f>
        <v>850.79199999999992</v>
      </c>
      <c r="AC215" s="11">
        <f>Table1[[#This Row],[Terrestrial % of Summed Score]]*Table1[[#This Row],[Scaled Summed Score]]</f>
        <v>4.8749105160835138E-2</v>
      </c>
      <c r="AD215" s="11">
        <f>Table1[[#This Row],[Freshwater % of Summed Score]]*Table1[[#This Row],[Scaled Summed Score]]</f>
        <v>5.5792192849298164E-2</v>
      </c>
      <c r="AE215" s="18">
        <f>Table1[[#This Row],[Summed Raw Scores]]/MAX(Table1[Summed Raw Scores])</f>
        <v>0.10454129801013329</v>
      </c>
    </row>
    <row r="216" spans="1:31" x14ac:dyDescent="0.3">
      <c r="A216" s="8" t="s">
        <v>358</v>
      </c>
      <c r="B216" s="8" t="s">
        <v>58</v>
      </c>
      <c r="C216" s="8" t="s">
        <v>25</v>
      </c>
      <c r="D216" s="8"/>
      <c r="E216" s="34">
        <v>51.187649880000002</v>
      </c>
      <c r="F216" s="34">
        <v>-121.64776999999999</v>
      </c>
      <c r="G216" s="34">
        <v>26.91692308</v>
      </c>
      <c r="H216" s="8" t="s">
        <v>22</v>
      </c>
      <c r="I216" s="8" t="s">
        <v>22</v>
      </c>
      <c r="J216" s="34">
        <v>45.858064759999998</v>
      </c>
      <c r="K216" s="34">
        <v>142.23050549999999</v>
      </c>
      <c r="L216" s="9" t="s">
        <v>22</v>
      </c>
      <c r="M216" s="34">
        <v>1.6</v>
      </c>
      <c r="N216" s="34">
        <v>13.4</v>
      </c>
      <c r="O216" s="9">
        <f>Table1[[#This Row],[R1 Length (km)]]+Table1[[#This Row],[T1 Length (km)]]</f>
        <v>15</v>
      </c>
      <c r="P216" s="38">
        <v>69</v>
      </c>
      <c r="Q216" s="9">
        <f>(Table1[[#This Row],[Linear Features (km)]]*0.4)*100</f>
        <v>600</v>
      </c>
      <c r="R216" s="34">
        <v>109.35</v>
      </c>
      <c r="S216" s="3">
        <f>Table1[[#This Row],[ATG (ha)]]/Table1[[#This Row],[Linear Area (ha)]]</f>
        <v>0.18225</v>
      </c>
      <c r="T216" s="2" t="s">
        <v>22</v>
      </c>
      <c r="U216" s="2" t="s">
        <v>22</v>
      </c>
      <c r="V216" s="34">
        <v>109.35</v>
      </c>
      <c r="W216" s="34">
        <v>43.74</v>
      </c>
      <c r="X216" s="10">
        <v>231.6799</v>
      </c>
      <c r="Y216" s="10">
        <f>Table1[[#This Row],[Raw Terrestrial Score]]/Table1[[#This Row],[Summed Raw Scores]]</f>
        <v>0.49857955982171814</v>
      </c>
      <c r="Z216" s="10">
        <v>233</v>
      </c>
      <c r="AA216" s="10">
        <f>Table1[[#This Row],[Raw Freshwater Score]]/Table1[[#This Row],[Summed Raw Scores]]</f>
        <v>0.50142044017828191</v>
      </c>
      <c r="AB216" s="10">
        <f>Table1[[#This Row],[Raw Terrestrial Score]]+Table1[[#This Row],[Raw Freshwater Score]]</f>
        <v>464.67989999999998</v>
      </c>
      <c r="AC216" s="11">
        <f>Table1[[#This Row],[Terrestrial % of Summed Score]]*Table1[[#This Row],[Scaled Summed Score]]</f>
        <v>2.8467730619067738E-2</v>
      </c>
      <c r="AD216" s="11">
        <f>Table1[[#This Row],[Freshwater % of Summed Score]]*Table1[[#This Row],[Scaled Summed Score]]</f>
        <v>2.8629938265006084E-2</v>
      </c>
      <c r="AE216" s="18">
        <f>Table1[[#This Row],[Summed Raw Scores]]/MAX(Table1[Summed Raw Scores])</f>
        <v>5.7097668884073818E-2</v>
      </c>
    </row>
    <row r="217" spans="1:31" x14ac:dyDescent="0.3">
      <c r="A217" s="8" t="s">
        <v>348</v>
      </c>
      <c r="B217" s="8" t="s">
        <v>58</v>
      </c>
      <c r="C217" s="8" t="s">
        <v>25</v>
      </c>
      <c r="D217" s="8"/>
      <c r="E217" s="34">
        <v>50.979295639999997</v>
      </c>
      <c r="F217" s="34">
        <v>-121.9945057</v>
      </c>
      <c r="G217" s="34">
        <v>57.622153849999997</v>
      </c>
      <c r="H217" s="8" t="s">
        <v>22</v>
      </c>
      <c r="I217" s="8" t="s">
        <v>22</v>
      </c>
      <c r="J217" s="34">
        <v>104.2061259</v>
      </c>
      <c r="K217" s="34">
        <v>140.81501650000001</v>
      </c>
      <c r="L217" s="9" t="s">
        <v>22</v>
      </c>
      <c r="M217" s="34">
        <v>0</v>
      </c>
      <c r="N217" s="34">
        <v>22.1</v>
      </c>
      <c r="O217" s="9">
        <f>Table1[[#This Row],[R1 Length (km)]]+Table1[[#This Row],[T1 Length (km)]]</f>
        <v>22.1</v>
      </c>
      <c r="P217" s="38">
        <v>230</v>
      </c>
      <c r="Q217" s="9">
        <f>(Table1[[#This Row],[Linear Features (km)]]*0.4)*100</f>
        <v>884.00000000000011</v>
      </c>
      <c r="R217" s="34">
        <v>234.09</v>
      </c>
      <c r="S217" s="3">
        <f>Table1[[#This Row],[ATG (ha)]]/Table1[[#This Row],[Linear Area (ha)]]</f>
        <v>0.2648076923076923</v>
      </c>
      <c r="T217" s="2" t="s">
        <v>22</v>
      </c>
      <c r="U217" s="2" t="s">
        <v>22</v>
      </c>
      <c r="V217" s="34">
        <v>234.09</v>
      </c>
      <c r="W217" s="34">
        <v>93.635999999999996</v>
      </c>
      <c r="X217" s="10">
        <v>233.85579999999999</v>
      </c>
      <c r="Y217" s="10">
        <f>Table1[[#This Row],[Raw Terrestrial Score]]/Table1[[#This Row],[Summed Raw Scores]]</f>
        <v>0.42706750055836068</v>
      </c>
      <c r="Z217" s="10">
        <v>313.72930000000002</v>
      </c>
      <c r="AA217" s="10">
        <f>Table1[[#This Row],[Raw Freshwater Score]]/Table1[[#This Row],[Summed Raw Scores]]</f>
        <v>0.57293249944163938</v>
      </c>
      <c r="AB217" s="10">
        <f>Table1[[#This Row],[Raw Terrestrial Score]]+Table1[[#This Row],[Raw Freshwater Score]]</f>
        <v>547.58510000000001</v>
      </c>
      <c r="AC217" s="11">
        <f>Table1[[#This Row],[Terrestrial % of Summed Score]]*Table1[[#This Row],[Scaled Summed Score]]</f>
        <v>2.8735094922376008E-2</v>
      </c>
      <c r="AD217" s="11">
        <f>Table1[[#This Row],[Freshwater % of Summed Score]]*Table1[[#This Row],[Scaled Summed Score]]</f>
        <v>3.8549572922418777E-2</v>
      </c>
      <c r="AE217" s="18">
        <f>Table1[[#This Row],[Summed Raw Scores]]/MAX(Table1[Summed Raw Scores])</f>
        <v>6.7284667844794782E-2</v>
      </c>
    </row>
    <row r="218" spans="1:31" x14ac:dyDescent="0.3">
      <c r="A218" s="8" t="s">
        <v>316</v>
      </c>
      <c r="B218" s="8" t="s">
        <v>58</v>
      </c>
      <c r="C218" s="8" t="s">
        <v>25</v>
      </c>
      <c r="D218" s="8"/>
      <c r="E218" s="34">
        <v>50.93194561</v>
      </c>
      <c r="F218" s="34">
        <v>-121.97114910000001</v>
      </c>
      <c r="G218" s="34">
        <v>12.162461540000001</v>
      </c>
      <c r="H218" s="8" t="s">
        <v>22</v>
      </c>
      <c r="I218" s="8" t="s">
        <v>22</v>
      </c>
      <c r="J218" s="34">
        <v>21.843487979999999</v>
      </c>
      <c r="K218" s="34">
        <v>131.2458772</v>
      </c>
      <c r="L218" s="9" t="s">
        <v>22</v>
      </c>
      <c r="M218" s="34">
        <v>0</v>
      </c>
      <c r="N218" s="34">
        <v>12.6</v>
      </c>
      <c r="O218" s="9">
        <f>Table1[[#This Row],[R1 Length (km)]]+Table1[[#This Row],[T1 Length (km)]]</f>
        <v>12.6</v>
      </c>
      <c r="P218" s="38">
        <v>25</v>
      </c>
      <c r="Q218" s="9">
        <f>(Table1[[#This Row],[Linear Features (km)]]*0.4)*100</f>
        <v>504</v>
      </c>
      <c r="R218" s="34">
        <v>49.41</v>
      </c>
      <c r="S218" s="3">
        <f>Table1[[#This Row],[ATG (ha)]]/Table1[[#This Row],[Linear Area (ha)]]</f>
        <v>9.8035714285714282E-2</v>
      </c>
      <c r="T218" s="2" t="s">
        <v>22</v>
      </c>
      <c r="U218" s="2" t="s">
        <v>22</v>
      </c>
      <c r="V218" s="34">
        <v>49.41</v>
      </c>
      <c r="W218" s="34">
        <v>19.763999999999999</v>
      </c>
      <c r="X218" s="10">
        <v>214.13200000000001</v>
      </c>
      <c r="Y218" s="10">
        <f>Table1[[#This Row],[Raw Terrestrial Score]]/Table1[[#This Row],[Summed Raw Scores]]</f>
        <v>0.42702690306182989</v>
      </c>
      <c r="Z218" s="10">
        <v>287.31650000000002</v>
      </c>
      <c r="AA218" s="10">
        <f>Table1[[#This Row],[Raw Freshwater Score]]/Table1[[#This Row],[Summed Raw Scores]]</f>
        <v>0.57297309693817011</v>
      </c>
      <c r="AB218" s="10">
        <f>Table1[[#This Row],[Raw Terrestrial Score]]+Table1[[#This Row],[Raw Freshwater Score]]</f>
        <v>501.44850000000002</v>
      </c>
      <c r="AC218" s="11">
        <f>Table1[[#This Row],[Terrestrial % of Summed Score]]*Table1[[#This Row],[Scaled Summed Score]]</f>
        <v>2.6311527641898213E-2</v>
      </c>
      <c r="AD218" s="11">
        <f>Table1[[#This Row],[Freshwater % of Summed Score]]*Table1[[#This Row],[Scaled Summed Score]]</f>
        <v>3.5304092950719408E-2</v>
      </c>
      <c r="AE218" s="18">
        <f>Table1[[#This Row],[Summed Raw Scores]]/MAX(Table1[Summed Raw Scores])</f>
        <v>6.1615620592617618E-2</v>
      </c>
    </row>
    <row r="219" spans="1:31" x14ac:dyDescent="0.3">
      <c r="A219" s="8" t="s">
        <v>73</v>
      </c>
      <c r="B219" s="8" t="s">
        <v>58</v>
      </c>
      <c r="C219" s="8" t="s">
        <v>25</v>
      </c>
      <c r="D219" s="8"/>
      <c r="E219" s="31">
        <v>51.032245750000001</v>
      </c>
      <c r="F219" s="31">
        <v>-121.66175560000001</v>
      </c>
      <c r="G219" s="31">
        <v>41.671384615400001</v>
      </c>
      <c r="H219" s="9" t="s">
        <v>22</v>
      </c>
      <c r="I219" s="9" t="s">
        <v>22</v>
      </c>
      <c r="J219" s="31">
        <v>74.167136563120138</v>
      </c>
      <c r="K219" s="31">
        <v>103.70208520210363</v>
      </c>
      <c r="L219" s="9" t="s">
        <v>22</v>
      </c>
      <c r="M219" s="31">
        <v>0.7</v>
      </c>
      <c r="N219" s="31">
        <v>8.9</v>
      </c>
      <c r="O219" s="9">
        <f>Table1[[#This Row],[R1 Length (km)]]+Table1[[#This Row],[T1 Length (km)]]</f>
        <v>9.6</v>
      </c>
      <c r="P219" s="28">
        <v>69</v>
      </c>
      <c r="Q219" s="9">
        <f>(Table1[[#This Row],[Linear Features (km)]]*0.4)*100</f>
        <v>384</v>
      </c>
      <c r="R219" s="31">
        <v>1554.39</v>
      </c>
      <c r="S219" s="18">
        <f>Table1[[#This Row],[ATG (ha)]]/Table1[[#This Row],[Linear Area (ha)]]</f>
        <v>4.047890625</v>
      </c>
      <c r="T219" s="2" t="s">
        <v>22</v>
      </c>
      <c r="U219" s="2" t="s">
        <v>22</v>
      </c>
      <c r="V219" s="31">
        <v>1554.39</v>
      </c>
      <c r="W219" s="31">
        <v>621.75600000000009</v>
      </c>
      <c r="X219" s="10">
        <v>346.584</v>
      </c>
      <c r="Y219" s="10">
        <f>Table1[[#This Row],[Raw Terrestrial Score]]/Table1[[#This Row],[Summed Raw Scores]]</f>
        <v>0.37647694727189346</v>
      </c>
      <c r="Z219" s="10">
        <v>574.01419999999996</v>
      </c>
      <c r="AA219" s="10">
        <f>Table1[[#This Row],[Raw Freshwater Score]]/Table1[[#This Row],[Summed Raw Scores]]</f>
        <v>0.6235230527281066</v>
      </c>
      <c r="AB219" s="10">
        <f>Table1[[#This Row],[Raw Terrestrial Score]]+Table1[[#This Row],[Raw Freshwater Score]]</f>
        <v>920.59819999999991</v>
      </c>
      <c r="AC219" s="11">
        <f>Table1[[#This Row],[Terrestrial % of Summed Score]]*Table1[[#This Row],[Scaled Summed Score]]</f>
        <v>4.2586603105746218E-2</v>
      </c>
      <c r="AD219" s="11">
        <f>Table1[[#This Row],[Freshwater % of Summed Score]]*Table1[[#This Row],[Scaled Summed Score]]</f>
        <v>7.0532150683419975E-2</v>
      </c>
      <c r="AE219" s="18">
        <f>Table1[[#This Row],[Summed Raw Scores]]/MAX(Table1[Summed Raw Scores])</f>
        <v>0.11311875378916619</v>
      </c>
    </row>
    <row r="220" spans="1:31" x14ac:dyDescent="0.3">
      <c r="A220" s="8" t="s">
        <v>324</v>
      </c>
      <c r="B220" s="8" t="s">
        <v>58</v>
      </c>
      <c r="C220" s="8" t="s">
        <v>25</v>
      </c>
      <c r="D220" s="8"/>
      <c r="E220" s="34">
        <v>51.037081059999998</v>
      </c>
      <c r="F220" s="34">
        <v>-121.3055391</v>
      </c>
      <c r="G220" s="34">
        <v>18.343384619999998</v>
      </c>
      <c r="H220" s="8" t="s">
        <v>22</v>
      </c>
      <c r="I220" s="8" t="s">
        <v>22</v>
      </c>
      <c r="J220" s="34">
        <v>32.900329939999999</v>
      </c>
      <c r="K220" s="34">
        <v>132.88605899999999</v>
      </c>
      <c r="L220" s="9" t="s">
        <v>22</v>
      </c>
      <c r="M220" s="34">
        <v>0.6</v>
      </c>
      <c r="N220" s="34">
        <v>19.600000000000001</v>
      </c>
      <c r="O220" s="9">
        <f>Table1[[#This Row],[R1 Length (km)]]+Table1[[#This Row],[T1 Length (km)]]</f>
        <v>20.200000000000003</v>
      </c>
      <c r="P220" s="38">
        <v>25</v>
      </c>
      <c r="Q220" s="9">
        <f>(Table1[[#This Row],[Linear Features (km)]]*0.4)*100</f>
        <v>808.00000000000023</v>
      </c>
      <c r="R220" s="34">
        <v>74.52</v>
      </c>
      <c r="S220" s="3">
        <f>Table1[[#This Row],[ATG (ha)]]/Table1[[#This Row],[Linear Area (ha)]]</f>
        <v>9.2227722772277199E-2</v>
      </c>
      <c r="T220" s="2" t="s">
        <v>22</v>
      </c>
      <c r="U220" s="2" t="s">
        <v>22</v>
      </c>
      <c r="V220" s="34">
        <v>74.52</v>
      </c>
      <c r="W220" s="34">
        <v>29.808</v>
      </c>
      <c r="X220" s="10">
        <v>246.60650000000001</v>
      </c>
      <c r="Y220" s="10">
        <f>Table1[[#This Row],[Raw Terrestrial Score]]/Table1[[#This Row],[Summed Raw Scores]]</f>
        <v>0.43862732120849496</v>
      </c>
      <c r="Z220" s="10">
        <v>315.61680000000001</v>
      </c>
      <c r="AA220" s="10">
        <f>Table1[[#This Row],[Raw Freshwater Score]]/Table1[[#This Row],[Summed Raw Scores]]</f>
        <v>0.5613726787915051</v>
      </c>
      <c r="AB220" s="10">
        <f>Table1[[#This Row],[Raw Terrestrial Score]]+Table1[[#This Row],[Raw Freshwater Score]]</f>
        <v>562.22329999999999</v>
      </c>
      <c r="AC220" s="11">
        <f>Table1[[#This Row],[Terrestrial % of Summed Score]]*Table1[[#This Row],[Scaled Summed Score]]</f>
        <v>3.030184064699238E-2</v>
      </c>
      <c r="AD220" s="11">
        <f>Table1[[#This Row],[Freshwater % of Summed Score]]*Table1[[#This Row],[Scaled Summed Score]]</f>
        <v>3.878149999741963E-2</v>
      </c>
      <c r="AE220" s="18">
        <f>Table1[[#This Row],[Summed Raw Scores]]/MAX(Table1[Summed Raw Scores])</f>
        <v>6.9083340644412003E-2</v>
      </c>
    </row>
    <row r="221" spans="1:31" x14ac:dyDescent="0.3">
      <c r="A221" s="8" t="s">
        <v>321</v>
      </c>
      <c r="B221" s="8" t="s">
        <v>58</v>
      </c>
      <c r="C221" s="8" t="s">
        <v>25</v>
      </c>
      <c r="D221" s="8"/>
      <c r="E221" s="34">
        <v>50.950550130000003</v>
      </c>
      <c r="F221" s="34">
        <v>-121.53246660000001</v>
      </c>
      <c r="G221" s="34">
        <v>31.702153849999998</v>
      </c>
      <c r="H221" s="8" t="s">
        <v>22</v>
      </c>
      <c r="I221" s="8" t="s">
        <v>22</v>
      </c>
      <c r="J221" s="34">
        <v>54.989579589999998</v>
      </c>
      <c r="K221" s="34">
        <v>131.969009</v>
      </c>
      <c r="L221" s="9" t="s">
        <v>22</v>
      </c>
      <c r="M221" s="34">
        <v>0</v>
      </c>
      <c r="N221" s="34">
        <v>12.6</v>
      </c>
      <c r="O221" s="9">
        <f>Table1[[#This Row],[R1 Length (km)]]+Table1[[#This Row],[T1 Length (km)]]</f>
        <v>12.6</v>
      </c>
      <c r="P221" s="38">
        <v>69</v>
      </c>
      <c r="Q221" s="9">
        <f>(Table1[[#This Row],[Linear Features (km)]]*0.4)*100</f>
        <v>504</v>
      </c>
      <c r="R221" s="34">
        <v>128.79</v>
      </c>
      <c r="S221" s="3">
        <f>Table1[[#This Row],[ATG (ha)]]/Table1[[#This Row],[Linear Area (ha)]]</f>
        <v>0.25553571428571425</v>
      </c>
      <c r="T221" s="2" t="s">
        <v>22</v>
      </c>
      <c r="U221" s="2" t="s">
        <v>22</v>
      </c>
      <c r="V221" s="34">
        <v>128.79</v>
      </c>
      <c r="W221" s="34">
        <v>51.515999999999998</v>
      </c>
      <c r="X221" s="10">
        <v>106.5705</v>
      </c>
      <c r="Y221" s="10">
        <f>Table1[[#This Row],[Raw Terrestrial Score]]/Table1[[#This Row],[Summed Raw Scores]]</f>
        <v>0.41213664603479383</v>
      </c>
      <c r="Z221" s="10">
        <v>152.01</v>
      </c>
      <c r="AA221" s="10">
        <f>Table1[[#This Row],[Raw Freshwater Score]]/Table1[[#This Row],[Summed Raw Scores]]</f>
        <v>0.58786335396520617</v>
      </c>
      <c r="AB221" s="10">
        <f>Table1[[#This Row],[Raw Terrestrial Score]]+Table1[[#This Row],[Raw Freshwater Score]]</f>
        <v>258.58049999999997</v>
      </c>
      <c r="AC221" s="11">
        <f>Table1[[#This Row],[Terrestrial % of Summed Score]]*Table1[[#This Row],[Scaled Summed Score]]</f>
        <v>1.3094879123909144E-2</v>
      </c>
      <c r="AD221" s="11">
        <f>Table1[[#This Row],[Freshwater % of Summed Score]]*Table1[[#This Row],[Scaled Summed Score]]</f>
        <v>1.8678270024307185E-2</v>
      </c>
      <c r="AE221" s="18">
        <f>Table1[[#This Row],[Summed Raw Scores]]/MAX(Table1[Summed Raw Scores])</f>
        <v>3.1773149148216329E-2</v>
      </c>
    </row>
    <row r="222" spans="1:31" x14ac:dyDescent="0.3">
      <c r="A222" s="8" t="s">
        <v>343</v>
      </c>
      <c r="B222" s="8" t="s">
        <v>58</v>
      </c>
      <c r="C222" s="8" t="s">
        <v>25</v>
      </c>
      <c r="D222" s="8"/>
      <c r="E222" s="29">
        <v>50.695238660000001</v>
      </c>
      <c r="F222" s="29">
        <v>-121.85497719999999</v>
      </c>
      <c r="G222" s="29">
        <v>17.944615379999998</v>
      </c>
      <c r="H222" s="8" t="s">
        <v>22</v>
      </c>
      <c r="I222" s="8" t="s">
        <v>22</v>
      </c>
      <c r="J222" s="29">
        <v>30.266783100000001</v>
      </c>
      <c r="K222" s="29">
        <v>139.08714620000001</v>
      </c>
      <c r="L222" s="9" t="s">
        <v>22</v>
      </c>
      <c r="M222" s="29">
        <v>1.7</v>
      </c>
      <c r="N222" s="29">
        <v>21.6</v>
      </c>
      <c r="O222" s="9">
        <f>Table1[[#This Row],[R1 Length (km)]]+Table1[[#This Row],[T1 Length (km)]]</f>
        <v>23.3</v>
      </c>
      <c r="P222" s="30">
        <v>25</v>
      </c>
      <c r="Q222" s="9">
        <f>(Table1[[#This Row],[Linear Features (km)]]*0.4)*100</f>
        <v>932</v>
      </c>
      <c r="R222" s="29">
        <v>72.900000000000006</v>
      </c>
      <c r="S222" s="3">
        <f>Table1[[#This Row],[ATG (ha)]]/Table1[[#This Row],[Linear Area (ha)]]</f>
        <v>7.8218884120171681E-2</v>
      </c>
      <c r="T222" s="2" t="s">
        <v>22</v>
      </c>
      <c r="U222" s="2" t="s">
        <v>22</v>
      </c>
      <c r="V222" s="29">
        <v>72.900000000000006</v>
      </c>
      <c r="W222" s="29">
        <v>29.16</v>
      </c>
      <c r="X222" s="10">
        <v>261.19740000000002</v>
      </c>
      <c r="Y222" s="10">
        <f>Table1[[#This Row],[Raw Terrestrial Score]]/Table1[[#This Row],[Summed Raw Scores]]</f>
        <v>0.34128880402170786</v>
      </c>
      <c r="Z222" s="10">
        <v>504.12920000000003</v>
      </c>
      <c r="AA222" s="10">
        <f>Table1[[#This Row],[Raw Freshwater Score]]/Table1[[#This Row],[Summed Raw Scores]]</f>
        <v>0.65871119597829209</v>
      </c>
      <c r="AB222" s="10">
        <f>Table1[[#This Row],[Raw Terrestrial Score]]+Table1[[#This Row],[Raw Freshwater Score]]</f>
        <v>765.3266000000001</v>
      </c>
      <c r="AC222" s="11">
        <f>Table1[[#This Row],[Terrestrial % of Summed Score]]*Table1[[#This Row],[Scaled Summed Score]]</f>
        <v>3.2094701446266527E-2</v>
      </c>
      <c r="AD222" s="11">
        <f>Table1[[#This Row],[Freshwater % of Summed Score]]*Table1[[#This Row],[Scaled Summed Score]]</f>
        <v>6.194501233299101E-2</v>
      </c>
      <c r="AE222" s="18">
        <f>Table1[[#This Row],[Summed Raw Scores]]/MAX(Table1[Summed Raw Scores])</f>
        <v>9.4039713779257544E-2</v>
      </c>
    </row>
    <row r="223" spans="1:31" x14ac:dyDescent="0.3">
      <c r="A223" s="8" t="s">
        <v>323</v>
      </c>
      <c r="B223" s="8" t="s">
        <v>58</v>
      </c>
      <c r="C223" s="8" t="s">
        <v>25</v>
      </c>
      <c r="D223" s="8"/>
      <c r="E223" s="34">
        <v>50.734773830000002</v>
      </c>
      <c r="F223" s="34">
        <v>-121.60668099999999</v>
      </c>
      <c r="G223" s="34">
        <v>34.69292308</v>
      </c>
      <c r="H223" s="8" t="s">
        <v>22</v>
      </c>
      <c r="I223" s="8" t="s">
        <v>22</v>
      </c>
      <c r="J223" s="34">
        <v>61.499762820000001</v>
      </c>
      <c r="K223" s="34">
        <v>132.71167399999999</v>
      </c>
      <c r="L223" s="9" t="s">
        <v>22</v>
      </c>
      <c r="M223" s="34">
        <v>0.9</v>
      </c>
      <c r="N223" s="34">
        <v>23.3</v>
      </c>
      <c r="O223" s="9">
        <f>Table1[[#This Row],[R1 Length (km)]]+Table1[[#This Row],[T1 Length (km)]]</f>
        <v>24.2</v>
      </c>
      <c r="P223" s="38">
        <v>69</v>
      </c>
      <c r="Q223" s="9">
        <f>(Table1[[#This Row],[Linear Features (km)]]*0.4)*100</f>
        <v>968</v>
      </c>
      <c r="R223" s="34">
        <v>140.94</v>
      </c>
      <c r="S223" s="3">
        <f>Table1[[#This Row],[ATG (ha)]]/Table1[[#This Row],[Linear Area (ha)]]</f>
        <v>0.14559917355371901</v>
      </c>
      <c r="T223" s="2" t="s">
        <v>22</v>
      </c>
      <c r="U223" s="2" t="s">
        <v>22</v>
      </c>
      <c r="V223" s="34">
        <v>140.94</v>
      </c>
      <c r="W223" s="34">
        <v>56.375999999999998</v>
      </c>
      <c r="X223" s="10">
        <v>238.9709</v>
      </c>
      <c r="Y223" s="10">
        <f>Table1[[#This Row],[Raw Terrestrial Score]]/Table1[[#This Row],[Summed Raw Scores]]</f>
        <v>0.36872335977201171</v>
      </c>
      <c r="Z223" s="10">
        <v>409.13260000000002</v>
      </c>
      <c r="AA223" s="10">
        <f>Table1[[#This Row],[Raw Freshwater Score]]/Table1[[#This Row],[Summed Raw Scores]]</f>
        <v>0.63127664022798824</v>
      </c>
      <c r="AB223" s="10">
        <f>Table1[[#This Row],[Raw Terrestrial Score]]+Table1[[#This Row],[Raw Freshwater Score]]</f>
        <v>648.10350000000005</v>
      </c>
      <c r="AC223" s="11">
        <f>Table1[[#This Row],[Terrestrial % of Summed Score]]*Table1[[#This Row],[Scaled Summed Score]]</f>
        <v>2.9363614223746538E-2</v>
      </c>
      <c r="AD223" s="11">
        <f>Table1[[#This Row],[Freshwater % of Summed Score]]*Table1[[#This Row],[Scaled Summed Score]]</f>
        <v>5.0272279314169228E-2</v>
      </c>
      <c r="AE223" s="18">
        <f>Table1[[#This Row],[Summed Raw Scores]]/MAX(Table1[Summed Raw Scores])</f>
        <v>7.9635893537915767E-2</v>
      </c>
    </row>
    <row r="224" spans="1:31" x14ac:dyDescent="0.3">
      <c r="A224" s="8" t="s">
        <v>356</v>
      </c>
      <c r="B224" s="8" t="s">
        <v>58</v>
      </c>
      <c r="C224" s="8" t="s">
        <v>25</v>
      </c>
      <c r="D224" s="8"/>
      <c r="E224" s="34">
        <v>50.640031630000003</v>
      </c>
      <c r="F224" s="34">
        <v>-121.56089489999999</v>
      </c>
      <c r="G224" s="34">
        <v>29.508923079999999</v>
      </c>
      <c r="H224" s="8" t="s">
        <v>22</v>
      </c>
      <c r="I224" s="8" t="s">
        <v>22</v>
      </c>
      <c r="J224" s="34">
        <v>52.443283809999997</v>
      </c>
      <c r="K224" s="34">
        <v>142.02107760000001</v>
      </c>
      <c r="L224" s="9" t="s">
        <v>22</v>
      </c>
      <c r="M224" s="34">
        <v>2</v>
      </c>
      <c r="N224" s="34">
        <v>24.2</v>
      </c>
      <c r="O224" s="9">
        <f>Table1[[#This Row],[R1 Length (km)]]+Table1[[#This Row],[T1 Length (km)]]</f>
        <v>26.2</v>
      </c>
      <c r="P224" s="38">
        <v>69</v>
      </c>
      <c r="Q224" s="9">
        <f>(Table1[[#This Row],[Linear Features (km)]]*0.4)*100</f>
        <v>1048</v>
      </c>
      <c r="R224" s="34">
        <v>119.88</v>
      </c>
      <c r="S224" s="3">
        <f>Table1[[#This Row],[ATG (ha)]]/Table1[[#This Row],[Linear Area (ha)]]</f>
        <v>0.11438931297709923</v>
      </c>
      <c r="T224" s="2" t="s">
        <v>22</v>
      </c>
      <c r="U224" s="2" t="s">
        <v>22</v>
      </c>
      <c r="V224" s="34">
        <v>119.88</v>
      </c>
      <c r="W224" s="34">
        <v>47.951999999999998</v>
      </c>
      <c r="X224" s="10">
        <v>331.68060000000003</v>
      </c>
      <c r="Y224" s="10">
        <f>Table1[[#This Row],[Raw Terrestrial Score]]/Table1[[#This Row],[Summed Raw Scores]]</f>
        <v>0.50353114849466196</v>
      </c>
      <c r="Z224" s="10">
        <v>327.02859999999998</v>
      </c>
      <c r="AA224" s="10">
        <f>Table1[[#This Row],[Raw Freshwater Score]]/Table1[[#This Row],[Summed Raw Scores]]</f>
        <v>0.49646885150533798</v>
      </c>
      <c r="AB224" s="10">
        <f>Table1[[#This Row],[Raw Terrestrial Score]]+Table1[[#This Row],[Raw Freshwater Score]]</f>
        <v>658.70920000000001</v>
      </c>
      <c r="AC224" s="11">
        <f>Table1[[#This Row],[Terrestrial % of Summed Score]]*Table1[[#This Row],[Scaled Summed Score]]</f>
        <v>4.0755343784120934E-2</v>
      </c>
      <c r="AD224" s="11">
        <f>Table1[[#This Row],[Freshwater % of Summed Score]]*Table1[[#This Row],[Scaled Summed Score]]</f>
        <v>4.0183728020993001E-2</v>
      </c>
      <c r="AE224" s="18">
        <f>Table1[[#This Row],[Summed Raw Scores]]/MAX(Table1[Summed Raw Scores])</f>
        <v>8.0939071805113935E-2</v>
      </c>
    </row>
    <row r="225" spans="1:31" x14ac:dyDescent="0.3">
      <c r="A225" s="8" t="s">
        <v>318</v>
      </c>
      <c r="B225" s="8" t="s">
        <v>58</v>
      </c>
      <c r="C225" s="8" t="s">
        <v>32</v>
      </c>
      <c r="D225" s="8"/>
      <c r="E225" s="34">
        <v>50.283912119999997</v>
      </c>
      <c r="F225" s="34">
        <v>-122.8072698</v>
      </c>
      <c r="G225" s="34">
        <v>14.35569231</v>
      </c>
      <c r="H225" s="8" t="s">
        <v>22</v>
      </c>
      <c r="I225" s="8" t="s">
        <v>22</v>
      </c>
      <c r="J225" s="34">
        <v>23.476167419999999</v>
      </c>
      <c r="K225" s="34">
        <v>131.50983859999999</v>
      </c>
      <c r="L225" s="9" t="s">
        <v>22</v>
      </c>
      <c r="M225" s="34">
        <v>1.6</v>
      </c>
      <c r="N225" s="34">
        <v>4.7</v>
      </c>
      <c r="O225" s="9">
        <f>Table1[[#This Row],[R1 Length (km)]]+Table1[[#This Row],[T1 Length (km)]]</f>
        <v>6.3000000000000007</v>
      </c>
      <c r="P225" s="38">
        <v>25</v>
      </c>
      <c r="Q225" s="9">
        <f>(Table1[[#This Row],[Linear Features (km)]]*0.4)*100</f>
        <v>252.00000000000006</v>
      </c>
      <c r="R225" s="34">
        <v>58.32</v>
      </c>
      <c r="S225" s="3">
        <f>Table1[[#This Row],[ATG (ha)]]/Table1[[#This Row],[Linear Area (ha)]]</f>
        <v>0.23142857142857137</v>
      </c>
      <c r="T225" s="2" t="s">
        <v>22</v>
      </c>
      <c r="U225" s="2" t="s">
        <v>22</v>
      </c>
      <c r="V225" s="34">
        <v>58.32</v>
      </c>
      <c r="W225" s="34">
        <v>23.327999999999999</v>
      </c>
      <c r="X225" s="10">
        <v>211.20060000000001</v>
      </c>
      <c r="Y225" s="10">
        <f>Table1[[#This Row],[Raw Terrestrial Score]]/Table1[[#This Row],[Summed Raw Scores]]</f>
        <v>0.47761264910088319</v>
      </c>
      <c r="Z225" s="10">
        <v>231</v>
      </c>
      <c r="AA225" s="10">
        <f>Table1[[#This Row],[Raw Freshwater Score]]/Table1[[#This Row],[Summed Raw Scores]]</f>
        <v>0.52238735089911681</v>
      </c>
      <c r="AB225" s="10">
        <f>Table1[[#This Row],[Raw Terrestrial Score]]+Table1[[#This Row],[Raw Freshwater Score]]</f>
        <v>442.20060000000001</v>
      </c>
      <c r="AC225" s="11">
        <f>Table1[[#This Row],[Terrestrial % of Summed Score]]*Table1[[#This Row],[Scaled Summed Score]]</f>
        <v>2.5951331070953838E-2</v>
      </c>
      <c r="AD225" s="11">
        <f>Table1[[#This Row],[Freshwater % of Summed Score]]*Table1[[#This Row],[Scaled Summed Score]]</f>
        <v>2.8384187721958821E-2</v>
      </c>
      <c r="AE225" s="18">
        <f>Table1[[#This Row],[Summed Raw Scores]]/MAX(Table1[Summed Raw Scores])</f>
        <v>5.4335518792912658E-2</v>
      </c>
    </row>
    <row r="226" spans="1:31" x14ac:dyDescent="0.3">
      <c r="A226" s="8" t="s">
        <v>285</v>
      </c>
      <c r="B226" s="8" t="s">
        <v>58</v>
      </c>
      <c r="C226" s="8" t="s">
        <v>25</v>
      </c>
      <c r="D226" s="8"/>
      <c r="E226" s="34">
        <v>50.597232990000002</v>
      </c>
      <c r="F226" s="34">
        <v>-121.18471529999999</v>
      </c>
      <c r="G226" s="34">
        <v>36.287999999999997</v>
      </c>
      <c r="H226" s="8" t="s">
        <v>22</v>
      </c>
      <c r="I226" s="8" t="s">
        <v>22</v>
      </c>
      <c r="J226" s="34">
        <v>65.867304599999997</v>
      </c>
      <c r="K226" s="34">
        <v>125.0593253</v>
      </c>
      <c r="L226" s="9" t="s">
        <v>22</v>
      </c>
      <c r="M226" s="34">
        <v>0.6</v>
      </c>
      <c r="N226" s="34">
        <v>18.2</v>
      </c>
      <c r="O226" s="9">
        <f>Table1[[#This Row],[R1 Length (km)]]+Table1[[#This Row],[T1 Length (km)]]</f>
        <v>18.8</v>
      </c>
      <c r="P226" s="38">
        <v>69</v>
      </c>
      <c r="Q226" s="9">
        <f>(Table1[[#This Row],[Linear Features (km)]]*0.4)*100</f>
        <v>752</v>
      </c>
      <c r="R226" s="34">
        <v>147.41999999999999</v>
      </c>
      <c r="S226" s="3">
        <f>Table1[[#This Row],[ATG (ha)]]/Table1[[#This Row],[Linear Area (ha)]]</f>
        <v>0.19603723404255319</v>
      </c>
      <c r="T226" s="2" t="s">
        <v>22</v>
      </c>
      <c r="U226" s="2" t="s">
        <v>22</v>
      </c>
      <c r="V226" s="34">
        <v>147.41999999999999</v>
      </c>
      <c r="W226" s="34">
        <v>58.968000000000004</v>
      </c>
      <c r="X226" s="10">
        <v>393.38589999999999</v>
      </c>
      <c r="Y226" s="10">
        <f>Table1[[#This Row],[Raw Terrestrial Score]]/Table1[[#This Row],[Summed Raw Scores]]</f>
        <v>0.51939955576146846</v>
      </c>
      <c r="Z226" s="10">
        <v>364</v>
      </c>
      <c r="AA226" s="10">
        <f>Table1[[#This Row],[Raw Freshwater Score]]/Table1[[#This Row],[Summed Raw Scores]]</f>
        <v>0.48060044423853149</v>
      </c>
      <c r="AB226" s="10">
        <f>Table1[[#This Row],[Raw Terrestrial Score]]+Table1[[#This Row],[Raw Freshwater Score]]</f>
        <v>757.38589999999999</v>
      </c>
      <c r="AC226" s="11">
        <f>Table1[[#This Row],[Terrestrial % of Summed Score]]*Table1[[#This Row],[Scaled Summed Score]]</f>
        <v>4.8337399276068053E-2</v>
      </c>
      <c r="AD226" s="11">
        <f>Table1[[#This Row],[Freshwater % of Summed Score]]*Table1[[#This Row],[Scaled Summed Score]]</f>
        <v>4.4726598834601783E-2</v>
      </c>
      <c r="AE226" s="18">
        <f>Table1[[#This Row],[Summed Raw Scores]]/MAX(Table1[Summed Raw Scores])</f>
        <v>9.3063998110669843E-2</v>
      </c>
    </row>
    <row r="227" spans="1:31" x14ac:dyDescent="0.3">
      <c r="A227" s="8" t="s">
        <v>74</v>
      </c>
      <c r="B227" s="8" t="s">
        <v>58</v>
      </c>
      <c r="C227" s="8" t="s">
        <v>25</v>
      </c>
      <c r="D227" s="8"/>
      <c r="E227" s="31">
        <v>50.562687879999999</v>
      </c>
      <c r="F227" s="31">
        <v>-121.07955800000001</v>
      </c>
      <c r="G227" s="31">
        <v>52.238769230800003</v>
      </c>
      <c r="H227" s="9" t="s">
        <v>22</v>
      </c>
      <c r="I227" s="9" t="s">
        <v>22</v>
      </c>
      <c r="J227" s="31">
        <v>95.228300170561525</v>
      </c>
      <c r="K227" s="31">
        <v>101.3336327046222</v>
      </c>
      <c r="L227" s="9" t="s">
        <v>22</v>
      </c>
      <c r="M227" s="31">
        <v>0.3</v>
      </c>
      <c r="N227" s="31">
        <v>23.3</v>
      </c>
      <c r="O227" s="9">
        <f>Table1[[#This Row],[R1 Length (km)]]+Table1[[#This Row],[T1 Length (km)]]</f>
        <v>23.6</v>
      </c>
      <c r="P227" s="28">
        <v>69</v>
      </c>
      <c r="Q227" s="9">
        <f>(Table1[[#This Row],[Linear Features (km)]]*0.4)*100</f>
        <v>944.00000000000011</v>
      </c>
      <c r="R227" s="31">
        <v>1240.1099999999999</v>
      </c>
      <c r="S227" s="18">
        <f>Table1[[#This Row],[ATG (ha)]]/Table1[[#This Row],[Linear Area (ha)]]</f>
        <v>1.3136758474576269</v>
      </c>
      <c r="T227" s="2" t="s">
        <v>22</v>
      </c>
      <c r="U227" s="2" t="s">
        <v>22</v>
      </c>
      <c r="V227" s="31">
        <v>1240.1099999999999</v>
      </c>
      <c r="W227" s="31">
        <v>496.04399999999998</v>
      </c>
      <c r="X227" s="10">
        <v>531.24329999999998</v>
      </c>
      <c r="Y227" s="10">
        <f>Table1[[#This Row],[Raw Terrestrial Score]]/Table1[[#This Row],[Summed Raw Scores]]</f>
        <v>0.4605665529880158</v>
      </c>
      <c r="Z227" s="10">
        <v>622.21280000000002</v>
      </c>
      <c r="AA227" s="10">
        <f>Table1[[#This Row],[Raw Freshwater Score]]/Table1[[#This Row],[Summed Raw Scores]]</f>
        <v>0.53943344701198437</v>
      </c>
      <c r="AB227" s="10">
        <f>Table1[[#This Row],[Raw Terrestrial Score]]+Table1[[#This Row],[Raw Freshwater Score]]</f>
        <v>1153.4560999999999</v>
      </c>
      <c r="AC227" s="11">
        <f>Table1[[#This Row],[Terrestrial % of Summed Score]]*Table1[[#This Row],[Scaled Summed Score]]</f>
        <v>6.5276664732609901E-2</v>
      </c>
      <c r="AD227" s="11">
        <f>Table1[[#This Row],[Freshwater % of Summed Score]]*Table1[[#This Row],[Scaled Summed Score]]</f>
        <v>7.6454566745478889E-2</v>
      </c>
      <c r="AE227" s="18">
        <f>Table1[[#This Row],[Summed Raw Scores]]/MAX(Table1[Summed Raw Scores])</f>
        <v>0.14173123147808878</v>
      </c>
    </row>
    <row r="228" spans="1:31" x14ac:dyDescent="0.3">
      <c r="A228" s="8" t="s">
        <v>351</v>
      </c>
      <c r="B228" s="8" t="s">
        <v>58</v>
      </c>
      <c r="C228" s="8" t="s">
        <v>32</v>
      </c>
      <c r="D228" s="8"/>
      <c r="E228" s="34">
        <v>50.148417080000002</v>
      </c>
      <c r="F228" s="34">
        <v>-123.0047582</v>
      </c>
      <c r="G228" s="34">
        <v>13.35876923</v>
      </c>
      <c r="H228" s="8" t="s">
        <v>22</v>
      </c>
      <c r="I228" s="8" t="s">
        <v>22</v>
      </c>
      <c r="J228" s="34">
        <v>20.810925000000001</v>
      </c>
      <c r="K228" s="34">
        <v>141.21929420000001</v>
      </c>
      <c r="L228" s="9" t="s">
        <v>22</v>
      </c>
      <c r="M228" s="34">
        <v>2.2000000000000002</v>
      </c>
      <c r="N228" s="34">
        <v>4.5999999999999996</v>
      </c>
      <c r="O228" s="9">
        <f>Table1[[#This Row],[R1 Length (km)]]+Table1[[#This Row],[T1 Length (km)]]</f>
        <v>6.8</v>
      </c>
      <c r="P228" s="38">
        <v>25</v>
      </c>
      <c r="Q228" s="9">
        <f>(Table1[[#This Row],[Linear Features (km)]]*0.4)*100</f>
        <v>272</v>
      </c>
      <c r="R228" s="34">
        <v>54.27</v>
      </c>
      <c r="S228" s="3">
        <f>Table1[[#This Row],[ATG (ha)]]/Table1[[#This Row],[Linear Area (ha)]]</f>
        <v>0.19952205882352941</v>
      </c>
      <c r="T228" s="2" t="s">
        <v>22</v>
      </c>
      <c r="U228" s="2" t="s">
        <v>22</v>
      </c>
      <c r="V228" s="34">
        <v>54.27</v>
      </c>
      <c r="W228" s="34">
        <v>21.707999999999998</v>
      </c>
      <c r="X228" s="10">
        <v>148.2713</v>
      </c>
      <c r="Y228" s="10">
        <f>Table1[[#This Row],[Raw Terrestrial Score]]/Table1[[#This Row],[Summed Raw Scores]]</f>
        <v>0.55475952711720267</v>
      </c>
      <c r="Z228" s="10">
        <v>119</v>
      </c>
      <c r="AA228" s="10">
        <f>Table1[[#This Row],[Raw Freshwater Score]]/Table1[[#This Row],[Summed Raw Scores]]</f>
        <v>0.44524047288279739</v>
      </c>
      <c r="AB228" s="10">
        <f>Table1[[#This Row],[Raw Terrestrial Score]]+Table1[[#This Row],[Raw Freshwater Score]]</f>
        <v>267.2713</v>
      </c>
      <c r="AC228" s="11">
        <f>Table1[[#This Row],[Terrestrial % of Summed Score]]*Table1[[#This Row],[Scaled Summed Score]]</f>
        <v>1.821887624666179E-2</v>
      </c>
      <c r="AD228" s="11">
        <f>Table1[[#This Row],[Freshwater % of Summed Score]]*Table1[[#This Row],[Scaled Summed Score]]</f>
        <v>1.462215731131212E-2</v>
      </c>
      <c r="AE228" s="18">
        <f>Table1[[#This Row],[Summed Raw Scores]]/MAX(Table1[Summed Raw Scores])</f>
        <v>3.2841033557973909E-2</v>
      </c>
    </row>
    <row r="229" spans="1:31" x14ac:dyDescent="0.3">
      <c r="A229" s="8" t="s">
        <v>296</v>
      </c>
      <c r="B229" s="8" t="s">
        <v>58</v>
      </c>
      <c r="C229" s="8" t="s">
        <v>32</v>
      </c>
      <c r="D229" s="8"/>
      <c r="E229" s="34">
        <v>50.162190719999998</v>
      </c>
      <c r="F229" s="34">
        <v>-122.9231422</v>
      </c>
      <c r="G229" s="34">
        <v>18.542769230000001</v>
      </c>
      <c r="H229" s="8" t="s">
        <v>22</v>
      </c>
      <c r="I229" s="8" t="s">
        <v>22</v>
      </c>
      <c r="J229" s="34">
        <v>29.19247579</v>
      </c>
      <c r="K229" s="34">
        <v>126.9069901</v>
      </c>
      <c r="L229" s="9" t="s">
        <v>22</v>
      </c>
      <c r="M229" s="34">
        <v>0.3</v>
      </c>
      <c r="N229" s="34">
        <v>4.7</v>
      </c>
      <c r="O229" s="9">
        <f>Table1[[#This Row],[R1 Length (km)]]+Table1[[#This Row],[T1 Length (km)]]</f>
        <v>5</v>
      </c>
      <c r="P229" s="38">
        <v>25</v>
      </c>
      <c r="Q229" s="9">
        <f>(Table1[[#This Row],[Linear Features (km)]]*0.4)*100</f>
        <v>200</v>
      </c>
      <c r="R229" s="34">
        <v>75.33</v>
      </c>
      <c r="S229" s="3">
        <f>Table1[[#This Row],[ATG (ha)]]/Table1[[#This Row],[Linear Area (ha)]]</f>
        <v>0.37664999999999998</v>
      </c>
      <c r="T229" s="2" t="s">
        <v>22</v>
      </c>
      <c r="U229" s="2" t="s">
        <v>22</v>
      </c>
      <c r="V229" s="34">
        <v>75.33</v>
      </c>
      <c r="W229" s="34">
        <v>30.132000000000001</v>
      </c>
      <c r="X229" s="10">
        <v>73.964709999999997</v>
      </c>
      <c r="Y229" s="10">
        <f>Table1[[#This Row],[Raw Terrestrial Score]]/Table1[[#This Row],[Summed Raw Scores]]</f>
        <v>0.34343581379330745</v>
      </c>
      <c r="Z229" s="10">
        <v>141.40219999999999</v>
      </c>
      <c r="AA229" s="10">
        <f>Table1[[#This Row],[Raw Freshwater Score]]/Table1[[#This Row],[Summed Raw Scores]]</f>
        <v>0.65656418620669255</v>
      </c>
      <c r="AB229" s="10">
        <f>Table1[[#This Row],[Raw Terrestrial Score]]+Table1[[#This Row],[Raw Freshwater Score]]</f>
        <v>215.36690999999999</v>
      </c>
      <c r="AC229" s="11">
        <f>Table1[[#This Row],[Terrestrial % of Summed Score]]*Table1[[#This Row],[Scaled Summed Score]]</f>
        <v>9.0884338244166443E-3</v>
      </c>
      <c r="AD229" s="11">
        <f>Table1[[#This Row],[Freshwater % of Summed Score]]*Table1[[#This Row],[Scaled Summed Score]]</f>
        <v>1.737483371903881E-2</v>
      </c>
      <c r="AE229" s="18">
        <f>Table1[[#This Row],[Summed Raw Scores]]/MAX(Table1[Summed Raw Scores])</f>
        <v>2.6463267543455456E-2</v>
      </c>
    </row>
    <row r="230" spans="1:31" x14ac:dyDescent="0.3">
      <c r="A230" s="8" t="s">
        <v>262</v>
      </c>
      <c r="B230" s="8" t="s">
        <v>58</v>
      </c>
      <c r="C230" s="8" t="s">
        <v>25</v>
      </c>
      <c r="D230" s="8"/>
      <c r="E230" s="34">
        <v>50.489513270000003</v>
      </c>
      <c r="F230" s="34">
        <v>-121.2223437</v>
      </c>
      <c r="G230" s="34">
        <v>14.555076919999999</v>
      </c>
      <c r="H230" s="8" t="s">
        <v>22</v>
      </c>
      <c r="I230" s="8" t="s">
        <v>22</v>
      </c>
      <c r="J230" s="34">
        <v>27.31813395</v>
      </c>
      <c r="K230" s="34">
        <v>120.35928749999999</v>
      </c>
      <c r="L230" s="9" t="s">
        <v>22</v>
      </c>
      <c r="M230" s="34">
        <v>1.6</v>
      </c>
      <c r="N230" s="34">
        <v>10.6</v>
      </c>
      <c r="O230" s="9">
        <f>Table1[[#This Row],[R1 Length (km)]]+Table1[[#This Row],[T1 Length (km)]]</f>
        <v>12.2</v>
      </c>
      <c r="P230" s="38">
        <v>25</v>
      </c>
      <c r="Q230" s="9">
        <f>(Table1[[#This Row],[Linear Features (km)]]*0.4)*100</f>
        <v>488</v>
      </c>
      <c r="R230" s="34">
        <v>59.13</v>
      </c>
      <c r="S230" s="3">
        <f>Table1[[#This Row],[ATG (ha)]]/Table1[[#This Row],[Linear Area (ha)]]</f>
        <v>0.12116803278688525</v>
      </c>
      <c r="T230" s="2" t="s">
        <v>22</v>
      </c>
      <c r="U230" s="2" t="s">
        <v>22</v>
      </c>
      <c r="V230" s="34">
        <v>59.13</v>
      </c>
      <c r="W230" s="34">
        <v>23.652000000000001</v>
      </c>
      <c r="X230" s="10">
        <v>255.65899999999999</v>
      </c>
      <c r="Y230" s="10">
        <f>Table1[[#This Row],[Raw Terrestrial Score]]/Table1[[#This Row],[Summed Raw Scores]]</f>
        <v>0.53244621108036427</v>
      </c>
      <c r="Z230" s="10">
        <v>224.50030000000001</v>
      </c>
      <c r="AA230" s="10">
        <f>Table1[[#This Row],[Raw Freshwater Score]]/Table1[[#This Row],[Summed Raw Scores]]</f>
        <v>0.46755378891963562</v>
      </c>
      <c r="AB230" s="10">
        <f>Table1[[#This Row],[Raw Terrestrial Score]]+Table1[[#This Row],[Raw Freshwater Score]]</f>
        <v>480.15930000000003</v>
      </c>
      <c r="AC230" s="11">
        <f>Table1[[#This Row],[Terrestrial % of Summed Score]]*Table1[[#This Row],[Scaled Summed Score]]</f>
        <v>3.1414169042460041E-2</v>
      </c>
      <c r="AD230" s="11">
        <f>Table1[[#This Row],[Freshwater % of Summed Score]]*Table1[[#This Row],[Scaled Summed Score]]</f>
        <v>2.758553531963668E-2</v>
      </c>
      <c r="AE230" s="18">
        <f>Table1[[#This Row],[Summed Raw Scores]]/MAX(Table1[Summed Raw Scores])</f>
        <v>5.8999704362096728E-2</v>
      </c>
    </row>
    <row r="231" spans="1:31" x14ac:dyDescent="0.3">
      <c r="A231" s="8" t="s">
        <v>260</v>
      </c>
      <c r="B231" s="8" t="s">
        <v>58</v>
      </c>
      <c r="C231" s="8" t="s">
        <v>25</v>
      </c>
      <c r="D231" s="8"/>
      <c r="E231" s="34">
        <v>50.502409409999999</v>
      </c>
      <c r="F231" s="34">
        <v>-121.1397796</v>
      </c>
      <c r="G231" s="34">
        <v>16.947692310000001</v>
      </c>
      <c r="H231" s="8" t="s">
        <v>22</v>
      </c>
      <c r="I231" s="8" t="s">
        <v>22</v>
      </c>
      <c r="J231" s="34">
        <v>31.72636803</v>
      </c>
      <c r="K231" s="34">
        <v>118.9972654</v>
      </c>
      <c r="L231" s="9" t="s">
        <v>22</v>
      </c>
      <c r="M231" s="34">
        <v>0</v>
      </c>
      <c r="N231" s="34">
        <v>16.3</v>
      </c>
      <c r="O231" s="9">
        <f>Table1[[#This Row],[R1 Length (km)]]+Table1[[#This Row],[T1 Length (km)]]</f>
        <v>16.3</v>
      </c>
      <c r="P231" s="38">
        <v>25</v>
      </c>
      <c r="Q231" s="9">
        <f>(Table1[[#This Row],[Linear Features (km)]]*0.4)*100</f>
        <v>652</v>
      </c>
      <c r="R231" s="34">
        <v>68.849999999999994</v>
      </c>
      <c r="S231" s="3">
        <f>Table1[[#This Row],[ATG (ha)]]/Table1[[#This Row],[Linear Area (ha)]]</f>
        <v>0.10559815950920244</v>
      </c>
      <c r="T231" s="2" t="s">
        <v>22</v>
      </c>
      <c r="U231" s="2" t="s">
        <v>22</v>
      </c>
      <c r="V231" s="34">
        <v>68.849999999999994</v>
      </c>
      <c r="W231" s="34">
        <v>27.54</v>
      </c>
      <c r="X231" s="10">
        <v>241.87289999999999</v>
      </c>
      <c r="Y231" s="10">
        <f>Table1[[#This Row],[Raw Terrestrial Score]]/Table1[[#This Row],[Summed Raw Scores]]</f>
        <v>0.51940124086167994</v>
      </c>
      <c r="Z231" s="10">
        <v>223.80350000000001</v>
      </c>
      <c r="AA231" s="10">
        <f>Table1[[#This Row],[Raw Freshwater Score]]/Table1[[#This Row],[Summed Raw Scores]]</f>
        <v>0.48059875913832012</v>
      </c>
      <c r="AB231" s="10">
        <f>Table1[[#This Row],[Raw Terrestrial Score]]+Table1[[#This Row],[Raw Freshwater Score]]</f>
        <v>465.6764</v>
      </c>
      <c r="AC231" s="11">
        <f>Table1[[#This Row],[Terrestrial % of Summed Score]]*Table1[[#This Row],[Scaled Summed Score]]</f>
        <v>2.9720198261708117E-2</v>
      </c>
      <c r="AD231" s="11">
        <f>Table1[[#This Row],[Freshwater % of Summed Score]]*Table1[[#This Row],[Scaled Summed Score]]</f>
        <v>2.7499915830439012E-2</v>
      </c>
      <c r="AE231" s="18">
        <f>Table1[[#This Row],[Summed Raw Scores]]/MAX(Table1[Summed Raw Scores])</f>
        <v>5.7220114092147126E-2</v>
      </c>
    </row>
    <row r="232" spans="1:31" x14ac:dyDescent="0.3">
      <c r="A232" s="8" t="s">
        <v>308</v>
      </c>
      <c r="B232" s="8" t="s">
        <v>58</v>
      </c>
      <c r="C232" s="8" t="s">
        <v>25</v>
      </c>
      <c r="D232" s="8"/>
      <c r="E232" s="34">
        <v>50.528079050000002</v>
      </c>
      <c r="F232" s="34">
        <v>-120.9745344</v>
      </c>
      <c r="G232" s="34">
        <v>32.89846154</v>
      </c>
      <c r="H232" s="8" t="s">
        <v>22</v>
      </c>
      <c r="I232" s="8" t="s">
        <v>22</v>
      </c>
      <c r="J232" s="34">
        <v>58.781529769999999</v>
      </c>
      <c r="K232" s="34">
        <v>130.1876705</v>
      </c>
      <c r="L232" s="9" t="s">
        <v>22</v>
      </c>
      <c r="M232" s="34">
        <v>0</v>
      </c>
      <c r="N232" s="34">
        <v>18</v>
      </c>
      <c r="O232" s="9">
        <f>Table1[[#This Row],[R1 Length (km)]]+Table1[[#This Row],[T1 Length (km)]]</f>
        <v>18</v>
      </c>
      <c r="P232" s="38">
        <v>69</v>
      </c>
      <c r="Q232" s="9">
        <f>(Table1[[#This Row],[Linear Features (km)]]*0.4)*100</f>
        <v>720</v>
      </c>
      <c r="R232" s="34">
        <v>133.65</v>
      </c>
      <c r="S232" s="3">
        <f>Table1[[#This Row],[ATG (ha)]]/Table1[[#This Row],[Linear Area (ha)]]</f>
        <v>0.18562500000000001</v>
      </c>
      <c r="T232" s="2" t="s">
        <v>22</v>
      </c>
      <c r="U232" s="2" t="s">
        <v>22</v>
      </c>
      <c r="V232" s="34">
        <v>133.65</v>
      </c>
      <c r="W232" s="34">
        <v>53.46</v>
      </c>
      <c r="X232" s="10">
        <v>310.6814</v>
      </c>
      <c r="Y232" s="10">
        <f>Table1[[#This Row],[Raw Terrestrial Score]]/Table1[[#This Row],[Summed Raw Scores]]</f>
        <v>0.47438655489387194</v>
      </c>
      <c r="Z232" s="10">
        <v>344.23050000000001</v>
      </c>
      <c r="AA232" s="10">
        <f>Table1[[#This Row],[Raw Freshwater Score]]/Table1[[#This Row],[Summed Raw Scores]]</f>
        <v>0.52561344510612795</v>
      </c>
      <c r="AB232" s="10">
        <f>Table1[[#This Row],[Raw Terrestrial Score]]+Table1[[#This Row],[Raw Freshwater Score]]</f>
        <v>654.91190000000006</v>
      </c>
      <c r="AC232" s="11">
        <f>Table1[[#This Row],[Terrestrial % of Summed Score]]*Table1[[#This Row],[Scaled Summed Score]]</f>
        <v>3.8175061382341897E-2</v>
      </c>
      <c r="AD232" s="11">
        <f>Table1[[#This Row],[Freshwater % of Summed Score]]*Table1[[#This Row],[Scaled Summed Score]]</f>
        <v>4.2297416154215353E-2</v>
      </c>
      <c r="AE232" s="18">
        <f>Table1[[#This Row],[Summed Raw Scores]]/MAX(Table1[Summed Raw Scores])</f>
        <v>8.0472477536557258E-2</v>
      </c>
    </row>
    <row r="233" spans="1:31" x14ac:dyDescent="0.3">
      <c r="A233" s="8" t="s">
        <v>322</v>
      </c>
      <c r="B233" s="8" t="s">
        <v>58</v>
      </c>
      <c r="C233" s="8" t="s">
        <v>21</v>
      </c>
      <c r="D233" s="8"/>
      <c r="E233" s="34">
        <v>49.729584860000003</v>
      </c>
      <c r="F233" s="34">
        <v>-125.086574</v>
      </c>
      <c r="G233" s="34">
        <v>17.34646154</v>
      </c>
      <c r="H233" s="8" t="s">
        <v>22</v>
      </c>
      <c r="I233" s="8" t="s">
        <v>22</v>
      </c>
      <c r="J233" s="34">
        <v>27.262485869999999</v>
      </c>
      <c r="K233" s="34">
        <v>132.28778019999999</v>
      </c>
      <c r="L233" s="9" t="s">
        <v>22</v>
      </c>
      <c r="M233" s="34">
        <v>0.6</v>
      </c>
      <c r="N233" s="34">
        <v>9.1</v>
      </c>
      <c r="O233" s="9">
        <f>Table1[[#This Row],[R1 Length (km)]]+Table1[[#This Row],[T1 Length (km)]]</f>
        <v>9.6999999999999993</v>
      </c>
      <c r="P233" s="38">
        <v>25</v>
      </c>
      <c r="Q233" s="9">
        <f>(Table1[[#This Row],[Linear Features (km)]]*0.4)*100</f>
        <v>388</v>
      </c>
      <c r="R233" s="34">
        <v>70.47</v>
      </c>
      <c r="S233" s="3">
        <f>Table1[[#This Row],[ATG (ha)]]/Table1[[#This Row],[Linear Area (ha)]]</f>
        <v>0.18162371134020619</v>
      </c>
      <c r="T233" s="2" t="s">
        <v>22</v>
      </c>
      <c r="U233" s="2" t="s">
        <v>22</v>
      </c>
      <c r="V233" s="34">
        <v>70.47</v>
      </c>
      <c r="W233" s="34">
        <v>28.187999999999999</v>
      </c>
      <c r="X233" s="10">
        <v>140.67859999999999</v>
      </c>
      <c r="Y233" s="10">
        <f>Table1[[#This Row],[Raw Terrestrial Score]]/Table1[[#This Row],[Summed Raw Scores]]</f>
        <v>0.37951637887916917</v>
      </c>
      <c r="Z233" s="10">
        <v>230</v>
      </c>
      <c r="AA233" s="10">
        <f>Table1[[#This Row],[Raw Freshwater Score]]/Table1[[#This Row],[Summed Raw Scores]]</f>
        <v>0.62048362112083089</v>
      </c>
      <c r="AB233" s="10">
        <f>Table1[[#This Row],[Raw Terrestrial Score]]+Table1[[#This Row],[Raw Freshwater Score]]</f>
        <v>370.67859999999996</v>
      </c>
      <c r="AC233" s="11">
        <f>Table1[[#This Row],[Terrestrial % of Summed Score]]*Table1[[#This Row],[Scaled Summed Score]]</f>
        <v>1.7285921172564309E-2</v>
      </c>
      <c r="AD233" s="11">
        <f>Table1[[#This Row],[Freshwater % of Summed Score]]*Table1[[#This Row],[Scaled Summed Score]]</f>
        <v>2.8261312450435189E-2</v>
      </c>
      <c r="AE233" s="18">
        <f>Table1[[#This Row],[Summed Raw Scores]]/MAX(Table1[Summed Raw Scores])</f>
        <v>4.5547233622999499E-2</v>
      </c>
    </row>
    <row r="234" spans="1:31" x14ac:dyDescent="0.3">
      <c r="A234" s="8" t="s">
        <v>75</v>
      </c>
      <c r="B234" s="8" t="s">
        <v>58</v>
      </c>
      <c r="C234" s="8" t="s">
        <v>25</v>
      </c>
      <c r="D234" s="8"/>
      <c r="E234" s="31">
        <v>50.423871550000001</v>
      </c>
      <c r="F234" s="31">
        <v>-120.6602656</v>
      </c>
      <c r="G234" s="31">
        <v>81.149534614999993</v>
      </c>
      <c r="H234" s="9" t="s">
        <v>22</v>
      </c>
      <c r="I234" s="9" t="s">
        <v>22</v>
      </c>
      <c r="J234" s="31">
        <v>146.89395982694825</v>
      </c>
      <c r="K234" s="31">
        <v>96.656117097630755</v>
      </c>
      <c r="L234" s="9" t="s">
        <v>22</v>
      </c>
      <c r="M234" s="31">
        <v>0.7</v>
      </c>
      <c r="N234" s="31">
        <v>11.2</v>
      </c>
      <c r="O234" s="9">
        <f>Table1[[#This Row],[R1 Length (km)]]+Table1[[#This Row],[T1 Length (km)]]</f>
        <v>11.899999999999999</v>
      </c>
      <c r="P234" s="28">
        <v>130</v>
      </c>
      <c r="Q234" s="9">
        <f>(Table1[[#This Row],[Linear Features (km)]]*0.4)*100</f>
        <v>476</v>
      </c>
      <c r="R234" s="31">
        <v>1314.63</v>
      </c>
      <c r="S234" s="18">
        <f>Table1[[#This Row],[ATG (ha)]]/Table1[[#This Row],[Linear Area (ha)]]</f>
        <v>2.7618277310924371</v>
      </c>
      <c r="T234" s="2" t="s">
        <v>22</v>
      </c>
      <c r="U234" s="2" t="s">
        <v>22</v>
      </c>
      <c r="V234" s="31">
        <v>1314.63</v>
      </c>
      <c r="W234" s="31">
        <v>525.85200000000009</v>
      </c>
      <c r="X234" s="10">
        <v>328.06240000000003</v>
      </c>
      <c r="Y234" s="10">
        <f>Table1[[#This Row],[Raw Terrestrial Score]]/Table1[[#This Row],[Summed Raw Scores]]</f>
        <v>0.41419285064887762</v>
      </c>
      <c r="Z234" s="10">
        <v>463.98989999999998</v>
      </c>
      <c r="AA234" s="10">
        <f>Table1[[#This Row],[Raw Freshwater Score]]/Table1[[#This Row],[Summed Raw Scores]]</f>
        <v>0.58580714935112232</v>
      </c>
      <c r="AB234" s="10">
        <f>Table1[[#This Row],[Raw Terrestrial Score]]+Table1[[#This Row],[Raw Freshwater Score]]</f>
        <v>792.05230000000006</v>
      </c>
      <c r="AC234" s="11">
        <f>Table1[[#This Row],[Terrestrial % of Summed Score]]*Table1[[#This Row],[Scaled Summed Score]]</f>
        <v>4.0310756476694132E-2</v>
      </c>
      <c r="AD234" s="11">
        <f>Table1[[#This Row],[Freshwater % of Summed Score]]*Table1[[#This Row],[Scaled Summed Score]]</f>
        <v>5.7012884946722513E-2</v>
      </c>
      <c r="AE234" s="18">
        <f>Table1[[#This Row],[Summed Raw Scores]]/MAX(Table1[Summed Raw Scores])</f>
        <v>9.7323641423416651E-2</v>
      </c>
    </row>
    <row r="235" spans="1:31" x14ac:dyDescent="0.3">
      <c r="A235" s="8" t="s">
        <v>270</v>
      </c>
      <c r="B235" s="8" t="s">
        <v>58</v>
      </c>
      <c r="C235" s="8" t="s">
        <v>25</v>
      </c>
      <c r="D235" s="8"/>
      <c r="E235" s="34">
        <v>50.325599130000001</v>
      </c>
      <c r="F235" s="34">
        <v>-120.9680393</v>
      </c>
      <c r="G235" s="34">
        <v>38.481230770000003</v>
      </c>
      <c r="H235" s="8" t="s">
        <v>22</v>
      </c>
      <c r="I235" s="8" t="s">
        <v>22</v>
      </c>
      <c r="J235" s="34">
        <v>69.679875870000004</v>
      </c>
      <c r="K235" s="34">
        <v>121.99408529999999</v>
      </c>
      <c r="L235" s="9" t="s">
        <v>22</v>
      </c>
      <c r="M235" s="34">
        <v>0.3</v>
      </c>
      <c r="N235" s="34">
        <v>14.9</v>
      </c>
      <c r="O235" s="9">
        <f>Table1[[#This Row],[R1 Length (km)]]+Table1[[#This Row],[T1 Length (km)]]</f>
        <v>15.200000000000001</v>
      </c>
      <c r="P235" s="38">
        <v>69</v>
      </c>
      <c r="Q235" s="9">
        <f>(Table1[[#This Row],[Linear Features (km)]]*0.4)*100</f>
        <v>608.00000000000011</v>
      </c>
      <c r="R235" s="34">
        <v>156.33000000000001</v>
      </c>
      <c r="S235" s="3">
        <f>Table1[[#This Row],[ATG (ha)]]/Table1[[#This Row],[Linear Area (ha)]]</f>
        <v>0.25712171052631577</v>
      </c>
      <c r="T235" s="2" t="s">
        <v>22</v>
      </c>
      <c r="U235" s="2" t="s">
        <v>22</v>
      </c>
      <c r="V235" s="34">
        <v>156.33000000000001</v>
      </c>
      <c r="W235" s="34">
        <v>62.531999999999996</v>
      </c>
      <c r="X235" s="10">
        <v>129.94550000000001</v>
      </c>
      <c r="Y235" s="10">
        <f>Table1[[#This Row],[Raw Terrestrial Score]]/Table1[[#This Row],[Summed Raw Scores]]</f>
        <v>0.3940448198672179</v>
      </c>
      <c r="Z235" s="10">
        <v>199.8279</v>
      </c>
      <c r="AA235" s="10">
        <f>Table1[[#This Row],[Raw Freshwater Score]]/Table1[[#This Row],[Summed Raw Scores]]</f>
        <v>0.60595518013278205</v>
      </c>
      <c r="AB235" s="10">
        <f>Table1[[#This Row],[Raw Terrestrial Score]]+Table1[[#This Row],[Raw Freshwater Score]]</f>
        <v>329.77340000000004</v>
      </c>
      <c r="AC235" s="11">
        <f>Table1[[#This Row],[Terrestrial % of Summed Score]]*Table1[[#This Row],[Scaled Summed Score]]</f>
        <v>1.5967088595774028E-2</v>
      </c>
      <c r="AD235" s="11">
        <f>Table1[[#This Row],[Freshwater % of Summed Score]]*Table1[[#This Row],[Scaled Summed Score]]</f>
        <v>2.4553907470497037E-2</v>
      </c>
      <c r="AE235" s="18">
        <f>Table1[[#This Row],[Summed Raw Scores]]/MAX(Table1[Summed Raw Scores])</f>
        <v>4.0520996066271069E-2</v>
      </c>
    </row>
    <row r="236" spans="1:31" x14ac:dyDescent="0.3">
      <c r="A236" s="8" t="s">
        <v>290</v>
      </c>
      <c r="B236" s="8" t="s">
        <v>58</v>
      </c>
      <c r="C236" s="8" t="s">
        <v>25</v>
      </c>
      <c r="D236" s="8"/>
      <c r="E236" s="34">
        <v>50.389009139999999</v>
      </c>
      <c r="F236" s="34">
        <v>-120.5557767</v>
      </c>
      <c r="G236" s="34">
        <v>34.094769229999997</v>
      </c>
      <c r="H236" s="8" t="s">
        <v>22</v>
      </c>
      <c r="I236" s="8" t="s">
        <v>22</v>
      </c>
      <c r="J236" s="34">
        <v>62.07381333</v>
      </c>
      <c r="K236" s="34">
        <v>126.33030100000001</v>
      </c>
      <c r="L236" s="9" t="s">
        <v>22</v>
      </c>
      <c r="M236" s="34">
        <v>0</v>
      </c>
      <c r="N236" s="34">
        <v>18.399999999999999</v>
      </c>
      <c r="O236" s="9">
        <f>Table1[[#This Row],[R1 Length (km)]]+Table1[[#This Row],[T1 Length (km)]]</f>
        <v>18.399999999999999</v>
      </c>
      <c r="P236" s="38">
        <v>69</v>
      </c>
      <c r="Q236" s="9">
        <f>(Table1[[#This Row],[Linear Features (km)]]*0.4)*100</f>
        <v>736</v>
      </c>
      <c r="R236" s="34">
        <v>138.51</v>
      </c>
      <c r="S236" s="3">
        <f>Table1[[#This Row],[ATG (ha)]]/Table1[[#This Row],[Linear Area (ha)]]</f>
        <v>0.18819293478260868</v>
      </c>
      <c r="T236" s="2" t="s">
        <v>22</v>
      </c>
      <c r="U236" s="2" t="s">
        <v>22</v>
      </c>
      <c r="V236" s="34">
        <v>138.51</v>
      </c>
      <c r="W236" s="34">
        <v>55.404000000000003</v>
      </c>
      <c r="X236" s="10">
        <v>186.16900000000001</v>
      </c>
      <c r="Y236" s="10">
        <f>Table1[[#This Row],[Raw Terrestrial Score]]/Table1[[#This Row],[Summed Raw Scores]]</f>
        <v>0.41168449897924164</v>
      </c>
      <c r="Z236" s="10">
        <v>266.04379999999998</v>
      </c>
      <c r="AA236" s="10">
        <f>Table1[[#This Row],[Raw Freshwater Score]]/Table1[[#This Row],[Summed Raw Scores]]</f>
        <v>0.58831550102075825</v>
      </c>
      <c r="AB236" s="10">
        <f>Table1[[#This Row],[Raw Terrestrial Score]]+Table1[[#This Row],[Raw Freshwater Score]]</f>
        <v>452.21280000000002</v>
      </c>
      <c r="AC236" s="11">
        <f>Table1[[#This Row],[Terrestrial % of Summed Score]]*Table1[[#This Row],[Scaled Summed Score]]</f>
        <v>2.2875566424282911E-2</v>
      </c>
      <c r="AD236" s="11">
        <f>Table1[[#This Row],[Freshwater % of Summed Score]]*Table1[[#This Row],[Scaled Summed Score]]</f>
        <v>3.2690204162178646E-2</v>
      </c>
      <c r="AE236" s="18">
        <f>Table1[[#This Row],[Summed Raw Scores]]/MAX(Table1[Summed Raw Scores])</f>
        <v>5.556577058646156E-2</v>
      </c>
    </row>
    <row r="237" spans="1:31" x14ac:dyDescent="0.3">
      <c r="A237" s="8" t="s">
        <v>279</v>
      </c>
      <c r="B237" s="8" t="s">
        <v>58</v>
      </c>
      <c r="C237" s="8" t="s">
        <v>25</v>
      </c>
      <c r="D237" s="8"/>
      <c r="E237" s="34">
        <v>50.391478509999999</v>
      </c>
      <c r="F237" s="34">
        <v>-120.20369340000001</v>
      </c>
      <c r="G237" s="34">
        <v>72.376615380000004</v>
      </c>
      <c r="H237" s="8" t="s">
        <v>22</v>
      </c>
      <c r="I237" s="8" t="s">
        <v>22</v>
      </c>
      <c r="J237" s="34">
        <v>128.86836529999999</v>
      </c>
      <c r="K237" s="34">
        <v>123.8964933</v>
      </c>
      <c r="L237" s="9" t="s">
        <v>22</v>
      </c>
      <c r="M237" s="34">
        <v>0</v>
      </c>
      <c r="N237" s="34">
        <v>29.3</v>
      </c>
      <c r="O237" s="9">
        <f>Table1[[#This Row],[R1 Length (km)]]+Table1[[#This Row],[T1 Length (km)]]</f>
        <v>29.3</v>
      </c>
      <c r="P237" s="38">
        <v>130</v>
      </c>
      <c r="Q237" s="9">
        <f>(Table1[[#This Row],[Linear Features (km)]]*0.4)*100</f>
        <v>1172</v>
      </c>
      <c r="R237" s="34">
        <v>294.02999999999997</v>
      </c>
      <c r="S237" s="3">
        <f>Table1[[#This Row],[ATG (ha)]]/Table1[[#This Row],[Linear Area (ha)]]</f>
        <v>0.25087883959044366</v>
      </c>
      <c r="T237" s="2" t="s">
        <v>22</v>
      </c>
      <c r="U237" s="2" t="s">
        <v>22</v>
      </c>
      <c r="V237" s="34">
        <v>294.02999999999997</v>
      </c>
      <c r="W237" s="34">
        <v>117.61199999999999</v>
      </c>
      <c r="X237" s="10">
        <v>350.80950000000001</v>
      </c>
      <c r="Y237" s="10">
        <f>Table1[[#This Row],[Raw Terrestrial Score]]/Table1[[#This Row],[Summed Raw Scores]]</f>
        <v>0.5072126197097081</v>
      </c>
      <c r="Z237" s="10">
        <v>340.83240000000001</v>
      </c>
      <c r="AA237" s="10">
        <f>Table1[[#This Row],[Raw Freshwater Score]]/Table1[[#This Row],[Summed Raw Scores]]</f>
        <v>0.49278738029029179</v>
      </c>
      <c r="AB237" s="10">
        <f>Table1[[#This Row],[Raw Terrestrial Score]]+Table1[[#This Row],[Raw Freshwater Score]]</f>
        <v>691.64190000000008</v>
      </c>
      <c r="AC237" s="11">
        <f>Table1[[#This Row],[Terrestrial % of Summed Score]]*Table1[[#This Row],[Scaled Summed Score]]</f>
        <v>4.3105812565569321E-2</v>
      </c>
      <c r="AD237" s="11">
        <f>Table1[[#This Row],[Freshwater % of Summed Score]]*Table1[[#This Row],[Scaled Summed Score]]</f>
        <v>4.1879873694050898E-2</v>
      </c>
      <c r="AE237" s="18">
        <f>Table1[[#This Row],[Summed Raw Scores]]/MAX(Table1[Summed Raw Scores])</f>
        <v>8.4985686259620233E-2</v>
      </c>
    </row>
    <row r="238" spans="1:31" x14ac:dyDescent="0.3">
      <c r="A238" s="8" t="s">
        <v>315</v>
      </c>
      <c r="B238" s="8" t="s">
        <v>58</v>
      </c>
      <c r="C238" s="8" t="s">
        <v>56</v>
      </c>
      <c r="D238" s="8"/>
      <c r="E238" s="34">
        <v>50.45139563</v>
      </c>
      <c r="F238" s="34">
        <v>-120.1425618</v>
      </c>
      <c r="G238" s="34">
        <v>36.287999999999997</v>
      </c>
      <c r="H238" s="8" t="s">
        <v>22</v>
      </c>
      <c r="I238" s="8" t="s">
        <v>22</v>
      </c>
      <c r="J238" s="24">
        <v>64.451252929999995</v>
      </c>
      <c r="K238" s="24">
        <v>131.1148455</v>
      </c>
      <c r="L238" s="9" t="s">
        <v>22</v>
      </c>
      <c r="M238" s="34">
        <v>0</v>
      </c>
      <c r="N238" s="34">
        <v>25.3</v>
      </c>
      <c r="O238" s="9">
        <f>Table1[[#This Row],[R1 Length (km)]]+Table1[[#This Row],[T1 Length (km)]]</f>
        <v>25.3</v>
      </c>
      <c r="P238" s="38">
        <v>69</v>
      </c>
      <c r="Q238" s="9">
        <f>(Table1[[#This Row],[Linear Features (km)]]*0.4)*100</f>
        <v>1012.0000000000001</v>
      </c>
      <c r="R238" s="34">
        <v>147.41999999999999</v>
      </c>
      <c r="S238" s="3">
        <f>Table1[[#This Row],[ATG (ha)]]/Table1[[#This Row],[Linear Area (ha)]]</f>
        <v>0.14567193675889326</v>
      </c>
      <c r="T238" s="2" t="s">
        <v>22</v>
      </c>
      <c r="U238" s="2" t="s">
        <v>22</v>
      </c>
      <c r="V238" s="34">
        <v>147.41999999999999</v>
      </c>
      <c r="W238" s="34">
        <v>58.968000000000004</v>
      </c>
      <c r="X238" s="10">
        <v>194.02029999999999</v>
      </c>
      <c r="Y238" s="10">
        <f>Table1[[#This Row],[Raw Terrestrial Score]]/Table1[[#This Row],[Summed Raw Scores]]</f>
        <v>0.36716054686058536</v>
      </c>
      <c r="Z238" s="10">
        <v>334.41419999999999</v>
      </c>
      <c r="AA238" s="10">
        <f>Table1[[#This Row],[Raw Freshwater Score]]/Table1[[#This Row],[Summed Raw Scores]]</f>
        <v>0.6328394531394147</v>
      </c>
      <c r="AB238" s="10">
        <f>Table1[[#This Row],[Raw Terrestrial Score]]+Table1[[#This Row],[Raw Freshwater Score]]</f>
        <v>528.43449999999996</v>
      </c>
      <c r="AC238" s="11">
        <f>Table1[[#This Row],[Terrestrial % of Summed Score]]*Table1[[#This Row],[Scaled Summed Score]]</f>
        <v>2.384029704359639E-2</v>
      </c>
      <c r="AD238" s="11">
        <f>Table1[[#This Row],[Freshwater % of Summed Score]]*Table1[[#This Row],[Scaled Summed Score]]</f>
        <v>4.1091235626357928E-2</v>
      </c>
      <c r="AE238" s="18">
        <f>Table1[[#This Row],[Summed Raw Scores]]/MAX(Table1[Summed Raw Scores])</f>
        <v>6.4931532669954314E-2</v>
      </c>
    </row>
    <row r="239" spans="1:31" x14ac:dyDescent="0.3">
      <c r="A239" s="8" t="s">
        <v>288</v>
      </c>
      <c r="B239" s="8" t="s">
        <v>58</v>
      </c>
      <c r="C239" s="8" t="s">
        <v>56</v>
      </c>
      <c r="D239" s="8"/>
      <c r="E239" s="34">
        <v>50.463749759999999</v>
      </c>
      <c r="F239" s="34">
        <v>-120.0598056</v>
      </c>
      <c r="G239" s="34">
        <v>38.880000000000003</v>
      </c>
      <c r="H239" s="8" t="s">
        <v>22</v>
      </c>
      <c r="I239" s="8" t="s">
        <v>22</v>
      </c>
      <c r="J239" s="34">
        <v>68.928608819999994</v>
      </c>
      <c r="K239" s="34">
        <v>125.7170799</v>
      </c>
      <c r="L239" s="9" t="s">
        <v>22</v>
      </c>
      <c r="M239" s="34">
        <v>0.3</v>
      </c>
      <c r="N239" s="34">
        <v>18.399999999999999</v>
      </c>
      <c r="O239" s="9">
        <f>Table1[[#This Row],[R1 Length (km)]]+Table1[[#This Row],[T1 Length (km)]]</f>
        <v>18.7</v>
      </c>
      <c r="P239" s="38">
        <v>69</v>
      </c>
      <c r="Q239" s="9">
        <f>(Table1[[#This Row],[Linear Features (km)]]*0.4)*100</f>
        <v>748</v>
      </c>
      <c r="R239" s="34">
        <v>157.94999999999999</v>
      </c>
      <c r="S239" s="3">
        <f>Table1[[#This Row],[ATG (ha)]]/Table1[[#This Row],[Linear Area (ha)]]</f>
        <v>0.21116310160427806</v>
      </c>
      <c r="T239" s="2" t="s">
        <v>22</v>
      </c>
      <c r="U239" s="2" t="s">
        <v>22</v>
      </c>
      <c r="V239" s="34">
        <v>157.94999999999999</v>
      </c>
      <c r="W239" s="34">
        <v>63.18</v>
      </c>
      <c r="X239" s="10">
        <v>151.1508</v>
      </c>
      <c r="Y239" s="10">
        <f>Table1[[#This Row],[Raw Terrestrial Score]]/Table1[[#This Row],[Summed Raw Scores]]</f>
        <v>0.38154864258762067</v>
      </c>
      <c r="Z239" s="10">
        <v>245</v>
      </c>
      <c r="AA239" s="10">
        <f>Table1[[#This Row],[Raw Freshwater Score]]/Table1[[#This Row],[Summed Raw Scores]]</f>
        <v>0.61845135741237933</v>
      </c>
      <c r="AB239" s="10">
        <f>Table1[[#This Row],[Raw Terrestrial Score]]+Table1[[#This Row],[Raw Freshwater Score]]</f>
        <v>396.1508</v>
      </c>
      <c r="AC239" s="11">
        <f>Table1[[#This Row],[Terrestrial % of Summed Score]]*Table1[[#This Row],[Scaled Summed Score]]</f>
        <v>1.8572695591014085E-2</v>
      </c>
      <c r="AD239" s="11">
        <f>Table1[[#This Row],[Freshwater % of Summed Score]]*Table1[[#This Row],[Scaled Summed Score]]</f>
        <v>3.0104441523289657E-2</v>
      </c>
      <c r="AE239" s="18">
        <f>Table1[[#This Row],[Summed Raw Scores]]/MAX(Table1[Summed Raw Scores])</f>
        <v>4.8677137114303742E-2</v>
      </c>
    </row>
    <row r="240" spans="1:31" x14ac:dyDescent="0.3">
      <c r="A240" s="8" t="s">
        <v>398</v>
      </c>
      <c r="B240" s="8" t="s">
        <v>58</v>
      </c>
      <c r="C240" s="8" t="s">
        <v>87</v>
      </c>
      <c r="D240" s="8"/>
      <c r="E240" s="34">
        <v>50.525427020000002</v>
      </c>
      <c r="F240" s="34">
        <v>-119.2924826</v>
      </c>
      <c r="G240" s="34">
        <v>22.530461540000001</v>
      </c>
      <c r="H240" s="8" t="s">
        <v>22</v>
      </c>
      <c r="I240" s="8" t="s">
        <v>22</v>
      </c>
      <c r="J240" s="34">
        <v>36.923587259999998</v>
      </c>
      <c r="K240" s="34">
        <v>161.30847990000001</v>
      </c>
      <c r="L240" s="9" t="s">
        <v>22</v>
      </c>
      <c r="M240" s="34">
        <v>0.6</v>
      </c>
      <c r="N240" s="34">
        <v>19.399999999999999</v>
      </c>
      <c r="O240" s="9">
        <f>Table1[[#This Row],[R1 Length (km)]]+Table1[[#This Row],[T1 Length (km)]]</f>
        <v>20</v>
      </c>
      <c r="P240" s="38">
        <v>69</v>
      </c>
      <c r="Q240" s="9">
        <f>(Table1[[#This Row],[Linear Features (km)]]*0.4)*100</f>
        <v>800</v>
      </c>
      <c r="R240" s="34">
        <v>91.53</v>
      </c>
      <c r="S240" s="3">
        <f>Table1[[#This Row],[ATG (ha)]]/Table1[[#This Row],[Linear Area (ha)]]</f>
        <v>0.1144125</v>
      </c>
      <c r="T240" s="2" t="s">
        <v>22</v>
      </c>
      <c r="U240" s="2" t="s">
        <v>22</v>
      </c>
      <c r="V240" s="34">
        <v>91.53</v>
      </c>
      <c r="W240" s="34">
        <v>36.612000000000002</v>
      </c>
      <c r="X240" s="10">
        <v>61.966639999999998</v>
      </c>
      <c r="Y240" s="10">
        <f>Table1[[#This Row],[Raw Terrestrial Score]]/Table1[[#This Row],[Summed Raw Scores]]</f>
        <v>0.25440962967822767</v>
      </c>
      <c r="Z240" s="10">
        <v>181.6037</v>
      </c>
      <c r="AA240" s="10">
        <f>Table1[[#This Row],[Raw Freshwater Score]]/Table1[[#This Row],[Summed Raw Scores]]</f>
        <v>0.74559037032177244</v>
      </c>
      <c r="AB240" s="10">
        <f>Table1[[#This Row],[Raw Terrestrial Score]]+Table1[[#This Row],[Raw Freshwater Score]]</f>
        <v>243.57033999999999</v>
      </c>
      <c r="AC240" s="11">
        <f>Table1[[#This Row],[Terrestrial % of Summed Score]]*Table1[[#This Row],[Scaled Summed Score]]</f>
        <v>7.6141677154071101E-3</v>
      </c>
      <c r="AD240" s="11">
        <f>Table1[[#This Row],[Freshwater % of Summed Score]]*Table1[[#This Row],[Scaled Summed Score]]</f>
        <v>2.2314603947196077E-2</v>
      </c>
      <c r="AE240" s="18">
        <f>Table1[[#This Row],[Summed Raw Scores]]/MAX(Table1[Summed Raw Scores])</f>
        <v>2.9928771662603184E-2</v>
      </c>
    </row>
    <row r="241" spans="1:31" x14ac:dyDescent="0.3">
      <c r="A241" s="8" t="s">
        <v>310</v>
      </c>
      <c r="B241" s="8" t="s">
        <v>58</v>
      </c>
      <c r="C241" s="8" t="s">
        <v>87</v>
      </c>
      <c r="D241" s="8"/>
      <c r="E241" s="34">
        <v>50.56109129</v>
      </c>
      <c r="F241" s="34">
        <v>-119.0431987</v>
      </c>
      <c r="G241" s="34">
        <v>57.42276923</v>
      </c>
      <c r="H241" s="8" t="s">
        <v>22</v>
      </c>
      <c r="I241" s="8" t="s">
        <v>22</v>
      </c>
      <c r="J241" s="34">
        <v>93.220541979999993</v>
      </c>
      <c r="K241" s="34">
        <v>130.41452709999999</v>
      </c>
      <c r="L241" s="9" t="s">
        <v>22</v>
      </c>
      <c r="M241" s="34">
        <v>0.3</v>
      </c>
      <c r="N241" s="34">
        <v>7.6</v>
      </c>
      <c r="O241" s="9">
        <f>Table1[[#This Row],[R1 Length (km)]]+Table1[[#This Row],[T1 Length (km)]]</f>
        <v>7.8999999999999995</v>
      </c>
      <c r="P241" s="38">
        <v>130</v>
      </c>
      <c r="Q241" s="9">
        <f>(Table1[[#This Row],[Linear Features (km)]]*0.4)*100</f>
        <v>316</v>
      </c>
      <c r="R241" s="34">
        <v>233.28</v>
      </c>
      <c r="S241" s="3">
        <f>Table1[[#This Row],[ATG (ha)]]/Table1[[#This Row],[Linear Area (ha)]]</f>
        <v>0.73822784810126585</v>
      </c>
      <c r="T241" s="2" t="s">
        <v>22</v>
      </c>
      <c r="U241" s="2" t="s">
        <v>22</v>
      </c>
      <c r="V241" s="34">
        <v>233.28</v>
      </c>
      <c r="W241" s="34">
        <v>93.311999999999998</v>
      </c>
      <c r="X241" s="10">
        <v>45.793210000000002</v>
      </c>
      <c r="Y241" s="10">
        <f>Table1[[#This Row],[Raw Terrestrial Score]]/Table1[[#This Row],[Summed Raw Scores]]</f>
        <v>0.28838267077036861</v>
      </c>
      <c r="Z241" s="10">
        <v>113</v>
      </c>
      <c r="AA241" s="10">
        <f>Table1[[#This Row],[Raw Freshwater Score]]/Table1[[#This Row],[Summed Raw Scores]]</f>
        <v>0.7116173292296315</v>
      </c>
      <c r="AB241" s="10">
        <f>Table1[[#This Row],[Raw Terrestrial Score]]+Table1[[#This Row],[Raw Freshwater Score]]</f>
        <v>158.79320999999999</v>
      </c>
      <c r="AC241" s="11">
        <f>Table1[[#This Row],[Terrestrial % of Summed Score]]*Table1[[#This Row],[Scaled Summed Score]]</f>
        <v>5.6268531126886668E-3</v>
      </c>
      <c r="AD241" s="11">
        <f>Table1[[#This Row],[Freshwater % of Summed Score]]*Table1[[#This Row],[Scaled Summed Score]]</f>
        <v>1.3884905682170334E-2</v>
      </c>
      <c r="AE241" s="18">
        <f>Table1[[#This Row],[Summed Raw Scores]]/MAX(Table1[Summed Raw Scores])</f>
        <v>1.9511758794858999E-2</v>
      </c>
    </row>
    <row r="242" spans="1:31" x14ac:dyDescent="0.3">
      <c r="A242" s="8" t="s">
        <v>76</v>
      </c>
      <c r="B242" s="8" t="s">
        <v>58</v>
      </c>
      <c r="C242" s="8" t="s">
        <v>25</v>
      </c>
      <c r="D242" s="8" t="s">
        <v>250</v>
      </c>
      <c r="E242" s="31">
        <v>50.259122259999998</v>
      </c>
      <c r="F242" s="31">
        <v>-120.4079589</v>
      </c>
      <c r="G242" s="31">
        <v>120.82707692300001</v>
      </c>
      <c r="H242" s="9" t="s">
        <v>22</v>
      </c>
      <c r="I242" s="9" t="s">
        <v>22</v>
      </c>
      <c r="J242" s="31">
        <v>214.05467944246581</v>
      </c>
      <c r="K242" s="31">
        <v>94.085193713019265</v>
      </c>
      <c r="L242" s="9" t="s">
        <v>22</v>
      </c>
      <c r="M242" s="31">
        <v>1.4</v>
      </c>
      <c r="N242" s="31">
        <v>9.4</v>
      </c>
      <c r="O242" s="9">
        <f>Table1[[#This Row],[R1 Length (km)]]+Table1[[#This Row],[T1 Length (km)]]</f>
        <v>10.8</v>
      </c>
      <c r="P242" s="28">
        <v>130</v>
      </c>
      <c r="Q242" s="9">
        <f>(Table1[[#This Row],[Linear Features (km)]]*0.4)*100</f>
        <v>432</v>
      </c>
      <c r="R242" s="31">
        <v>212.22</v>
      </c>
      <c r="S242" s="18">
        <f>Table1[[#This Row],[ATG (ha)]]/Table1[[#This Row],[Linear Area (ha)]]</f>
        <v>0.49125000000000002</v>
      </c>
      <c r="T242" s="2" t="s">
        <v>22</v>
      </c>
      <c r="U242" s="2" t="s">
        <v>22</v>
      </c>
      <c r="V242" s="31">
        <v>212.22</v>
      </c>
      <c r="W242" s="31">
        <v>84.888000000000005</v>
      </c>
      <c r="X242" s="10">
        <v>354.77499999999998</v>
      </c>
      <c r="Y242" s="10">
        <f>Table1[[#This Row],[Raw Terrestrial Score]]/Table1[[#This Row],[Summed Raw Scores]]</f>
        <v>0.64436196223859998</v>
      </c>
      <c r="Z242" s="10">
        <v>195.80840000000001</v>
      </c>
      <c r="AA242" s="10">
        <f>Table1[[#This Row],[Raw Freshwater Score]]/Table1[[#This Row],[Summed Raw Scores]]</f>
        <v>0.35563803776140002</v>
      </c>
      <c r="AB242" s="10">
        <f>Table1[[#This Row],[Raw Terrestrial Score]]+Table1[[#This Row],[Raw Freshwater Score]]</f>
        <v>550.58339999999998</v>
      </c>
      <c r="AC242" s="11">
        <f>Table1[[#This Row],[Terrestrial % of Summed Score]]*Table1[[#This Row],[Scaled Summed Score]]</f>
        <v>4.359307445479628E-2</v>
      </c>
      <c r="AD242" s="11">
        <f>Table1[[#This Row],[Freshwater % of Summed Score]]*Table1[[#This Row],[Scaled Summed Score]]</f>
        <v>2.4060010316607802E-2</v>
      </c>
      <c r="AE242" s="18">
        <f>Table1[[#This Row],[Summed Raw Scores]]/MAX(Table1[Summed Raw Scores])</f>
        <v>6.7653084771404082E-2</v>
      </c>
    </row>
    <row r="243" spans="1:31" x14ac:dyDescent="0.3">
      <c r="A243" s="8" t="s">
        <v>77</v>
      </c>
      <c r="B243" s="8" t="s">
        <v>58</v>
      </c>
      <c r="C243" s="8" t="s">
        <v>25</v>
      </c>
      <c r="D243" s="8" t="s">
        <v>250</v>
      </c>
      <c r="E243" s="31">
        <v>50.271603509999998</v>
      </c>
      <c r="F243" s="31">
        <v>-120.3255542</v>
      </c>
      <c r="G243" s="31">
        <v>109.063384615</v>
      </c>
      <c r="H243" s="9" t="s">
        <v>22</v>
      </c>
      <c r="I243" s="9" t="s">
        <v>22</v>
      </c>
      <c r="J243" s="31">
        <v>193.898406513547</v>
      </c>
      <c r="K243" s="31">
        <v>94.756406942562222</v>
      </c>
      <c r="L243" s="9" t="s">
        <v>22</v>
      </c>
      <c r="M243" s="31">
        <v>0.6</v>
      </c>
      <c r="N243" s="31">
        <v>12.1</v>
      </c>
      <c r="O243" s="9">
        <f>Table1[[#This Row],[R1 Length (km)]]+Table1[[#This Row],[T1 Length (km)]]</f>
        <v>12.7</v>
      </c>
      <c r="P243" s="28">
        <v>130</v>
      </c>
      <c r="Q243" s="9">
        <f>(Table1[[#This Row],[Linear Features (km)]]*0.4)*100</f>
        <v>508</v>
      </c>
      <c r="R243" s="31">
        <v>220.32</v>
      </c>
      <c r="S243" s="18">
        <f>Table1[[#This Row],[ATG (ha)]]/Table1[[#This Row],[Linear Area (ha)]]</f>
        <v>0.43370078740157481</v>
      </c>
      <c r="T243" s="2" t="s">
        <v>22</v>
      </c>
      <c r="U243" s="2" t="s">
        <v>22</v>
      </c>
      <c r="V243" s="31">
        <v>220.32</v>
      </c>
      <c r="W243" s="31">
        <v>88.128</v>
      </c>
      <c r="X243" s="10">
        <v>320.58260000000001</v>
      </c>
      <c r="Y243" s="10">
        <f>Table1[[#This Row],[Raw Terrestrial Score]]/Table1[[#This Row],[Summed Raw Scores]]</f>
        <v>0.6041862238441108</v>
      </c>
      <c r="Z243" s="10">
        <v>210.0197</v>
      </c>
      <c r="AA243" s="10">
        <f>Table1[[#This Row],[Raw Freshwater Score]]/Table1[[#This Row],[Summed Raw Scores]]</f>
        <v>0.39581377615588925</v>
      </c>
      <c r="AB243" s="10">
        <f>Table1[[#This Row],[Raw Terrestrial Score]]+Table1[[#This Row],[Raw Freshwater Score]]</f>
        <v>530.60230000000001</v>
      </c>
      <c r="AC243" s="11">
        <f>Table1[[#This Row],[Terrestrial % of Summed Score]]*Table1[[#This Row],[Scaled Summed Score]]</f>
        <v>3.9391674020751673E-2</v>
      </c>
      <c r="AD243" s="11">
        <f>Table1[[#This Row],[Freshwater % of Summed Score]]*Table1[[#This Row],[Scaled Summed Score]]</f>
        <v>2.5806227662811581E-2</v>
      </c>
      <c r="AE243" s="18">
        <f>Table1[[#This Row],[Summed Raw Scores]]/MAX(Table1[Summed Raw Scores])</f>
        <v>6.519790168356325E-2</v>
      </c>
    </row>
    <row r="244" spans="1:31" x14ac:dyDescent="0.3">
      <c r="A244" s="8" t="s">
        <v>380</v>
      </c>
      <c r="B244" s="8" t="s">
        <v>58</v>
      </c>
      <c r="C244" s="8" t="s">
        <v>56</v>
      </c>
      <c r="D244" s="8"/>
      <c r="E244" s="34">
        <v>50.343959480000002</v>
      </c>
      <c r="F244" s="34">
        <v>-120.18214399999999</v>
      </c>
      <c r="G244" s="34">
        <v>24.524307690000001</v>
      </c>
      <c r="H244" s="8" t="s">
        <v>22</v>
      </c>
      <c r="I244" s="8" t="s">
        <v>22</v>
      </c>
      <c r="J244" s="34">
        <v>43.596539389999997</v>
      </c>
      <c r="K244" s="34">
        <v>153.91789869999999</v>
      </c>
      <c r="L244" s="9" t="s">
        <v>22</v>
      </c>
      <c r="M244" s="34">
        <v>0.3</v>
      </c>
      <c r="N244" s="34">
        <v>31.7</v>
      </c>
      <c r="O244" s="9">
        <f>Table1[[#This Row],[R1 Length (km)]]+Table1[[#This Row],[T1 Length (km)]]</f>
        <v>32</v>
      </c>
      <c r="P244" s="38">
        <v>69</v>
      </c>
      <c r="Q244" s="9">
        <f>(Table1[[#This Row],[Linear Features (km)]]*0.4)*100</f>
        <v>1280</v>
      </c>
      <c r="R244" s="34">
        <v>99.63</v>
      </c>
      <c r="S244" s="3">
        <f>Table1[[#This Row],[ATG (ha)]]/Table1[[#This Row],[Linear Area (ha)]]</f>
        <v>7.7835937499999994E-2</v>
      </c>
      <c r="T244" s="2" t="s">
        <v>22</v>
      </c>
      <c r="U244" s="2" t="s">
        <v>22</v>
      </c>
      <c r="V244" s="34">
        <v>99.63</v>
      </c>
      <c r="W244" s="34">
        <v>39.851999999999997</v>
      </c>
      <c r="X244" s="10">
        <v>244.25739999999999</v>
      </c>
      <c r="Y244" s="10">
        <f>Table1[[#This Row],[Raw Terrestrial Score]]/Table1[[#This Row],[Summed Raw Scores]]</f>
        <v>0.36064692709335355</v>
      </c>
      <c r="Z244" s="10">
        <v>433.01830000000001</v>
      </c>
      <c r="AA244" s="10">
        <f>Table1[[#This Row],[Raw Freshwater Score]]/Table1[[#This Row],[Summed Raw Scores]]</f>
        <v>0.63935307290664645</v>
      </c>
      <c r="AB244" s="10">
        <f>Table1[[#This Row],[Raw Terrestrial Score]]+Table1[[#This Row],[Raw Freshwater Score]]</f>
        <v>677.27570000000003</v>
      </c>
      <c r="AC244" s="11">
        <f>Table1[[#This Row],[Terrestrial % of Summed Score]]*Table1[[#This Row],[Scaled Summed Score]]</f>
        <v>3.0013194346656214E-2</v>
      </c>
      <c r="AD244" s="11">
        <f>Table1[[#This Row],[Freshwater % of Summed Score]]*Table1[[#This Row],[Scaled Summed Score]]</f>
        <v>5.3207241187201229E-2</v>
      </c>
      <c r="AE244" s="18">
        <f>Table1[[#This Row],[Summed Raw Scores]]/MAX(Table1[Summed Raw Scores])</f>
        <v>8.322043553385744E-2</v>
      </c>
    </row>
    <row r="245" spans="1:31" x14ac:dyDescent="0.3">
      <c r="A245" s="8" t="s">
        <v>78</v>
      </c>
      <c r="B245" s="8" t="s">
        <v>58</v>
      </c>
      <c r="C245" s="8" t="s">
        <v>25</v>
      </c>
      <c r="D245" s="8" t="s">
        <v>250</v>
      </c>
      <c r="E245" s="31">
        <v>50.19913579</v>
      </c>
      <c r="F245" s="31">
        <v>-120.46858469999999</v>
      </c>
      <c r="G245" s="31">
        <v>94.7076923077</v>
      </c>
      <c r="H245" s="9" t="s">
        <v>22</v>
      </c>
      <c r="I245" s="9" t="s">
        <v>22</v>
      </c>
      <c r="J245" s="31">
        <v>167.4049309600608</v>
      </c>
      <c r="K245" s="31">
        <v>95.403752700978643</v>
      </c>
      <c r="L245" s="9" t="s">
        <v>22</v>
      </c>
      <c r="M245" s="31">
        <v>0.3</v>
      </c>
      <c r="N245" s="31">
        <v>6.4</v>
      </c>
      <c r="O245" s="9">
        <f>Table1[[#This Row],[R1 Length (km)]]+Table1[[#This Row],[T1 Length (km)]]</f>
        <v>6.7</v>
      </c>
      <c r="P245" s="28">
        <v>130</v>
      </c>
      <c r="Q245" s="9">
        <f>(Table1[[#This Row],[Linear Features (km)]]*0.4)*100</f>
        <v>268</v>
      </c>
      <c r="R245" s="31">
        <v>332.1</v>
      </c>
      <c r="S245" s="18">
        <f>Table1[[#This Row],[ATG (ha)]]/Table1[[#This Row],[Linear Area (ha)]]</f>
        <v>1.2391791044776119</v>
      </c>
      <c r="T245" s="2" t="s">
        <v>22</v>
      </c>
      <c r="U245" s="2" t="s">
        <v>22</v>
      </c>
      <c r="V245" s="31">
        <v>332.1</v>
      </c>
      <c r="W245" s="31">
        <v>132.84</v>
      </c>
      <c r="X245" s="10">
        <v>332.33699999999999</v>
      </c>
      <c r="Y245" s="10">
        <f>Table1[[#This Row],[Raw Terrestrial Score]]/Table1[[#This Row],[Summed Raw Scores]]</f>
        <v>0.60223096021314748</v>
      </c>
      <c r="Z245" s="10">
        <v>219.5061</v>
      </c>
      <c r="AA245" s="10">
        <f>Table1[[#This Row],[Raw Freshwater Score]]/Table1[[#This Row],[Summed Raw Scores]]</f>
        <v>0.39776903978685241</v>
      </c>
      <c r="AB245" s="10">
        <f>Table1[[#This Row],[Raw Terrestrial Score]]+Table1[[#This Row],[Raw Freshwater Score]]</f>
        <v>551.84310000000005</v>
      </c>
      <c r="AC245" s="11">
        <f>Table1[[#This Row],[Terrestrial % of Summed Score]]*Table1[[#This Row],[Scaled Summed Score]]</f>
        <v>4.0835999112349045E-2</v>
      </c>
      <c r="AD245" s="11">
        <f>Table1[[#This Row],[Freshwater % of Summed Score]]*Table1[[#This Row],[Scaled Summed Score]]</f>
        <v>2.6971871638593357E-2</v>
      </c>
      <c r="AE245" s="18">
        <f>Table1[[#This Row],[Summed Raw Scores]]/MAX(Table1[Summed Raw Scores])</f>
        <v>6.7807870750942412E-2</v>
      </c>
    </row>
    <row r="246" spans="1:31" x14ac:dyDescent="0.3">
      <c r="A246" s="8" t="s">
        <v>79</v>
      </c>
      <c r="B246" s="8" t="s">
        <v>58</v>
      </c>
      <c r="C246" s="8" t="s">
        <v>25</v>
      </c>
      <c r="D246" s="8"/>
      <c r="E246" s="31">
        <v>50.139135750000001</v>
      </c>
      <c r="F246" s="31">
        <v>-120.52907759999999</v>
      </c>
      <c r="G246" s="31">
        <v>80.750769230800003</v>
      </c>
      <c r="H246" s="9" t="s">
        <v>22</v>
      </c>
      <c r="I246" s="9" t="s">
        <v>22</v>
      </c>
      <c r="J246" s="31">
        <v>143.20395404186112</v>
      </c>
      <c r="K246" s="31">
        <v>99.189509910556936</v>
      </c>
      <c r="L246" s="9" t="s">
        <v>22</v>
      </c>
      <c r="M246" s="31">
        <v>1.4</v>
      </c>
      <c r="N246" s="31">
        <v>11.8</v>
      </c>
      <c r="O246" s="9">
        <f>Table1[[#This Row],[R1 Length (km)]]+Table1[[#This Row],[T1 Length (km)]]</f>
        <v>13.200000000000001</v>
      </c>
      <c r="P246" s="28">
        <v>130</v>
      </c>
      <c r="Q246" s="9">
        <f>(Table1[[#This Row],[Linear Features (km)]]*0.4)*100</f>
        <v>528.00000000000011</v>
      </c>
      <c r="R246" s="31">
        <v>1087.83</v>
      </c>
      <c r="S246" s="18">
        <f>Table1[[#This Row],[ATG (ha)]]/Table1[[#This Row],[Linear Area (ha)]]</f>
        <v>2.0602840909090903</v>
      </c>
      <c r="T246" s="2" t="s">
        <v>22</v>
      </c>
      <c r="U246" s="2" t="s">
        <v>22</v>
      </c>
      <c r="V246" s="31">
        <v>1087.83</v>
      </c>
      <c r="W246" s="31">
        <v>435.13200000000001</v>
      </c>
      <c r="X246" s="10">
        <v>681.8134</v>
      </c>
      <c r="Y246" s="10">
        <f>Table1[[#This Row],[Raw Terrestrial Score]]/Table1[[#This Row],[Summed Raw Scores]]</f>
        <v>0.56249411158284457</v>
      </c>
      <c r="Z246" s="10">
        <v>530.31200000000001</v>
      </c>
      <c r="AA246" s="10">
        <f>Table1[[#This Row],[Raw Freshwater Score]]/Table1[[#This Row],[Summed Raw Scores]]</f>
        <v>0.43750588841715554</v>
      </c>
      <c r="AB246" s="10">
        <f>Table1[[#This Row],[Raw Terrestrial Score]]+Table1[[#This Row],[Raw Freshwater Score]]</f>
        <v>1212.1253999999999</v>
      </c>
      <c r="AC246" s="11">
        <f>Table1[[#This Row],[Terrestrial % of Summed Score]]*Table1[[#This Row],[Scaled Summed Score]]</f>
        <v>8.3778006653450213E-2</v>
      </c>
      <c r="AD246" s="11">
        <f>Table1[[#This Row],[Freshwater % of Summed Score]]*Table1[[#This Row],[Scaled Summed Score]]</f>
        <v>6.5162230992239945E-2</v>
      </c>
      <c r="AE246" s="18">
        <f>Table1[[#This Row],[Summed Raw Scores]]/MAX(Table1[Summed Raw Scores])</f>
        <v>0.14894023764569014</v>
      </c>
    </row>
    <row r="247" spans="1:31" x14ac:dyDescent="0.3">
      <c r="A247" s="8" t="s">
        <v>273</v>
      </c>
      <c r="B247" s="8" t="s">
        <v>58</v>
      </c>
      <c r="C247" s="8" t="s">
        <v>25</v>
      </c>
      <c r="D247" s="8"/>
      <c r="E247" s="34">
        <v>50.211645599999997</v>
      </c>
      <c r="F247" s="34">
        <v>-120.3862843</v>
      </c>
      <c r="G247" s="34">
        <v>18.742153850000001</v>
      </c>
      <c r="H247" s="8" t="s">
        <v>22</v>
      </c>
      <c r="I247" s="8" t="s">
        <v>22</v>
      </c>
      <c r="J247" s="34">
        <v>32.841897879999998</v>
      </c>
      <c r="K247" s="34">
        <v>122.6430184</v>
      </c>
      <c r="L247" s="9" t="s">
        <v>22</v>
      </c>
      <c r="M247" s="34">
        <v>2.8</v>
      </c>
      <c r="N247" s="34">
        <v>3.6</v>
      </c>
      <c r="O247" s="9">
        <f>Table1[[#This Row],[R1 Length (km)]]+Table1[[#This Row],[T1 Length (km)]]</f>
        <v>6.4</v>
      </c>
      <c r="P247" s="38">
        <v>25</v>
      </c>
      <c r="Q247" s="9">
        <f>(Table1[[#This Row],[Linear Features (km)]]*0.4)*100</f>
        <v>256.00000000000006</v>
      </c>
      <c r="R247" s="34">
        <v>76.14</v>
      </c>
      <c r="S247" s="3">
        <f>Table1[[#This Row],[ATG (ha)]]/Table1[[#This Row],[Linear Area (ha)]]</f>
        <v>0.29742187499999995</v>
      </c>
      <c r="T247" s="2" t="s">
        <v>22</v>
      </c>
      <c r="U247" s="2" t="s">
        <v>22</v>
      </c>
      <c r="V247" s="34">
        <v>76.14</v>
      </c>
      <c r="W247" s="34">
        <v>30.456</v>
      </c>
      <c r="X247" s="10">
        <v>157.16489999999999</v>
      </c>
      <c r="Y247" s="10">
        <f>Table1[[#This Row],[Raw Terrestrial Score]]/Table1[[#This Row],[Summed Raw Scores]]</f>
        <v>0.6282452094598403</v>
      </c>
      <c r="Z247" s="10">
        <v>93</v>
      </c>
      <c r="AA247" s="10">
        <f>Table1[[#This Row],[Raw Freshwater Score]]/Table1[[#This Row],[Summed Raw Scores]]</f>
        <v>0.37175479054015975</v>
      </c>
      <c r="AB247" s="10">
        <f>Table1[[#This Row],[Raw Terrestrial Score]]+Table1[[#This Row],[Raw Freshwater Score]]</f>
        <v>250.16489999999999</v>
      </c>
      <c r="AC247" s="11">
        <f>Table1[[#This Row],[Terrestrial % of Summed Score]]*Table1[[#This Row],[Scaled Summed Score]]</f>
        <v>1.9311679761484356E-2</v>
      </c>
      <c r="AD247" s="11">
        <f>Table1[[#This Row],[Freshwater % of Summed Score]]*Table1[[#This Row],[Scaled Summed Score]]</f>
        <v>1.1427400251697709E-2</v>
      </c>
      <c r="AE247" s="18">
        <f>Table1[[#This Row],[Summed Raw Scores]]/MAX(Table1[Summed Raw Scores])</f>
        <v>3.0739080013182062E-2</v>
      </c>
    </row>
    <row r="248" spans="1:31" x14ac:dyDescent="0.3">
      <c r="A248" s="8" t="s">
        <v>80</v>
      </c>
      <c r="B248" s="8" t="s">
        <v>58</v>
      </c>
      <c r="C248" s="8" t="s">
        <v>25</v>
      </c>
      <c r="D248" s="8"/>
      <c r="E248" s="31">
        <v>50.224114569999998</v>
      </c>
      <c r="F248" s="31">
        <v>-120.3039462</v>
      </c>
      <c r="G248" s="31">
        <v>54.631384615400002</v>
      </c>
      <c r="H248" s="9" t="s">
        <v>22</v>
      </c>
      <c r="I248" s="9" t="s">
        <v>22</v>
      </c>
      <c r="J248" s="31">
        <v>96.373479993960956</v>
      </c>
      <c r="K248" s="31">
        <v>104.50362561373343</v>
      </c>
      <c r="L248" s="9" t="s">
        <v>22</v>
      </c>
      <c r="M248" s="31">
        <v>0.3</v>
      </c>
      <c r="N248" s="31">
        <v>7.9</v>
      </c>
      <c r="O248" s="9">
        <f>Table1[[#This Row],[R1 Length (km)]]+Table1[[#This Row],[T1 Length (km)]]</f>
        <v>8.2000000000000011</v>
      </c>
      <c r="P248" s="28">
        <v>130</v>
      </c>
      <c r="Q248" s="9">
        <f>(Table1[[#This Row],[Linear Features (km)]]*0.4)*100</f>
        <v>328.00000000000006</v>
      </c>
      <c r="R248" s="31">
        <v>1395.63</v>
      </c>
      <c r="S248" s="18">
        <f>Table1[[#This Row],[ATG (ha)]]/Table1[[#This Row],[Linear Area (ha)]]</f>
        <v>4.2549695121951219</v>
      </c>
      <c r="T248" s="2" t="s">
        <v>22</v>
      </c>
      <c r="U248" s="2" t="s">
        <v>22</v>
      </c>
      <c r="V248" s="31">
        <v>1395.63</v>
      </c>
      <c r="W248" s="31">
        <v>558.25200000000007</v>
      </c>
      <c r="X248" s="10">
        <v>690.94669999999996</v>
      </c>
      <c r="Y248" s="10">
        <f>Table1[[#This Row],[Raw Terrestrial Score]]/Table1[[#This Row],[Summed Raw Scores]]</f>
        <v>0.61204270527445226</v>
      </c>
      <c r="Z248" s="10">
        <v>437.97239999999999</v>
      </c>
      <c r="AA248" s="10">
        <f>Table1[[#This Row],[Raw Freshwater Score]]/Table1[[#This Row],[Summed Raw Scores]]</f>
        <v>0.38795729472554763</v>
      </c>
      <c r="AB248" s="10">
        <f>Table1[[#This Row],[Raw Terrestrial Score]]+Table1[[#This Row],[Raw Freshwater Score]]</f>
        <v>1128.9191000000001</v>
      </c>
      <c r="AC248" s="11">
        <f>Table1[[#This Row],[Terrestrial % of Summed Score]]*Table1[[#This Row],[Scaled Summed Score]]</f>
        <v>8.4900263370856988E-2</v>
      </c>
      <c r="AD248" s="11">
        <f>Table1[[#This Row],[Freshwater % of Summed Score]]*Table1[[#This Row],[Scaled Summed Score]]</f>
        <v>5.3815977569856441E-2</v>
      </c>
      <c r="AE248" s="18">
        <f>Table1[[#This Row],[Summed Raw Scores]]/MAX(Table1[Summed Raw Scores])</f>
        <v>0.13871624094071344</v>
      </c>
    </row>
    <row r="249" spans="1:31" x14ac:dyDescent="0.3">
      <c r="A249" s="8" t="s">
        <v>377</v>
      </c>
      <c r="B249" s="8" t="s">
        <v>58</v>
      </c>
      <c r="C249" s="8" t="s">
        <v>87</v>
      </c>
      <c r="D249" s="8"/>
      <c r="E249" s="34">
        <v>50.310949569999998</v>
      </c>
      <c r="F249" s="34">
        <v>-119.3749413</v>
      </c>
      <c r="G249" s="34">
        <v>24.324923080000001</v>
      </c>
      <c r="H249" s="8" t="s">
        <v>22</v>
      </c>
      <c r="I249" s="8" t="s">
        <v>22</v>
      </c>
      <c r="J249" s="34">
        <v>40.523809929999999</v>
      </c>
      <c r="K249" s="34">
        <v>152.45944030000001</v>
      </c>
      <c r="L249" s="9" t="s">
        <v>22</v>
      </c>
      <c r="M249" s="34">
        <v>0</v>
      </c>
      <c r="N249" s="34">
        <v>13.3</v>
      </c>
      <c r="O249" s="9">
        <f>Table1[[#This Row],[R1 Length (km)]]+Table1[[#This Row],[T1 Length (km)]]</f>
        <v>13.3</v>
      </c>
      <c r="P249" s="38">
        <v>69</v>
      </c>
      <c r="Q249" s="9">
        <f>(Table1[[#This Row],[Linear Features (km)]]*0.4)*100</f>
        <v>532</v>
      </c>
      <c r="R249" s="34">
        <v>98.82</v>
      </c>
      <c r="S249" s="3">
        <f>Table1[[#This Row],[ATG (ha)]]/Table1[[#This Row],[Linear Area (ha)]]</f>
        <v>0.18575187969924811</v>
      </c>
      <c r="T249" s="2" t="s">
        <v>22</v>
      </c>
      <c r="U249" s="2" t="s">
        <v>22</v>
      </c>
      <c r="V249" s="34">
        <v>98.82</v>
      </c>
      <c r="W249" s="34">
        <v>39.527999999999999</v>
      </c>
      <c r="X249" s="10">
        <v>319.65839999999997</v>
      </c>
      <c r="Y249" s="10">
        <f>Table1[[#This Row],[Raw Terrestrial Score]]/Table1[[#This Row],[Summed Raw Scores]]</f>
        <v>0.76352359663022762</v>
      </c>
      <c r="Z249" s="10">
        <v>99.003709999999998</v>
      </c>
      <c r="AA249" s="10">
        <f>Table1[[#This Row],[Raw Freshwater Score]]/Table1[[#This Row],[Summed Raw Scores]]</f>
        <v>0.23647640336977235</v>
      </c>
      <c r="AB249" s="10">
        <f>Table1[[#This Row],[Raw Terrestrial Score]]+Table1[[#This Row],[Raw Freshwater Score]]</f>
        <v>418.66210999999998</v>
      </c>
      <c r="AC249" s="11">
        <f>Table1[[#This Row],[Terrestrial % of Summed Score]]*Table1[[#This Row],[Scaled Summed Score]]</f>
        <v>3.9278112694809526E-2</v>
      </c>
      <c r="AD249" s="11">
        <f>Table1[[#This Row],[Freshwater % of Summed Score]]*Table1[[#This Row],[Scaled Summed Score]]</f>
        <v>1.2165107748096848E-2</v>
      </c>
      <c r="AE249" s="18">
        <f>Table1[[#This Row],[Summed Raw Scores]]/MAX(Table1[Summed Raw Scores])</f>
        <v>5.1443220442906376E-2</v>
      </c>
    </row>
    <row r="250" spans="1:31" x14ac:dyDescent="0.3">
      <c r="A250" s="8" t="s">
        <v>382</v>
      </c>
      <c r="B250" s="8" t="s">
        <v>58</v>
      </c>
      <c r="C250" s="8" t="s">
        <v>87</v>
      </c>
      <c r="D250" s="8"/>
      <c r="E250" s="34">
        <v>50.382118050000003</v>
      </c>
      <c r="F250" s="34">
        <v>-118.8781165</v>
      </c>
      <c r="G250" s="34">
        <v>12.56123077</v>
      </c>
      <c r="H250" s="8" t="s">
        <v>22</v>
      </c>
      <c r="I250" s="8" t="s">
        <v>22</v>
      </c>
      <c r="J250" s="34">
        <v>20.334816409999998</v>
      </c>
      <c r="K250" s="34">
        <v>155.25047180000001</v>
      </c>
      <c r="L250" s="9" t="s">
        <v>22</v>
      </c>
      <c r="M250" s="34">
        <v>0.3</v>
      </c>
      <c r="N250" s="34">
        <v>21.8</v>
      </c>
      <c r="O250" s="9">
        <f>Table1[[#This Row],[R1 Length (km)]]+Table1[[#This Row],[T1 Length (km)]]</f>
        <v>22.1</v>
      </c>
      <c r="P250" s="38">
        <v>25</v>
      </c>
      <c r="Q250" s="9">
        <f>(Table1[[#This Row],[Linear Features (km)]]*0.4)*100</f>
        <v>884.00000000000011</v>
      </c>
      <c r="R250" s="34">
        <v>51.03</v>
      </c>
      <c r="S250" s="3">
        <f>Table1[[#This Row],[ATG (ha)]]/Table1[[#This Row],[Linear Area (ha)]]</f>
        <v>5.7726244343891397E-2</v>
      </c>
      <c r="T250" s="2" t="s">
        <v>22</v>
      </c>
      <c r="U250" s="2" t="s">
        <v>22</v>
      </c>
      <c r="V250" s="34">
        <v>51.03</v>
      </c>
      <c r="W250" s="34">
        <v>20.411999999999999</v>
      </c>
      <c r="X250" s="10">
        <v>206.8192</v>
      </c>
      <c r="Y250" s="10">
        <f>Table1[[#This Row],[Raw Terrestrial Score]]/Table1[[#This Row],[Summed Raw Scores]]</f>
        <v>0.29343582013656833</v>
      </c>
      <c r="Z250" s="10">
        <v>498</v>
      </c>
      <c r="AA250" s="10">
        <f>Table1[[#This Row],[Raw Freshwater Score]]/Table1[[#This Row],[Summed Raw Scores]]</f>
        <v>0.70656417986343167</v>
      </c>
      <c r="AB250" s="10">
        <f>Table1[[#This Row],[Raw Terrestrial Score]]+Table1[[#This Row],[Raw Freshwater Score]]</f>
        <v>704.81920000000002</v>
      </c>
      <c r="AC250" s="11">
        <f>Table1[[#This Row],[Terrestrial % of Summed Score]]*Table1[[#This Row],[Scaled Summed Score]]</f>
        <v>2.5412965356300197E-2</v>
      </c>
      <c r="AD250" s="11">
        <f>Table1[[#This Row],[Freshwater % of Summed Score]]*Table1[[#This Row],[Scaled Summed Score]]</f>
        <v>6.1191885218768373E-2</v>
      </c>
      <c r="AE250" s="18">
        <f>Table1[[#This Row],[Summed Raw Scores]]/MAX(Table1[Summed Raw Scores])</f>
        <v>8.6604850575068573E-2</v>
      </c>
    </row>
    <row r="251" spans="1:31" x14ac:dyDescent="0.3">
      <c r="A251" s="8" t="s">
        <v>391</v>
      </c>
      <c r="B251" s="8" t="s">
        <v>58</v>
      </c>
      <c r="C251" s="8" t="s">
        <v>21</v>
      </c>
      <c r="D251" s="8"/>
      <c r="E251" s="34">
        <v>49.340927229999998</v>
      </c>
      <c r="F251" s="34">
        <v>-124.96400010000001</v>
      </c>
      <c r="G251" s="34">
        <v>22.530461540000001</v>
      </c>
      <c r="H251" s="8" t="s">
        <v>22</v>
      </c>
      <c r="I251" s="8" t="s">
        <v>22</v>
      </c>
      <c r="J251" s="34">
        <v>34.200908179999999</v>
      </c>
      <c r="K251" s="34">
        <v>158.91281029999999</v>
      </c>
      <c r="L251" s="9" t="s">
        <v>22</v>
      </c>
      <c r="M251" s="34">
        <v>1.7</v>
      </c>
      <c r="N251" s="34">
        <v>2.8</v>
      </c>
      <c r="O251" s="9">
        <f>Table1[[#This Row],[R1 Length (km)]]+Table1[[#This Row],[T1 Length (km)]]</f>
        <v>4.5</v>
      </c>
      <c r="P251" s="38">
        <v>69</v>
      </c>
      <c r="Q251" s="9">
        <f>(Table1[[#This Row],[Linear Features (km)]]*0.4)*100</f>
        <v>180</v>
      </c>
      <c r="R251" s="34">
        <v>91.53</v>
      </c>
      <c r="S251" s="3">
        <f>Table1[[#This Row],[ATG (ha)]]/Table1[[#This Row],[Linear Area (ha)]]</f>
        <v>0.50849999999999995</v>
      </c>
      <c r="T251" s="2" t="s">
        <v>22</v>
      </c>
      <c r="U251" s="2" t="s">
        <v>22</v>
      </c>
      <c r="V251" s="34">
        <v>91.53</v>
      </c>
      <c r="W251" s="34">
        <v>36.612000000000002</v>
      </c>
      <c r="X251" s="10">
        <v>96.41301</v>
      </c>
      <c r="Y251" s="10">
        <f>Table1[[#This Row],[Raw Terrestrial Score]]/Table1[[#This Row],[Summed Raw Scores]]</f>
        <v>0.456041044966911</v>
      </c>
      <c r="Z251" s="10">
        <v>115</v>
      </c>
      <c r="AA251" s="10">
        <f>Table1[[#This Row],[Raw Freshwater Score]]/Table1[[#This Row],[Summed Raw Scores]]</f>
        <v>0.54395895503308911</v>
      </c>
      <c r="AB251" s="10">
        <f>Table1[[#This Row],[Raw Terrestrial Score]]+Table1[[#This Row],[Raw Freshwater Score]]</f>
        <v>211.41300999999999</v>
      </c>
      <c r="AC251" s="11">
        <f>Table1[[#This Row],[Terrestrial % of Summed Score]]*Table1[[#This Row],[Scaled Summed Score]]</f>
        <v>1.1846774782160577E-2</v>
      </c>
      <c r="AD251" s="11">
        <f>Table1[[#This Row],[Freshwater % of Summed Score]]*Table1[[#This Row],[Scaled Summed Score]]</f>
        <v>1.4130656225217596E-2</v>
      </c>
      <c r="AE251" s="18">
        <f>Table1[[#This Row],[Summed Raw Scores]]/MAX(Table1[Summed Raw Scores])</f>
        <v>2.597743100737817E-2</v>
      </c>
    </row>
    <row r="252" spans="1:31" x14ac:dyDescent="0.3">
      <c r="A252" s="8" t="s">
        <v>367</v>
      </c>
      <c r="B252" s="8" t="s">
        <v>58</v>
      </c>
      <c r="C252" s="8" t="s">
        <v>21</v>
      </c>
      <c r="D252" s="8"/>
      <c r="E252" s="34">
        <v>49.294201639999997</v>
      </c>
      <c r="F252" s="34">
        <v>-124.938819</v>
      </c>
      <c r="G252" s="34">
        <v>13.757538459999999</v>
      </c>
      <c r="H252" s="8" t="s">
        <v>22</v>
      </c>
      <c r="I252" s="8" t="s">
        <v>22</v>
      </c>
      <c r="J252" s="34">
        <v>21.000400800000001</v>
      </c>
      <c r="K252" s="34">
        <v>146.74781540000001</v>
      </c>
      <c r="L252" s="9" t="s">
        <v>22</v>
      </c>
      <c r="M252" s="34">
        <v>0</v>
      </c>
      <c r="N252" s="34">
        <v>3.1</v>
      </c>
      <c r="O252" s="9">
        <f>Table1[[#This Row],[R1 Length (km)]]+Table1[[#This Row],[T1 Length (km)]]</f>
        <v>3.1</v>
      </c>
      <c r="P252" s="38">
        <v>25</v>
      </c>
      <c r="Q252" s="9">
        <f>(Table1[[#This Row],[Linear Features (km)]]*0.4)*100</f>
        <v>124.00000000000003</v>
      </c>
      <c r="R252" s="34">
        <v>55.89</v>
      </c>
      <c r="S252" s="3">
        <f>Table1[[#This Row],[ATG (ha)]]/Table1[[#This Row],[Linear Area (ha)]]</f>
        <v>0.45072580645161281</v>
      </c>
      <c r="T252" s="2" t="s">
        <v>22</v>
      </c>
      <c r="U252" s="2" t="s">
        <v>22</v>
      </c>
      <c r="V252" s="34">
        <v>55.89</v>
      </c>
      <c r="W252" s="34">
        <v>22.356000000000002</v>
      </c>
      <c r="X252" s="10">
        <v>31.617660000000001</v>
      </c>
      <c r="Y252" s="10">
        <f>Table1[[#This Row],[Raw Terrestrial Score]]/Table1[[#This Row],[Summed Raw Scores]]</f>
        <v>0.2643226760998334</v>
      </c>
      <c r="Z252" s="10">
        <v>88</v>
      </c>
      <c r="AA252" s="10">
        <f>Table1[[#This Row],[Raw Freshwater Score]]/Table1[[#This Row],[Summed Raw Scores]]</f>
        <v>0.7356773239001666</v>
      </c>
      <c r="AB252" s="10">
        <f>Table1[[#This Row],[Raw Terrestrial Score]]+Table1[[#This Row],[Raw Freshwater Score]]</f>
        <v>119.61766</v>
      </c>
      <c r="AC252" s="11">
        <f>Table1[[#This Row],[Terrestrial % of Summed Score]]*Table1[[#This Row],[Scaled Summed Score]]</f>
        <v>3.8850285574418548E-3</v>
      </c>
      <c r="AD252" s="11">
        <f>Table1[[#This Row],[Freshwater % of Summed Score]]*Table1[[#This Row],[Scaled Summed Score]]</f>
        <v>1.0813023894079551E-2</v>
      </c>
      <c r="AE252" s="18">
        <f>Table1[[#This Row],[Summed Raw Scores]]/MAX(Table1[Summed Raw Scores])</f>
        <v>1.4698052451521407E-2</v>
      </c>
    </row>
    <row r="253" spans="1:31" x14ac:dyDescent="0.3">
      <c r="A253" s="8" t="s">
        <v>325</v>
      </c>
      <c r="B253" s="8" t="s">
        <v>58</v>
      </c>
      <c r="C253" s="8" t="s">
        <v>25</v>
      </c>
      <c r="D253" s="8"/>
      <c r="E253" s="34">
        <v>50.015678680000001</v>
      </c>
      <c r="F253" s="34">
        <v>-120.9993331</v>
      </c>
      <c r="G253" s="34">
        <v>29.508923079999999</v>
      </c>
      <c r="H253" s="8" t="s">
        <v>22</v>
      </c>
      <c r="I253" s="8" t="s">
        <v>22</v>
      </c>
      <c r="J253" s="24">
        <v>53.844024699999999</v>
      </c>
      <c r="K253" s="24">
        <v>132.96401069999999</v>
      </c>
      <c r="L253" s="9" t="s">
        <v>22</v>
      </c>
      <c r="M253" s="34">
        <v>0</v>
      </c>
      <c r="N253" s="34">
        <v>20.6</v>
      </c>
      <c r="O253" s="9">
        <f>Table1[[#This Row],[R1 Length (km)]]+Table1[[#This Row],[T1 Length (km)]]</f>
        <v>20.6</v>
      </c>
      <c r="P253" s="38">
        <v>69</v>
      </c>
      <c r="Q253" s="9">
        <f>(Table1[[#This Row],[Linear Features (km)]]*0.4)*100</f>
        <v>824</v>
      </c>
      <c r="R253" s="34">
        <v>119.88</v>
      </c>
      <c r="S253" s="3">
        <f>Table1[[#This Row],[ATG (ha)]]/Table1[[#This Row],[Linear Area (ha)]]</f>
        <v>0.14548543689320387</v>
      </c>
      <c r="T253" s="2" t="s">
        <v>22</v>
      </c>
      <c r="U253" s="2" t="s">
        <v>22</v>
      </c>
      <c r="V253" s="34">
        <v>119.88</v>
      </c>
      <c r="W253" s="34">
        <v>47.951999999999998</v>
      </c>
      <c r="X253" s="10">
        <v>361.55009999999999</v>
      </c>
      <c r="Y253" s="10">
        <f>Table1[[#This Row],[Raw Terrestrial Score]]/Table1[[#This Row],[Summed Raw Scores]]</f>
        <v>0.45275819262936667</v>
      </c>
      <c r="Z253" s="10">
        <v>437</v>
      </c>
      <c r="AA253" s="10">
        <f>Table1[[#This Row],[Raw Freshwater Score]]/Table1[[#This Row],[Summed Raw Scores]]</f>
        <v>0.54724180737063344</v>
      </c>
      <c r="AB253" s="10">
        <f>Table1[[#This Row],[Raw Terrestrial Score]]+Table1[[#This Row],[Raw Freshwater Score]]</f>
        <v>798.55009999999993</v>
      </c>
      <c r="AC253" s="11">
        <f>Table1[[#This Row],[Terrestrial % of Summed Score]]*Table1[[#This Row],[Scaled Summed Score]]</f>
        <v>4.4425566706896034E-2</v>
      </c>
      <c r="AD253" s="11">
        <f>Table1[[#This Row],[Freshwater % of Summed Score]]*Table1[[#This Row],[Scaled Summed Score]]</f>
        <v>5.369649365582687E-2</v>
      </c>
      <c r="AE253" s="18">
        <f>Table1[[#This Row],[Summed Raw Scores]]/MAX(Table1[Summed Raw Scores])</f>
        <v>9.812206036272289E-2</v>
      </c>
    </row>
    <row r="254" spans="1:31" x14ac:dyDescent="0.3">
      <c r="A254" s="8" t="s">
        <v>287</v>
      </c>
      <c r="B254" s="8" t="s">
        <v>58</v>
      </c>
      <c r="C254" s="8" t="s">
        <v>25</v>
      </c>
      <c r="D254" s="8"/>
      <c r="E254" s="34">
        <v>50.028448560000001</v>
      </c>
      <c r="F254" s="34">
        <v>-120.9174301</v>
      </c>
      <c r="G254" s="34">
        <v>36.686769230000003</v>
      </c>
      <c r="H254" s="8" t="s">
        <v>22</v>
      </c>
      <c r="I254" s="8" t="s">
        <v>22</v>
      </c>
      <c r="J254" s="24">
        <v>65.428473449999998</v>
      </c>
      <c r="K254" s="24">
        <v>125.39183389999999</v>
      </c>
      <c r="L254" s="9" t="s">
        <v>22</v>
      </c>
      <c r="M254" s="34">
        <v>1.1000000000000001</v>
      </c>
      <c r="N254" s="34">
        <v>14.8</v>
      </c>
      <c r="O254" s="9">
        <f>Table1[[#This Row],[R1 Length (km)]]+Table1[[#This Row],[T1 Length (km)]]</f>
        <v>15.9</v>
      </c>
      <c r="P254" s="38">
        <v>69</v>
      </c>
      <c r="Q254" s="9">
        <f>(Table1[[#This Row],[Linear Features (km)]]*0.4)*100</f>
        <v>636</v>
      </c>
      <c r="R254" s="34">
        <v>149.04</v>
      </c>
      <c r="S254" s="3">
        <f>Table1[[#This Row],[ATG (ha)]]/Table1[[#This Row],[Linear Area (ha)]]</f>
        <v>0.23433962264150943</v>
      </c>
      <c r="T254" s="2" t="s">
        <v>22</v>
      </c>
      <c r="U254" s="2" t="s">
        <v>22</v>
      </c>
      <c r="V254" s="34">
        <v>149.04</v>
      </c>
      <c r="W254" s="34">
        <v>59.616</v>
      </c>
      <c r="X254" s="10">
        <v>264.79000000000002</v>
      </c>
      <c r="Y254" s="10">
        <f>Table1[[#This Row],[Raw Terrestrial Score]]/Table1[[#This Row],[Summed Raw Scores]]</f>
        <v>0.43927404236964784</v>
      </c>
      <c r="Z254" s="10">
        <v>338</v>
      </c>
      <c r="AA254" s="10">
        <f>Table1[[#This Row],[Raw Freshwater Score]]/Table1[[#This Row],[Summed Raw Scores]]</f>
        <v>0.56072595763035227</v>
      </c>
      <c r="AB254" s="10">
        <f>Table1[[#This Row],[Raw Terrestrial Score]]+Table1[[#This Row],[Raw Freshwater Score]]</f>
        <v>602.79</v>
      </c>
      <c r="AC254" s="11">
        <f>Table1[[#This Row],[Terrestrial % of Summed Score]]*Table1[[#This Row],[Scaled Summed Score]]</f>
        <v>3.2536143146742323E-2</v>
      </c>
      <c r="AD254" s="11">
        <f>Table1[[#This Row],[Freshwater % of Summed Score]]*Table1[[#This Row],[Scaled Summed Score]]</f>
        <v>4.1531841774987366E-2</v>
      </c>
      <c r="AE254" s="18">
        <f>Table1[[#This Row],[Summed Raw Scores]]/MAX(Table1[Summed Raw Scores])</f>
        <v>7.4067984921729682E-2</v>
      </c>
    </row>
    <row r="255" spans="1:31" x14ac:dyDescent="0.3">
      <c r="A255" s="8" t="s">
        <v>81</v>
      </c>
      <c r="B255" s="8" t="s">
        <v>58</v>
      </c>
      <c r="C255" s="8" t="s">
        <v>25</v>
      </c>
      <c r="D255" s="8"/>
      <c r="E255" s="31">
        <v>49.968308450000002</v>
      </c>
      <c r="F255" s="31">
        <v>-120.9772438</v>
      </c>
      <c r="G255" s="31">
        <v>54.232615384600003</v>
      </c>
      <c r="H255" s="9" t="s">
        <v>22</v>
      </c>
      <c r="I255" s="9" t="s">
        <v>22</v>
      </c>
      <c r="J255" s="33">
        <v>98.156171299313655</v>
      </c>
      <c r="K255" s="33">
        <v>101.42689224013247</v>
      </c>
      <c r="L255" s="9" t="s">
        <v>22</v>
      </c>
      <c r="M255" s="31">
        <v>1.6</v>
      </c>
      <c r="N255" s="31">
        <v>23.6</v>
      </c>
      <c r="O255" s="9">
        <f>Table1[[#This Row],[R1 Length (km)]]+Table1[[#This Row],[T1 Length (km)]]</f>
        <v>25.200000000000003</v>
      </c>
      <c r="P255" s="28">
        <v>69</v>
      </c>
      <c r="Q255" s="9">
        <f>(Table1[[#This Row],[Linear Features (km)]]*0.4)*100</f>
        <v>1008.0000000000002</v>
      </c>
      <c r="R255" s="31">
        <v>374.21999999999997</v>
      </c>
      <c r="S255" s="18">
        <f>Table1[[#This Row],[ATG (ha)]]/Table1[[#This Row],[Linear Area (ha)]]</f>
        <v>0.37124999999999991</v>
      </c>
      <c r="T255" s="2" t="s">
        <v>22</v>
      </c>
      <c r="U255" s="2" t="s">
        <v>22</v>
      </c>
      <c r="V255" s="31">
        <v>374.21999999999997</v>
      </c>
      <c r="W255" s="31">
        <v>149.68799999999999</v>
      </c>
      <c r="X255" s="10">
        <v>438.26010000000002</v>
      </c>
      <c r="Y255" s="10">
        <f>Table1[[#This Row],[Raw Terrestrial Score]]/Table1[[#This Row],[Summed Raw Scores]]</f>
        <v>0.38843888922421349</v>
      </c>
      <c r="Z255" s="10">
        <v>690</v>
      </c>
      <c r="AA255" s="10">
        <f>Table1[[#This Row],[Raw Freshwater Score]]/Table1[[#This Row],[Summed Raw Scores]]</f>
        <v>0.61156111077578656</v>
      </c>
      <c r="AB255" s="10">
        <f>Table1[[#This Row],[Raw Terrestrial Score]]+Table1[[#This Row],[Raw Freshwater Score]]</f>
        <v>1128.2601</v>
      </c>
      <c r="AC255" s="11">
        <f>Table1[[#This Row],[Terrestrial % of Summed Score]]*Table1[[#This Row],[Scaled Summed Score]]</f>
        <v>5.3851328785473801E-2</v>
      </c>
      <c r="AD255" s="11">
        <f>Table1[[#This Row],[Freshwater % of Summed Score]]*Table1[[#This Row],[Scaled Summed Score]]</f>
        <v>8.4783937351305586E-2</v>
      </c>
      <c r="AE255" s="18">
        <f>Table1[[#This Row],[Summed Raw Scores]]/MAX(Table1[Summed Raw Scores])</f>
        <v>0.13863526613677937</v>
      </c>
    </row>
    <row r="256" spans="1:31" x14ac:dyDescent="0.3">
      <c r="A256" s="8" t="s">
        <v>294</v>
      </c>
      <c r="B256" s="8" t="s">
        <v>58</v>
      </c>
      <c r="C256" s="8" t="s">
        <v>25</v>
      </c>
      <c r="D256" s="8"/>
      <c r="E256" s="29">
        <v>49.981065890000004</v>
      </c>
      <c r="F256" s="29">
        <v>-120.8954063</v>
      </c>
      <c r="G256" s="29">
        <v>37.085538460000002</v>
      </c>
      <c r="H256" s="8" t="s">
        <v>22</v>
      </c>
      <c r="I256" s="8" t="s">
        <v>22</v>
      </c>
      <c r="J256" s="34">
        <v>66.144052349999995</v>
      </c>
      <c r="K256" s="34">
        <v>126.900064</v>
      </c>
      <c r="L256" s="9" t="s">
        <v>22</v>
      </c>
      <c r="M256" s="29">
        <v>0.4</v>
      </c>
      <c r="N256" s="29">
        <v>19.3</v>
      </c>
      <c r="O256" s="9">
        <f>Table1[[#This Row],[R1 Length (km)]]+Table1[[#This Row],[T1 Length (km)]]</f>
        <v>19.7</v>
      </c>
      <c r="P256" s="30">
        <v>69</v>
      </c>
      <c r="Q256" s="9">
        <f>(Table1[[#This Row],[Linear Features (km)]]*0.4)*100</f>
        <v>788</v>
      </c>
      <c r="R256" s="29">
        <v>150.66</v>
      </c>
      <c r="S256" s="3">
        <f>Table1[[#This Row],[ATG (ha)]]/Table1[[#This Row],[Linear Area (ha)]]</f>
        <v>0.19119289340101522</v>
      </c>
      <c r="T256" s="2" t="s">
        <v>22</v>
      </c>
      <c r="U256" s="2" t="s">
        <v>22</v>
      </c>
      <c r="V256" s="29">
        <v>150.66</v>
      </c>
      <c r="W256" s="29">
        <v>60.264000000000003</v>
      </c>
      <c r="X256" s="10">
        <v>638.99339999999995</v>
      </c>
      <c r="Y256" s="10">
        <f>Table1[[#This Row],[Raw Terrestrial Score]]/Table1[[#This Row],[Summed Raw Scores]]</f>
        <v>0.41252170603180105</v>
      </c>
      <c r="Z256" s="10">
        <v>910</v>
      </c>
      <c r="AA256" s="10">
        <f>Table1[[#This Row],[Raw Freshwater Score]]/Table1[[#This Row],[Summed Raw Scores]]</f>
        <v>0.58747829396819906</v>
      </c>
      <c r="AB256" s="10">
        <f>Table1[[#This Row],[Raw Terrestrial Score]]+Table1[[#This Row],[Raw Freshwater Score]]</f>
        <v>1548.9933999999998</v>
      </c>
      <c r="AC256" s="11">
        <f>Table1[[#This Row],[Terrestrial % of Summed Score]]*Table1[[#This Row],[Scaled Summed Score]]</f>
        <v>7.8516487526808315E-2</v>
      </c>
      <c r="AD256" s="11">
        <f>Table1[[#This Row],[Freshwater % of Summed Score]]*Table1[[#This Row],[Scaled Summed Score]]</f>
        <v>0.11181649708650446</v>
      </c>
      <c r="AE256" s="18">
        <f>Table1[[#This Row],[Summed Raw Scores]]/MAX(Table1[Summed Raw Scores])</f>
        <v>0.19033298461331274</v>
      </c>
    </row>
    <row r="257" spans="1:31" x14ac:dyDescent="0.3">
      <c r="A257" s="8" t="s">
        <v>289</v>
      </c>
      <c r="B257" s="8" t="s">
        <v>58</v>
      </c>
      <c r="C257" s="8" t="s">
        <v>25</v>
      </c>
      <c r="D257" s="8"/>
      <c r="E257" s="34">
        <v>50.041177879999999</v>
      </c>
      <c r="F257" s="34">
        <v>-120.835489</v>
      </c>
      <c r="G257" s="34">
        <v>31.103999999999999</v>
      </c>
      <c r="H257" s="8" t="s">
        <v>22</v>
      </c>
      <c r="I257" s="8" t="s">
        <v>22</v>
      </c>
      <c r="J257" s="34">
        <v>56.131852899999998</v>
      </c>
      <c r="K257" s="34">
        <v>126.13844570000001</v>
      </c>
      <c r="L257" s="9" t="s">
        <v>22</v>
      </c>
      <c r="M257" s="34">
        <v>0.3</v>
      </c>
      <c r="N257" s="34">
        <v>10.6</v>
      </c>
      <c r="O257" s="9">
        <f>Table1[[#This Row],[R1 Length (km)]]+Table1[[#This Row],[T1 Length (km)]]</f>
        <v>10.9</v>
      </c>
      <c r="P257" s="38">
        <v>69</v>
      </c>
      <c r="Q257" s="9">
        <f>(Table1[[#This Row],[Linear Features (km)]]*0.4)*100</f>
        <v>436.00000000000006</v>
      </c>
      <c r="R257" s="34">
        <v>126.36</v>
      </c>
      <c r="S257" s="3">
        <f>Table1[[#This Row],[ATG (ha)]]/Table1[[#This Row],[Linear Area (ha)]]</f>
        <v>0.28981651376146783</v>
      </c>
      <c r="T257" s="2" t="s">
        <v>22</v>
      </c>
      <c r="U257" s="2" t="s">
        <v>22</v>
      </c>
      <c r="V257" s="34">
        <v>126.36</v>
      </c>
      <c r="W257" s="34">
        <v>50.543999999999997</v>
      </c>
      <c r="X257" s="10">
        <v>308.03269999999998</v>
      </c>
      <c r="Y257" s="10">
        <f>Table1[[#This Row],[Raw Terrestrial Score]]/Table1[[#This Row],[Summed Raw Scores]]</f>
        <v>0.49760327685435679</v>
      </c>
      <c r="Z257" s="10">
        <v>311</v>
      </c>
      <c r="AA257" s="10">
        <f>Table1[[#This Row],[Raw Freshwater Score]]/Table1[[#This Row],[Summed Raw Scores]]</f>
        <v>0.50239672314564321</v>
      </c>
      <c r="AB257" s="10">
        <f>Table1[[#This Row],[Raw Terrestrial Score]]+Table1[[#This Row],[Raw Freshwater Score]]</f>
        <v>619.03269999999998</v>
      </c>
      <c r="AC257" s="11">
        <f>Table1[[#This Row],[Terrestrial % of Summed Score]]*Table1[[#This Row],[Scaled Summed Score]]</f>
        <v>3.7849601650657254E-2</v>
      </c>
      <c r="AD257" s="11">
        <f>Table1[[#This Row],[Freshwater % of Summed Score]]*Table1[[#This Row],[Scaled Summed Score]]</f>
        <v>3.8214209443849324E-2</v>
      </c>
      <c r="AE257" s="18">
        <f>Table1[[#This Row],[Summed Raw Scores]]/MAX(Table1[Summed Raw Scores])</f>
        <v>7.6063811094506578E-2</v>
      </c>
    </row>
    <row r="258" spans="1:31" x14ac:dyDescent="0.3">
      <c r="A258" s="8" t="s">
        <v>82</v>
      </c>
      <c r="B258" s="8" t="s">
        <v>58</v>
      </c>
      <c r="C258" s="8" t="s">
        <v>25</v>
      </c>
      <c r="D258" s="8"/>
      <c r="E258" s="31">
        <v>50.031690019999999</v>
      </c>
      <c r="F258" s="31">
        <v>-120.5676775</v>
      </c>
      <c r="G258" s="31">
        <v>81.747692307700007</v>
      </c>
      <c r="H258" s="9" t="s">
        <v>22</v>
      </c>
      <c r="I258" s="9" t="s">
        <v>22</v>
      </c>
      <c r="J258" s="31">
        <v>146.55825003643776</v>
      </c>
      <c r="K258" s="31">
        <v>101.60956461488067</v>
      </c>
      <c r="L258" s="9" t="s">
        <v>22</v>
      </c>
      <c r="M258" s="31">
        <v>3.7</v>
      </c>
      <c r="N258" s="31">
        <v>22.1</v>
      </c>
      <c r="O258" s="9">
        <f>Table1[[#This Row],[R1 Length (km)]]+Table1[[#This Row],[T1 Length (km)]]</f>
        <v>25.8</v>
      </c>
      <c r="P258" s="28">
        <v>130</v>
      </c>
      <c r="Q258" s="9">
        <f>(Table1[[#This Row],[Linear Features (km)]]*0.4)*100</f>
        <v>1032</v>
      </c>
      <c r="R258" s="31">
        <v>1180.98</v>
      </c>
      <c r="S258" s="18">
        <f>Table1[[#This Row],[ATG (ha)]]/Table1[[#This Row],[Linear Area (ha)]]</f>
        <v>1.1443604651162791</v>
      </c>
      <c r="T258" s="2" t="s">
        <v>22</v>
      </c>
      <c r="U258" s="2" t="s">
        <v>22</v>
      </c>
      <c r="V258" s="31">
        <v>1180.98</v>
      </c>
      <c r="W258" s="31">
        <v>472.39200000000005</v>
      </c>
      <c r="X258" s="10">
        <v>892.49239999999998</v>
      </c>
      <c r="Y258" s="10">
        <f>Table1[[#This Row],[Raw Terrestrial Score]]/Table1[[#This Row],[Summed Raw Scores]]</f>
        <v>0.58690719566843674</v>
      </c>
      <c r="Z258" s="10">
        <v>628.178</v>
      </c>
      <c r="AA258" s="10">
        <f>Table1[[#This Row],[Raw Freshwater Score]]/Table1[[#This Row],[Summed Raw Scores]]</f>
        <v>0.41309280433156326</v>
      </c>
      <c r="AB258" s="10">
        <f>Table1[[#This Row],[Raw Terrestrial Score]]+Table1[[#This Row],[Raw Freshwater Score]]</f>
        <v>1520.6704</v>
      </c>
      <c r="AC258" s="11">
        <f>Table1[[#This Row],[Terrestrial % of Summed Score]]*Table1[[#This Row],[Scaled Summed Score]]</f>
        <v>0.10966524598277731</v>
      </c>
      <c r="AD258" s="11">
        <f>Table1[[#This Row],[Freshwater % of Summed Score]]*Table1[[#This Row],[Scaled Summed Score]]</f>
        <v>7.7187542315171651E-2</v>
      </c>
      <c r="AE258" s="18">
        <f>Table1[[#This Row],[Summed Raw Scores]]/MAX(Table1[Summed Raw Scores])</f>
        <v>0.18685278829794896</v>
      </c>
    </row>
    <row r="259" spans="1:31" x14ac:dyDescent="0.3">
      <c r="A259" s="8" t="s">
        <v>83</v>
      </c>
      <c r="B259" s="8" t="s">
        <v>58</v>
      </c>
      <c r="C259" s="8" t="s">
        <v>25</v>
      </c>
      <c r="D259" s="8"/>
      <c r="E259" s="31">
        <v>50.104214900000002</v>
      </c>
      <c r="F259" s="31">
        <v>-120.4252154</v>
      </c>
      <c r="G259" s="31">
        <v>87.928615384599993</v>
      </c>
      <c r="H259" s="9" t="s">
        <v>22</v>
      </c>
      <c r="I259" s="9" t="s">
        <v>22</v>
      </c>
      <c r="J259" s="31">
        <v>157.00427919694422</v>
      </c>
      <c r="K259" s="31">
        <v>97.074474887304504</v>
      </c>
      <c r="L259" s="9" t="s">
        <v>22</v>
      </c>
      <c r="M259" s="31">
        <v>2.4</v>
      </c>
      <c r="N259" s="31">
        <v>9.4</v>
      </c>
      <c r="O259" s="9">
        <f>Table1[[#This Row],[R1 Length (km)]]+Table1[[#This Row],[T1 Length (km)]]</f>
        <v>11.8</v>
      </c>
      <c r="P259" s="28">
        <v>130</v>
      </c>
      <c r="Q259" s="9">
        <f>(Table1[[#This Row],[Linear Features (km)]]*0.4)*100</f>
        <v>472.00000000000006</v>
      </c>
      <c r="R259" s="31">
        <v>877.2299999999999</v>
      </c>
      <c r="S259" s="18">
        <f>Table1[[#This Row],[ATG (ha)]]/Table1[[#This Row],[Linear Area (ha)]]</f>
        <v>1.85853813559322</v>
      </c>
      <c r="T259" s="2" t="s">
        <v>22</v>
      </c>
      <c r="U259" s="2" t="s">
        <v>22</v>
      </c>
      <c r="V259" s="31">
        <v>877.2299999999999</v>
      </c>
      <c r="W259" s="31">
        <v>350.892</v>
      </c>
      <c r="X259" s="10">
        <v>705.96900000000005</v>
      </c>
      <c r="Y259" s="10">
        <f>Table1[[#This Row],[Raw Terrestrial Score]]/Table1[[#This Row],[Summed Raw Scores]]</f>
        <v>0.59380045107264756</v>
      </c>
      <c r="Z259" s="10">
        <v>482.93040000000002</v>
      </c>
      <c r="AA259" s="10">
        <f>Table1[[#This Row],[Raw Freshwater Score]]/Table1[[#This Row],[Summed Raw Scores]]</f>
        <v>0.40619954892735249</v>
      </c>
      <c r="AB259" s="10">
        <f>Table1[[#This Row],[Raw Terrestrial Score]]+Table1[[#This Row],[Raw Freshwater Score]]</f>
        <v>1188.8994</v>
      </c>
      <c r="AC259" s="11">
        <f>Table1[[#This Row],[Terrestrial % of Summed Score]]*Table1[[#This Row],[Scaled Summed Score]]</f>
        <v>8.6746132562266445E-2</v>
      </c>
      <c r="AD259" s="11">
        <f>Table1[[#This Row],[Freshwater % of Summed Score]]*Table1[[#This Row],[Scaled Summed Score]]</f>
        <v>5.9340204027015862E-2</v>
      </c>
      <c r="AE259" s="18">
        <f>Table1[[#This Row],[Summed Raw Scores]]/MAX(Table1[Summed Raw Scores])</f>
        <v>0.1460863365892823</v>
      </c>
    </row>
    <row r="260" spans="1:31" x14ac:dyDescent="0.3">
      <c r="A260" s="8" t="s">
        <v>84</v>
      </c>
      <c r="B260" s="8" t="s">
        <v>58</v>
      </c>
      <c r="C260" s="8" t="s">
        <v>25</v>
      </c>
      <c r="D260" s="8"/>
      <c r="E260" s="31">
        <v>50.044244480000003</v>
      </c>
      <c r="F260" s="31">
        <v>-120.485651</v>
      </c>
      <c r="G260" s="31">
        <v>122.023384615</v>
      </c>
      <c r="H260" s="9" t="s">
        <v>22</v>
      </c>
      <c r="I260" s="9" t="s">
        <v>22</v>
      </c>
      <c r="J260" s="31">
        <v>217.64253245828661</v>
      </c>
      <c r="K260" s="31">
        <v>95.003592068529755</v>
      </c>
      <c r="L260" s="9" t="s">
        <v>22</v>
      </c>
      <c r="M260" s="31">
        <v>2.6</v>
      </c>
      <c r="N260" s="31">
        <v>18</v>
      </c>
      <c r="O260" s="9">
        <f>Table1[[#This Row],[R1 Length (km)]]+Table1[[#This Row],[T1 Length (km)]]</f>
        <v>20.6</v>
      </c>
      <c r="P260" s="28">
        <v>130</v>
      </c>
      <c r="Q260" s="9">
        <f>(Table1[[#This Row],[Linear Features (km)]]*0.4)*100</f>
        <v>824</v>
      </c>
      <c r="R260" s="31">
        <v>1018.17</v>
      </c>
      <c r="S260" s="18">
        <f>Table1[[#This Row],[ATG (ha)]]/Table1[[#This Row],[Linear Area (ha)]]</f>
        <v>1.235643203883495</v>
      </c>
      <c r="T260" s="2" t="s">
        <v>22</v>
      </c>
      <c r="U260" s="2" t="s">
        <v>22</v>
      </c>
      <c r="V260" s="31">
        <v>1018.17</v>
      </c>
      <c r="W260" s="31">
        <v>407.26800000000003</v>
      </c>
      <c r="X260" s="10">
        <v>847.24210000000005</v>
      </c>
      <c r="Y260" s="10">
        <f>Table1[[#This Row],[Raw Terrestrial Score]]/Table1[[#This Row],[Summed Raw Scores]]</f>
        <v>0.57274996231205888</v>
      </c>
      <c r="Z260" s="10">
        <v>632.01089999999999</v>
      </c>
      <c r="AA260" s="10">
        <f>Table1[[#This Row],[Raw Freshwater Score]]/Table1[[#This Row],[Summed Raw Scores]]</f>
        <v>0.42725003768794112</v>
      </c>
      <c r="AB260" s="10">
        <f>Table1[[#This Row],[Raw Terrestrial Score]]+Table1[[#This Row],[Raw Freshwater Score]]</f>
        <v>1479.2530000000002</v>
      </c>
      <c r="AC260" s="11">
        <f>Table1[[#This Row],[Terrestrial % of Summed Score]]*Table1[[#This Row],[Scaled Summed Score]]</f>
        <v>0.10410510308375157</v>
      </c>
      <c r="AD260" s="11">
        <f>Table1[[#This Row],[Freshwater % of Summed Score]]*Table1[[#This Row],[Scaled Summed Score]]</f>
        <v>7.7658510943394571E-2</v>
      </c>
      <c r="AE260" s="18">
        <f>Table1[[#This Row],[Summed Raw Scores]]/MAX(Table1[Summed Raw Scores])</f>
        <v>0.18176361402714614</v>
      </c>
    </row>
    <row r="261" spans="1:31" x14ac:dyDescent="0.3">
      <c r="A261" s="8" t="s">
        <v>85</v>
      </c>
      <c r="B261" s="8" t="s">
        <v>58</v>
      </c>
      <c r="C261" s="8" t="s">
        <v>25</v>
      </c>
      <c r="D261" s="8" t="s">
        <v>250</v>
      </c>
      <c r="E261" s="31">
        <v>50.069231299999998</v>
      </c>
      <c r="F261" s="31">
        <v>-120.3214856</v>
      </c>
      <c r="G261" s="31">
        <v>177.45230769200001</v>
      </c>
      <c r="H261" s="9" t="s">
        <v>22</v>
      </c>
      <c r="I261" s="9" t="s">
        <v>22</v>
      </c>
      <c r="J261" s="31">
        <v>316.16702664000769</v>
      </c>
      <c r="K261" s="31">
        <v>93.790560276161614</v>
      </c>
      <c r="L261" s="9" t="s">
        <v>22</v>
      </c>
      <c r="M261" s="31">
        <v>1.6</v>
      </c>
      <c r="N261" s="31">
        <v>14.5</v>
      </c>
      <c r="O261" s="9">
        <f>Table1[[#This Row],[R1 Length (km)]]+Table1[[#This Row],[T1 Length (km)]]</f>
        <v>16.100000000000001</v>
      </c>
      <c r="P261" s="28">
        <v>230</v>
      </c>
      <c r="Q261" s="9">
        <f>(Table1[[#This Row],[Linear Features (km)]]*0.4)*100</f>
        <v>644.00000000000011</v>
      </c>
      <c r="R261" s="31">
        <v>2385.4500000000003</v>
      </c>
      <c r="S261" s="18">
        <f>Table1[[#This Row],[ATG (ha)]]/Table1[[#This Row],[Linear Area (ha)]]</f>
        <v>3.7041149068322978</v>
      </c>
      <c r="T261" s="2" t="s">
        <v>22</v>
      </c>
      <c r="U261" s="2" t="s">
        <v>22</v>
      </c>
      <c r="V261" s="31">
        <v>2385.4500000000003</v>
      </c>
      <c r="W261" s="31">
        <v>954.18000000000018</v>
      </c>
      <c r="X261" s="10">
        <v>1347.0409999999999</v>
      </c>
      <c r="Y261" s="10">
        <f>Table1[[#This Row],[Raw Terrestrial Score]]/Table1[[#This Row],[Summed Raw Scores]]</f>
        <v>0.5875365269107965</v>
      </c>
      <c r="Z261" s="10">
        <v>945.65219999999999</v>
      </c>
      <c r="AA261" s="10">
        <f>Table1[[#This Row],[Raw Freshwater Score]]/Table1[[#This Row],[Summed Raw Scores]]</f>
        <v>0.41246347308920361</v>
      </c>
      <c r="AB261" s="10">
        <f>Table1[[#This Row],[Raw Terrestrial Score]]+Table1[[#This Row],[Raw Freshwater Score]]</f>
        <v>2292.6931999999997</v>
      </c>
      <c r="AC261" s="11">
        <f>Table1[[#This Row],[Terrestrial % of Summed Score]]*Table1[[#This Row],[Scaled Summed Score]]</f>
        <v>0.16551802862846376</v>
      </c>
      <c r="AD261" s="11">
        <f>Table1[[#This Row],[Freshwater % of Summed Score]]*Table1[[#This Row],[Scaled Summed Score]]</f>
        <v>0.11619727084191925</v>
      </c>
      <c r="AE261" s="18">
        <f>Table1[[#This Row],[Summed Raw Scores]]/MAX(Table1[Summed Raw Scores])</f>
        <v>0.28171529947038298</v>
      </c>
    </row>
    <row r="262" spans="1:31" x14ac:dyDescent="0.3">
      <c r="A262" s="8" t="s">
        <v>86</v>
      </c>
      <c r="B262" s="8" t="s">
        <v>58</v>
      </c>
      <c r="C262" s="8" t="s">
        <v>87</v>
      </c>
      <c r="D262" s="8"/>
      <c r="E262" s="33">
        <v>50.239561190000003</v>
      </c>
      <c r="F262" s="33">
        <v>-119.16819150000001</v>
      </c>
      <c r="G262" s="33">
        <v>110.259692308</v>
      </c>
      <c r="H262" s="9" t="s">
        <v>22</v>
      </c>
      <c r="I262" s="9" t="s">
        <v>22</v>
      </c>
      <c r="J262" s="33">
        <v>183.89581588506243</v>
      </c>
      <c r="K262" s="33">
        <v>99.61543341729832</v>
      </c>
      <c r="L262" s="9" t="s">
        <v>22</v>
      </c>
      <c r="M262" s="33">
        <v>2</v>
      </c>
      <c r="N262" s="33">
        <v>4.9000000000000004</v>
      </c>
      <c r="O262" s="9">
        <f>Table1[[#This Row],[R1 Length (km)]]+Table1[[#This Row],[T1 Length (km)]]</f>
        <v>6.9</v>
      </c>
      <c r="P262" s="36">
        <v>130</v>
      </c>
      <c r="Q262" s="9">
        <f>(Table1[[#This Row],[Linear Features (km)]]*0.4)*100</f>
        <v>276</v>
      </c>
      <c r="R262" s="33">
        <v>567</v>
      </c>
      <c r="S262" s="18">
        <f>Table1[[#This Row],[ATG (ha)]]/Table1[[#This Row],[Linear Area (ha)]]</f>
        <v>2.0543478260869565</v>
      </c>
      <c r="T262" s="2" t="s">
        <v>22</v>
      </c>
      <c r="U262" s="2" t="s">
        <v>22</v>
      </c>
      <c r="V262" s="33">
        <v>567</v>
      </c>
      <c r="W262" s="33">
        <v>226.8</v>
      </c>
      <c r="X262" s="10">
        <v>316.08260000000001</v>
      </c>
      <c r="Y262" s="10">
        <f>Table1[[#This Row],[Raw Terrestrial Score]]/Table1[[#This Row],[Summed Raw Scores]]</f>
        <v>0.88766651333145741</v>
      </c>
      <c r="Z262" s="10">
        <v>40</v>
      </c>
      <c r="AA262" s="10">
        <f>Table1[[#This Row],[Raw Freshwater Score]]/Table1[[#This Row],[Summed Raw Scores]]</f>
        <v>0.11233348666854263</v>
      </c>
      <c r="AB262" s="10">
        <f>Table1[[#This Row],[Raw Terrestrial Score]]+Table1[[#This Row],[Raw Freshwater Score]]</f>
        <v>356.08260000000001</v>
      </c>
      <c r="AC262" s="11">
        <f>Table1[[#This Row],[Terrestrial % of Summed Score]]*Table1[[#This Row],[Scaled Summed Score]]</f>
        <v>3.8838735298895331E-2</v>
      </c>
      <c r="AD262" s="11">
        <f>Table1[[#This Row],[Freshwater % of Summed Score]]*Table1[[#This Row],[Scaled Summed Score]]</f>
        <v>4.91501086094525E-3</v>
      </c>
      <c r="AE262" s="18">
        <f>Table1[[#This Row],[Summed Raw Scores]]/MAX(Table1[Summed Raw Scores])</f>
        <v>4.3753746159840581E-2</v>
      </c>
    </row>
    <row r="263" spans="1:31" x14ac:dyDescent="0.3">
      <c r="A263" s="8" t="s">
        <v>291</v>
      </c>
      <c r="B263" s="8" t="s">
        <v>58</v>
      </c>
      <c r="C263" s="8" t="s">
        <v>87</v>
      </c>
      <c r="D263" s="8"/>
      <c r="E263" s="34">
        <v>50.251419759999997</v>
      </c>
      <c r="F263" s="34">
        <v>-119.0855406</v>
      </c>
      <c r="G263" s="34">
        <v>56.226461540000003</v>
      </c>
      <c r="H263" s="8" t="s">
        <v>22</v>
      </c>
      <c r="I263" s="8" t="s">
        <v>22</v>
      </c>
      <c r="J263" s="34">
        <v>93.936269280000005</v>
      </c>
      <c r="K263" s="34">
        <v>126.49713850000001</v>
      </c>
      <c r="L263" s="9" t="s">
        <v>22</v>
      </c>
      <c r="M263" s="34">
        <v>0.3</v>
      </c>
      <c r="N263" s="34">
        <v>6.3</v>
      </c>
      <c r="O263" s="9">
        <f>Table1[[#This Row],[R1 Length (km)]]+Table1[[#This Row],[T1 Length (km)]]</f>
        <v>6.6</v>
      </c>
      <c r="P263" s="38">
        <v>130</v>
      </c>
      <c r="Q263" s="9">
        <f>(Table1[[#This Row],[Linear Features (km)]]*0.4)*100</f>
        <v>264</v>
      </c>
      <c r="R263" s="34">
        <v>228.42</v>
      </c>
      <c r="S263" s="3">
        <f>Table1[[#This Row],[ATG (ha)]]/Table1[[#This Row],[Linear Area (ha)]]</f>
        <v>0.86522727272727273</v>
      </c>
      <c r="T263" s="2" t="s">
        <v>22</v>
      </c>
      <c r="U263" s="2" t="s">
        <v>22</v>
      </c>
      <c r="V263" s="34">
        <v>228.42</v>
      </c>
      <c r="W263" s="34">
        <v>91.367999999999995</v>
      </c>
      <c r="X263" s="10">
        <v>136.2312</v>
      </c>
      <c r="Y263" s="10">
        <f>Table1[[#This Row],[Raw Terrestrial Score]]/Table1[[#This Row],[Summed Raw Scores]]</f>
        <v>0.7459079319105888</v>
      </c>
      <c r="Z263" s="10">
        <v>46.406889999999997</v>
      </c>
      <c r="AA263" s="10">
        <f>Table1[[#This Row],[Raw Freshwater Score]]/Table1[[#This Row],[Summed Raw Scores]]</f>
        <v>0.25409206808941109</v>
      </c>
      <c r="AB263" s="10">
        <f>Table1[[#This Row],[Raw Terrestrial Score]]+Table1[[#This Row],[Raw Freshwater Score]]</f>
        <v>182.63809000000001</v>
      </c>
      <c r="AC263" s="11">
        <f>Table1[[#This Row],[Terrestrial % of Summed Score]]*Table1[[#This Row],[Scaled Summed Score]]</f>
        <v>1.6739445689990116E-2</v>
      </c>
      <c r="AD263" s="11">
        <f>Table1[[#This Row],[Freshwater % of Summed Score]]*Table1[[#This Row],[Scaled Summed Score]]</f>
        <v>5.7022592093172878E-3</v>
      </c>
      <c r="AE263" s="18">
        <f>Table1[[#This Row],[Summed Raw Scores]]/MAX(Table1[Summed Raw Scores])</f>
        <v>2.2441704899307406E-2</v>
      </c>
    </row>
    <row r="264" spans="1:31" x14ac:dyDescent="0.3">
      <c r="A264" s="8" t="s">
        <v>357</v>
      </c>
      <c r="B264" s="8" t="s">
        <v>58</v>
      </c>
      <c r="C264" s="8" t="s">
        <v>21</v>
      </c>
      <c r="D264" s="8"/>
      <c r="E264" s="34">
        <v>49.276818929999997</v>
      </c>
      <c r="F264" s="34">
        <v>-124.7540298</v>
      </c>
      <c r="G264" s="34">
        <v>44.861538459999998</v>
      </c>
      <c r="H264" s="8" t="s">
        <v>22</v>
      </c>
      <c r="I264" s="8" t="s">
        <v>22</v>
      </c>
      <c r="J264" s="24">
        <v>69.180113860000006</v>
      </c>
      <c r="K264" s="24">
        <v>142.17640979999999</v>
      </c>
      <c r="L264" s="9" t="s">
        <v>22</v>
      </c>
      <c r="M264" s="34">
        <v>0.8</v>
      </c>
      <c r="N264" s="34">
        <v>5.4</v>
      </c>
      <c r="O264" s="9">
        <f>Table1[[#This Row],[R1 Length (km)]]+Table1[[#This Row],[T1 Length (km)]]</f>
        <v>6.2</v>
      </c>
      <c r="P264" s="38">
        <v>130</v>
      </c>
      <c r="Q264" s="9">
        <f>(Table1[[#This Row],[Linear Features (km)]]*0.4)*100</f>
        <v>248.00000000000006</v>
      </c>
      <c r="R264" s="34">
        <v>182.25</v>
      </c>
      <c r="S264" s="3">
        <f>Table1[[#This Row],[ATG (ha)]]/Table1[[#This Row],[Linear Area (ha)]]</f>
        <v>0.73487903225806439</v>
      </c>
      <c r="T264" s="2" t="s">
        <v>22</v>
      </c>
      <c r="U264" s="2" t="s">
        <v>22</v>
      </c>
      <c r="V264" s="34">
        <v>182.25</v>
      </c>
      <c r="W264" s="34">
        <v>72.900000000000006</v>
      </c>
      <c r="X264" s="10">
        <v>42.788719999999998</v>
      </c>
      <c r="Y264" s="10">
        <f>Table1[[#This Row],[Raw Terrestrial Score]]/Table1[[#This Row],[Summed Raw Scores]]</f>
        <v>0.42621919119525736</v>
      </c>
      <c r="Z264" s="10">
        <v>57.602629999999998</v>
      </c>
      <c r="AA264" s="10">
        <f>Table1[[#This Row],[Raw Freshwater Score]]/Table1[[#This Row],[Summed Raw Scores]]</f>
        <v>0.57378080880474269</v>
      </c>
      <c r="AB264" s="10">
        <f>Table1[[#This Row],[Raw Terrestrial Score]]+Table1[[#This Row],[Raw Freshwater Score]]</f>
        <v>100.39134999999999</v>
      </c>
      <c r="AC264" s="11">
        <f>Table1[[#This Row],[Terrestrial % of Summed Score]]*Table1[[#This Row],[Scaled Summed Score]]</f>
        <v>5.2576755881486312E-3</v>
      </c>
      <c r="AD264" s="11">
        <f>Table1[[#This Row],[Freshwater % of Summed Score]]*Table1[[#This Row],[Scaled Summed Score]]</f>
        <v>7.0779388017252684E-3</v>
      </c>
      <c r="AE264" s="18">
        <f>Table1[[#This Row],[Summed Raw Scores]]/MAX(Table1[Summed Raw Scores])</f>
        <v>1.2335614389873899E-2</v>
      </c>
    </row>
    <row r="265" spans="1:31" x14ac:dyDescent="0.3">
      <c r="A265" s="8" t="s">
        <v>372</v>
      </c>
      <c r="B265" s="8" t="s">
        <v>58</v>
      </c>
      <c r="C265" s="8" t="s">
        <v>21</v>
      </c>
      <c r="D265" s="8"/>
      <c r="E265" s="34">
        <v>49.27374726</v>
      </c>
      <c r="F265" s="34">
        <v>-124.48944539999999</v>
      </c>
      <c r="G265" s="34">
        <v>36.48738462</v>
      </c>
      <c r="H265" s="8" t="s">
        <v>22</v>
      </c>
      <c r="I265" s="8" t="s">
        <v>22</v>
      </c>
      <c r="J265" s="34">
        <v>56.940122199999998</v>
      </c>
      <c r="K265" s="34">
        <v>150.5391908</v>
      </c>
      <c r="L265" s="9" t="s">
        <v>22</v>
      </c>
      <c r="M265" s="34">
        <v>1.1000000000000001</v>
      </c>
      <c r="N265" s="34">
        <v>8.1</v>
      </c>
      <c r="O265" s="9">
        <f>Table1[[#This Row],[R1 Length (km)]]+Table1[[#This Row],[T1 Length (km)]]</f>
        <v>9.1999999999999993</v>
      </c>
      <c r="P265" s="38">
        <v>130</v>
      </c>
      <c r="Q265" s="9">
        <f>(Table1[[#This Row],[Linear Features (km)]]*0.4)*100</f>
        <v>368</v>
      </c>
      <c r="R265" s="34">
        <v>148.22999999999999</v>
      </c>
      <c r="S265" s="3">
        <f>Table1[[#This Row],[ATG (ha)]]/Table1[[#This Row],[Linear Area (ha)]]</f>
        <v>0.40279891304347826</v>
      </c>
      <c r="T265" s="2" t="s">
        <v>22</v>
      </c>
      <c r="U265" s="2" t="s">
        <v>22</v>
      </c>
      <c r="V265" s="34">
        <v>148.22999999999999</v>
      </c>
      <c r="W265" s="34">
        <v>59.292000000000002</v>
      </c>
      <c r="X265" s="10">
        <v>132.62649999999999</v>
      </c>
      <c r="Y265" s="10">
        <f>Table1[[#This Row],[Raw Terrestrial Score]]/Table1[[#This Row],[Summed Raw Scores]]</f>
        <v>0.53060172055038723</v>
      </c>
      <c r="Z265" s="10">
        <v>117.3284</v>
      </c>
      <c r="AA265" s="10">
        <f>Table1[[#This Row],[Raw Freshwater Score]]/Table1[[#This Row],[Summed Raw Scores]]</f>
        <v>0.46939827944961271</v>
      </c>
      <c r="AB265" s="10">
        <f>Table1[[#This Row],[Raw Terrestrial Score]]+Table1[[#This Row],[Raw Freshwater Score]]</f>
        <v>249.95490000000001</v>
      </c>
      <c r="AC265" s="11">
        <f>Table1[[#This Row],[Terrestrial % of Summed Score]]*Table1[[#This Row],[Scaled Summed Score]]</f>
        <v>1.6296517198728881E-2</v>
      </c>
      <c r="AD265" s="11">
        <f>Table1[[#This Row],[Freshwater % of Summed Score]]*Table1[[#This Row],[Scaled Summed Score]]</f>
        <v>1.441675900743322E-2</v>
      </c>
      <c r="AE265" s="18">
        <f>Table1[[#This Row],[Summed Raw Scores]]/MAX(Table1[Summed Raw Scores])</f>
        <v>3.0713276206162102E-2</v>
      </c>
    </row>
    <row r="266" spans="1:31" x14ac:dyDescent="0.3">
      <c r="A266" s="8" t="s">
        <v>319</v>
      </c>
      <c r="B266" s="8" t="s">
        <v>58</v>
      </c>
      <c r="C266" s="8" t="s">
        <v>21</v>
      </c>
      <c r="D266" s="8"/>
      <c r="E266" s="34">
        <v>49.288229350000002</v>
      </c>
      <c r="F266" s="34">
        <v>-124.40949209999999</v>
      </c>
      <c r="G266" s="34">
        <v>61.809230769999999</v>
      </c>
      <c r="H266" s="8" t="s">
        <v>22</v>
      </c>
      <c r="I266" s="8" t="s">
        <v>22</v>
      </c>
      <c r="J266" s="34">
        <v>97.093653329999995</v>
      </c>
      <c r="K266" s="34">
        <v>131.54773660000001</v>
      </c>
      <c r="L266" s="9" t="s">
        <v>22</v>
      </c>
      <c r="M266" s="34">
        <v>0</v>
      </c>
      <c r="N266" s="34">
        <v>5.7</v>
      </c>
      <c r="O266" s="9">
        <f>Table1[[#This Row],[R1 Length (km)]]+Table1[[#This Row],[T1 Length (km)]]</f>
        <v>5.7</v>
      </c>
      <c r="P266" s="38">
        <v>130</v>
      </c>
      <c r="Q266" s="9">
        <f>(Table1[[#This Row],[Linear Features (km)]]*0.4)*100</f>
        <v>228.00000000000003</v>
      </c>
      <c r="R266" s="34">
        <v>251.1</v>
      </c>
      <c r="S266" s="3">
        <f>Table1[[#This Row],[ATG (ha)]]/Table1[[#This Row],[Linear Area (ha)]]</f>
        <v>1.101315789473684</v>
      </c>
      <c r="T266" s="2" t="s">
        <v>22</v>
      </c>
      <c r="U266" s="2" t="s">
        <v>22</v>
      </c>
      <c r="V266" s="34">
        <v>251.1</v>
      </c>
      <c r="W266" s="34">
        <v>100.44</v>
      </c>
      <c r="X266" s="10">
        <v>213.76079999999999</v>
      </c>
      <c r="Y266" s="10">
        <f>Table1[[#This Row],[Raw Terrestrial Score]]/Table1[[#This Row],[Summed Raw Scores]]</f>
        <v>0.60834651943764584</v>
      </c>
      <c r="Z266" s="10">
        <v>137.61920000000001</v>
      </c>
      <c r="AA266" s="10">
        <f>Table1[[#This Row],[Raw Freshwater Score]]/Table1[[#This Row],[Summed Raw Scores]]</f>
        <v>0.39165348056235416</v>
      </c>
      <c r="AB266" s="10">
        <f>Table1[[#This Row],[Raw Terrestrial Score]]+Table1[[#This Row],[Raw Freshwater Score]]</f>
        <v>351.38</v>
      </c>
      <c r="AC266" s="11">
        <f>Table1[[#This Row],[Terrestrial % of Summed Score]]*Table1[[#This Row],[Scaled Summed Score]]</f>
        <v>2.6265916341108638E-2</v>
      </c>
      <c r="AD266" s="11">
        <f>Table1[[#This Row],[Freshwater % of Summed Score]]*Table1[[#This Row],[Scaled Summed Score]]</f>
        <v>1.6909996566864916E-2</v>
      </c>
      <c r="AE266" s="18">
        <f>Table1[[#This Row],[Summed Raw Scores]]/MAX(Table1[Summed Raw Scores])</f>
        <v>4.3175912907973554E-2</v>
      </c>
    </row>
    <row r="267" spans="1:31" x14ac:dyDescent="0.3">
      <c r="A267" s="8" t="s">
        <v>88</v>
      </c>
      <c r="B267" s="8" t="s">
        <v>58</v>
      </c>
      <c r="C267" s="8" t="s">
        <v>25</v>
      </c>
      <c r="D267" s="8"/>
      <c r="E267" s="31">
        <v>49.898999539999998</v>
      </c>
      <c r="F267" s="31">
        <v>-120.7697282</v>
      </c>
      <c r="G267" s="31">
        <v>49.447384615399997</v>
      </c>
      <c r="H267" s="9" t="s">
        <v>22</v>
      </c>
      <c r="I267" s="9" t="s">
        <v>22</v>
      </c>
      <c r="J267" s="31">
        <v>89.402938088887296</v>
      </c>
      <c r="K267" s="31">
        <v>104.10619883880203</v>
      </c>
      <c r="L267" s="9" t="s">
        <v>22</v>
      </c>
      <c r="M267" s="31">
        <v>0</v>
      </c>
      <c r="N267" s="31">
        <v>25.5</v>
      </c>
      <c r="O267" s="9">
        <f>Table1[[#This Row],[R1 Length (km)]]+Table1[[#This Row],[T1 Length (km)]]</f>
        <v>25.5</v>
      </c>
      <c r="P267" s="28">
        <v>69</v>
      </c>
      <c r="Q267" s="9">
        <f>(Table1[[#This Row],[Linear Features (km)]]*0.4)*100</f>
        <v>1020.0000000000001</v>
      </c>
      <c r="R267" s="31">
        <v>624.51</v>
      </c>
      <c r="S267" s="18">
        <f>Table1[[#This Row],[ATG (ha)]]/Table1[[#This Row],[Linear Area (ha)]]</f>
        <v>0.61226470588235282</v>
      </c>
      <c r="T267" s="2" t="s">
        <v>22</v>
      </c>
      <c r="U267" s="2" t="s">
        <v>22</v>
      </c>
      <c r="V267" s="31">
        <v>624.51</v>
      </c>
      <c r="W267" s="31">
        <v>249.804</v>
      </c>
      <c r="X267" s="10">
        <v>545.07209999999998</v>
      </c>
      <c r="Y267" s="10">
        <f>Table1[[#This Row],[Raw Terrestrial Score]]/Table1[[#This Row],[Summed Raw Scores]]</f>
        <v>0.47584091137059586</v>
      </c>
      <c r="Z267" s="10">
        <v>600.42020000000002</v>
      </c>
      <c r="AA267" s="10">
        <f>Table1[[#This Row],[Raw Freshwater Score]]/Table1[[#This Row],[Summed Raw Scores]]</f>
        <v>0.52415908862940419</v>
      </c>
      <c r="AB267" s="10">
        <f>Table1[[#This Row],[Raw Terrestrial Score]]+Table1[[#This Row],[Raw Freshwater Score]]</f>
        <v>1145.4922999999999</v>
      </c>
      <c r="AC267" s="11">
        <f>Table1[[#This Row],[Terrestrial % of Summed Score]]*Table1[[#This Row],[Scaled Summed Score]]</f>
        <v>6.6975882287455879E-2</v>
      </c>
      <c r="AD267" s="11">
        <f>Table1[[#This Row],[Freshwater % of Summed Score]]*Table1[[#This Row],[Scaled Summed Score]]</f>
        <v>7.377679510327298E-2</v>
      </c>
      <c r="AE267" s="18">
        <f>Table1[[#This Row],[Summed Raw Scores]]/MAX(Table1[Summed Raw Scores])</f>
        <v>0.14075267739072886</v>
      </c>
    </row>
    <row r="268" spans="1:31" x14ac:dyDescent="0.3">
      <c r="A268" s="8" t="s">
        <v>407</v>
      </c>
      <c r="B268" s="8" t="s">
        <v>58</v>
      </c>
      <c r="C268" s="8" t="s">
        <v>25</v>
      </c>
      <c r="D268" s="8"/>
      <c r="E268" s="34">
        <v>49.924262390000003</v>
      </c>
      <c r="F268" s="34">
        <v>-120.60612639999999</v>
      </c>
      <c r="G268" s="34">
        <v>13.159384620000001</v>
      </c>
      <c r="H268" s="8" t="s">
        <v>22</v>
      </c>
      <c r="I268" s="8" t="s">
        <v>22</v>
      </c>
      <c r="J268" s="34">
        <v>23.71219782</v>
      </c>
      <c r="K268" s="34">
        <v>195.42382480000001</v>
      </c>
      <c r="L268" s="9" t="s">
        <v>22</v>
      </c>
      <c r="M268" s="34">
        <v>1.6</v>
      </c>
      <c r="N268" s="34">
        <v>26.3</v>
      </c>
      <c r="O268" s="9">
        <f>Table1[[#This Row],[R1 Length (km)]]+Table1[[#This Row],[T1 Length (km)]]</f>
        <v>27.900000000000002</v>
      </c>
      <c r="P268" s="38">
        <v>69</v>
      </c>
      <c r="Q268" s="9">
        <f>(Table1[[#This Row],[Linear Features (km)]]*0.4)*100</f>
        <v>1116.0000000000002</v>
      </c>
      <c r="R268" s="34">
        <v>53.46</v>
      </c>
      <c r="S268" s="3">
        <f>Table1[[#This Row],[ATG (ha)]]/Table1[[#This Row],[Linear Area (ha)]]</f>
        <v>4.7903225806451601E-2</v>
      </c>
      <c r="T268" s="2" t="s">
        <v>22</v>
      </c>
      <c r="U268" s="2" t="s">
        <v>22</v>
      </c>
      <c r="V268" s="34">
        <v>53.46</v>
      </c>
      <c r="W268" s="34">
        <v>21.384</v>
      </c>
      <c r="X268" s="10">
        <v>499.53019999999998</v>
      </c>
      <c r="Y268" s="10">
        <f>Table1[[#This Row],[Raw Terrestrial Score]]/Table1[[#This Row],[Summed Raw Scores]]</f>
        <v>0.57693483525204059</v>
      </c>
      <c r="Z268" s="10">
        <v>366.30450000000002</v>
      </c>
      <c r="AA268" s="10">
        <f>Table1[[#This Row],[Raw Freshwater Score]]/Table1[[#This Row],[Summed Raw Scores]]</f>
        <v>0.42306516474795941</v>
      </c>
      <c r="AB268" s="10">
        <f>Table1[[#This Row],[Raw Terrestrial Score]]+Table1[[#This Row],[Raw Freshwater Score]]</f>
        <v>865.8347</v>
      </c>
      <c r="AC268" s="11">
        <f>Table1[[#This Row],[Terrestrial % of Summed Score]]*Table1[[#This Row],[Scaled Summed Score]]</f>
        <v>6.1379908959253833E-2</v>
      </c>
      <c r="AD268" s="11">
        <f>Table1[[#This Row],[Freshwater % of Summed Score]]*Table1[[#This Row],[Scaled Summed Score]]</f>
        <v>4.5009764897827993E-2</v>
      </c>
      <c r="AE268" s="18">
        <f>Table1[[#This Row],[Summed Raw Scores]]/MAX(Table1[Summed Raw Scores])</f>
        <v>0.10638967385708183</v>
      </c>
    </row>
    <row r="269" spans="1:31" x14ac:dyDescent="0.3">
      <c r="A269" s="8" t="s">
        <v>313</v>
      </c>
      <c r="B269" s="8" t="s">
        <v>58</v>
      </c>
      <c r="C269" s="8" t="s">
        <v>25</v>
      </c>
      <c r="D269" s="8"/>
      <c r="E269" s="34">
        <v>50.021764939999997</v>
      </c>
      <c r="F269" s="34">
        <v>-120.29996079999999</v>
      </c>
      <c r="G269" s="34">
        <v>49.048615380000001</v>
      </c>
      <c r="H269" s="8" t="s">
        <v>22</v>
      </c>
      <c r="I269" s="8" t="s">
        <v>22</v>
      </c>
      <c r="J269" s="34">
        <v>87.627957319999993</v>
      </c>
      <c r="K269" s="34">
        <v>130.91850149999999</v>
      </c>
      <c r="L269" s="9" t="s">
        <v>22</v>
      </c>
      <c r="M269" s="34">
        <v>1.6</v>
      </c>
      <c r="N269" s="34">
        <v>20.3</v>
      </c>
      <c r="O269" s="9">
        <f>Table1[[#This Row],[R1 Length (km)]]+Table1[[#This Row],[T1 Length (km)]]</f>
        <v>21.900000000000002</v>
      </c>
      <c r="P269" s="38">
        <v>130</v>
      </c>
      <c r="Q269" s="9">
        <f>(Table1[[#This Row],[Linear Features (km)]]*0.4)*100</f>
        <v>876.00000000000011</v>
      </c>
      <c r="R269" s="34">
        <v>199.26</v>
      </c>
      <c r="S269" s="3">
        <f>Table1[[#This Row],[ATG (ha)]]/Table1[[#This Row],[Linear Area (ha)]]</f>
        <v>0.2274657534246575</v>
      </c>
      <c r="T269" s="2" t="s">
        <v>22</v>
      </c>
      <c r="U269" s="2" t="s">
        <v>22</v>
      </c>
      <c r="V269" s="34">
        <v>199.26</v>
      </c>
      <c r="W269" s="34">
        <v>79.703999999999994</v>
      </c>
      <c r="X269" s="10">
        <v>341.53519999999997</v>
      </c>
      <c r="Y269" s="10">
        <f>Table1[[#This Row],[Raw Terrestrial Score]]/Table1[[#This Row],[Summed Raw Scores]]</f>
        <v>0.60217547189205889</v>
      </c>
      <c r="Z269" s="10">
        <v>225.6337</v>
      </c>
      <c r="AA269" s="10">
        <f>Table1[[#This Row],[Raw Freshwater Score]]/Table1[[#This Row],[Summed Raw Scores]]</f>
        <v>0.39782452810794106</v>
      </c>
      <c r="AB269" s="10">
        <f>Table1[[#This Row],[Raw Terrestrial Score]]+Table1[[#This Row],[Raw Freshwater Score]]</f>
        <v>567.16890000000001</v>
      </c>
      <c r="AC269" s="11">
        <f>Table1[[#This Row],[Terrestrial % of Summed Score]]*Table1[[#This Row],[Scaled Summed Score]]</f>
        <v>4.1966230434877703E-2</v>
      </c>
      <c r="AD269" s="11">
        <f>Table1[[#This Row],[Freshwater % of Summed Score]]*Table1[[#This Row],[Scaled Summed Score]]</f>
        <v>2.7724802152381562E-2</v>
      </c>
      <c r="AE269" s="18">
        <f>Table1[[#This Row],[Summed Raw Scores]]/MAX(Table1[Summed Raw Scores])</f>
        <v>6.9691032587259269E-2</v>
      </c>
    </row>
    <row r="270" spans="1:31" x14ac:dyDescent="0.3">
      <c r="A270" s="8" t="s">
        <v>388</v>
      </c>
      <c r="B270" s="8" t="s">
        <v>58</v>
      </c>
      <c r="C270" s="8" t="s">
        <v>25</v>
      </c>
      <c r="D270" s="8"/>
      <c r="E270" s="34">
        <v>50.034185090000001</v>
      </c>
      <c r="F270" s="34">
        <v>-120.2178883</v>
      </c>
      <c r="G270" s="34">
        <v>27.515076919999998</v>
      </c>
      <c r="H270" s="8" t="s">
        <v>22</v>
      </c>
      <c r="I270" s="8" t="s">
        <v>22</v>
      </c>
      <c r="J270" s="34">
        <v>49.771975840000003</v>
      </c>
      <c r="K270" s="34">
        <v>158.0093747</v>
      </c>
      <c r="L270" s="9" t="s">
        <v>22</v>
      </c>
      <c r="M270" s="34">
        <v>0.7</v>
      </c>
      <c r="N270" s="34">
        <v>21.2</v>
      </c>
      <c r="O270" s="9">
        <f>Table1[[#This Row],[R1 Length (km)]]+Table1[[#This Row],[T1 Length (km)]]</f>
        <v>21.9</v>
      </c>
      <c r="P270" s="38">
        <v>130</v>
      </c>
      <c r="Q270" s="9">
        <f>(Table1[[#This Row],[Linear Features (km)]]*0.4)*100</f>
        <v>876</v>
      </c>
      <c r="R270" s="34">
        <v>111.78</v>
      </c>
      <c r="S270" s="3">
        <f>Table1[[#This Row],[ATG (ha)]]/Table1[[#This Row],[Linear Area (ha)]]</f>
        <v>0.1276027397260274</v>
      </c>
      <c r="T270" s="2" t="s">
        <v>22</v>
      </c>
      <c r="U270" s="2" t="s">
        <v>22</v>
      </c>
      <c r="V270" s="34">
        <v>111.78</v>
      </c>
      <c r="W270" s="34">
        <v>44.712000000000003</v>
      </c>
      <c r="X270" s="10">
        <v>288.10050000000001</v>
      </c>
      <c r="Y270" s="10">
        <f>Table1[[#This Row],[Raw Terrestrial Score]]/Table1[[#This Row],[Summed Raw Scores]]</f>
        <v>0.55094027806276646</v>
      </c>
      <c r="Z270" s="10">
        <v>234.8246</v>
      </c>
      <c r="AA270" s="10">
        <f>Table1[[#This Row],[Raw Freshwater Score]]/Table1[[#This Row],[Summed Raw Scores]]</f>
        <v>0.44905972193723342</v>
      </c>
      <c r="AB270" s="10">
        <f>Table1[[#This Row],[Raw Terrestrial Score]]+Table1[[#This Row],[Raw Freshwater Score]]</f>
        <v>522.92510000000004</v>
      </c>
      <c r="AC270" s="11">
        <f>Table1[[#This Row],[Terrestrial % of Summed Score]]*Table1[[#This Row],[Scaled Summed Score]]</f>
        <v>3.5400427163593921E-2</v>
      </c>
      <c r="AD270" s="11">
        <f>Table1[[#This Row],[Freshwater % of Summed Score]]*Table1[[#This Row],[Scaled Summed Score]]</f>
        <v>2.8854136485428099E-2</v>
      </c>
      <c r="AE270" s="18">
        <f>Table1[[#This Row],[Summed Raw Scores]]/MAX(Table1[Summed Raw Scores])</f>
        <v>6.4254563649022031E-2</v>
      </c>
    </row>
    <row r="271" spans="1:31" x14ac:dyDescent="0.3">
      <c r="A271" s="8" t="s">
        <v>309</v>
      </c>
      <c r="B271" s="8" t="s">
        <v>58</v>
      </c>
      <c r="C271" s="8" t="s">
        <v>25</v>
      </c>
      <c r="D271" s="8"/>
      <c r="E271" s="29">
        <v>49.986709079999997</v>
      </c>
      <c r="F271" s="29">
        <v>-120.1964668</v>
      </c>
      <c r="G271" s="29">
        <v>52.637538460000002</v>
      </c>
      <c r="H271" s="8" t="s">
        <v>22</v>
      </c>
      <c r="I271" s="8" t="s">
        <v>22</v>
      </c>
      <c r="J271" s="24">
        <v>96.007131749999999</v>
      </c>
      <c r="K271" s="24">
        <v>130.3164687</v>
      </c>
      <c r="L271" s="9" t="s">
        <v>22</v>
      </c>
      <c r="M271" s="29">
        <v>0.6</v>
      </c>
      <c r="N271" s="29">
        <v>26.9</v>
      </c>
      <c r="O271" s="9">
        <f>Table1[[#This Row],[R1 Length (km)]]+Table1[[#This Row],[T1 Length (km)]]</f>
        <v>27.5</v>
      </c>
      <c r="P271" s="30">
        <v>130</v>
      </c>
      <c r="Q271" s="9">
        <f>(Table1[[#This Row],[Linear Features (km)]]*0.4)*100</f>
        <v>1100</v>
      </c>
      <c r="R271" s="29">
        <v>213.84</v>
      </c>
      <c r="S271" s="3">
        <f>Table1[[#This Row],[ATG (ha)]]/Table1[[#This Row],[Linear Area (ha)]]</f>
        <v>0.19439999999999999</v>
      </c>
      <c r="T271" s="2" t="s">
        <v>22</v>
      </c>
      <c r="U271" s="2" t="s">
        <v>22</v>
      </c>
      <c r="V271" s="29">
        <v>213.84</v>
      </c>
      <c r="W271" s="29">
        <v>85.536000000000001</v>
      </c>
      <c r="X271" s="10">
        <v>539.07079999999996</v>
      </c>
      <c r="Y271" s="10">
        <f>Table1[[#This Row],[Raw Terrestrial Score]]/Table1[[#This Row],[Summed Raw Scores]]</f>
        <v>0.45372732229481466</v>
      </c>
      <c r="Z271" s="10">
        <v>649.02340000000004</v>
      </c>
      <c r="AA271" s="10">
        <f>Table1[[#This Row],[Raw Freshwater Score]]/Table1[[#This Row],[Summed Raw Scores]]</f>
        <v>0.54627267770518539</v>
      </c>
      <c r="AB271" s="10">
        <f>Table1[[#This Row],[Raw Terrestrial Score]]+Table1[[#This Row],[Raw Freshwater Score]]</f>
        <v>1188.0942</v>
      </c>
      <c r="AC271" s="11">
        <f>Table1[[#This Row],[Terrestrial % of Summed Score]]*Table1[[#This Row],[Scaled Summed Score]]</f>
        <v>6.6238470920461132E-2</v>
      </c>
      <c r="AD271" s="11">
        <f>Table1[[#This Row],[Freshwater % of Summed Score]]*Table1[[#This Row],[Scaled Summed Score]]</f>
        <v>7.9748926500190359E-2</v>
      </c>
      <c r="AE271" s="18">
        <f>Table1[[#This Row],[Summed Raw Scores]]/MAX(Table1[Summed Raw Scores])</f>
        <v>0.14598739742065148</v>
      </c>
    </row>
    <row r="272" spans="1:31" x14ac:dyDescent="0.3">
      <c r="A272" s="8" t="s">
        <v>332</v>
      </c>
      <c r="B272" s="8" t="s">
        <v>58</v>
      </c>
      <c r="C272" s="8" t="s">
        <v>21</v>
      </c>
      <c r="D272" s="8"/>
      <c r="E272" s="34">
        <v>49.270243350000001</v>
      </c>
      <c r="F272" s="34">
        <v>-124.2248924</v>
      </c>
      <c r="G272" s="34">
        <v>51.042461539999998</v>
      </c>
      <c r="H272" s="8" t="s">
        <v>22</v>
      </c>
      <c r="I272" s="8" t="s">
        <v>22</v>
      </c>
      <c r="J272" s="34">
        <v>82.054161649999998</v>
      </c>
      <c r="K272" s="34">
        <v>135.49113840000001</v>
      </c>
      <c r="L272" s="9" t="s">
        <v>22</v>
      </c>
      <c r="M272" s="34">
        <v>0</v>
      </c>
      <c r="N272" s="34">
        <v>8.6999999999999993</v>
      </c>
      <c r="O272" s="9">
        <f>Table1[[#This Row],[R1 Length (km)]]+Table1[[#This Row],[T1 Length (km)]]</f>
        <v>8.6999999999999993</v>
      </c>
      <c r="P272" s="38">
        <v>130</v>
      </c>
      <c r="Q272" s="9">
        <f>(Table1[[#This Row],[Linear Features (km)]]*0.4)*100</f>
        <v>348</v>
      </c>
      <c r="R272" s="34">
        <v>207.36</v>
      </c>
      <c r="S272" s="3">
        <f>Table1[[#This Row],[ATG (ha)]]/Table1[[#This Row],[Linear Area (ha)]]</f>
        <v>0.5958620689655173</v>
      </c>
      <c r="T272" s="2" t="s">
        <v>22</v>
      </c>
      <c r="U272" s="2" t="s">
        <v>22</v>
      </c>
      <c r="V272" s="34">
        <v>207.36</v>
      </c>
      <c r="W272" s="34">
        <v>82.944000000000003</v>
      </c>
      <c r="X272" s="10">
        <v>213.08670000000001</v>
      </c>
      <c r="Y272" s="10">
        <f>Table1[[#This Row],[Raw Terrestrial Score]]/Table1[[#This Row],[Summed Raw Scores]]</f>
        <v>0.59673659086154707</v>
      </c>
      <c r="Z272" s="10">
        <v>144</v>
      </c>
      <c r="AA272" s="10">
        <f>Table1[[#This Row],[Raw Freshwater Score]]/Table1[[#This Row],[Summed Raw Scores]]</f>
        <v>0.40326340913845293</v>
      </c>
      <c r="AB272" s="10">
        <f>Table1[[#This Row],[Raw Terrestrial Score]]+Table1[[#This Row],[Raw Freshwater Score]]</f>
        <v>357.08670000000001</v>
      </c>
      <c r="AC272" s="11">
        <f>Table1[[#This Row],[Terrestrial % of Summed Score]]*Table1[[#This Row],[Scaled Summed Score]]</f>
        <v>2.6183086120574559E-2</v>
      </c>
      <c r="AD272" s="11">
        <f>Table1[[#This Row],[Freshwater % of Summed Score]]*Table1[[#This Row],[Scaled Summed Score]]</f>
        <v>1.7694039099402904E-2</v>
      </c>
      <c r="AE272" s="18">
        <f>Table1[[#This Row],[Summed Raw Scores]]/MAX(Table1[Summed Raw Scores])</f>
        <v>4.3877125219977463E-2</v>
      </c>
    </row>
    <row r="273" spans="1:31" x14ac:dyDescent="0.3">
      <c r="A273" s="8" t="s">
        <v>393</v>
      </c>
      <c r="B273" s="8" t="s">
        <v>58</v>
      </c>
      <c r="C273" s="8" t="s">
        <v>25</v>
      </c>
      <c r="D273" s="8"/>
      <c r="E273" s="29">
        <v>49.876849610000001</v>
      </c>
      <c r="F273" s="29">
        <v>-120.5844127</v>
      </c>
      <c r="G273" s="29">
        <v>21.932307689999998</v>
      </c>
      <c r="H273" s="8" t="s">
        <v>22</v>
      </c>
      <c r="I273" s="8" t="s">
        <v>22</v>
      </c>
      <c r="J273" s="24">
        <v>39.329877789999998</v>
      </c>
      <c r="K273" s="24">
        <v>159.4239427</v>
      </c>
      <c r="L273" s="9" t="s">
        <v>22</v>
      </c>
      <c r="M273" s="29">
        <v>0.3</v>
      </c>
      <c r="N273" s="29">
        <v>32.6</v>
      </c>
      <c r="O273" s="9">
        <f>Table1[[#This Row],[R1 Length (km)]]+Table1[[#This Row],[T1 Length (km)]]</f>
        <v>32.9</v>
      </c>
      <c r="P273" s="30">
        <v>69</v>
      </c>
      <c r="Q273" s="9">
        <f>(Table1[[#This Row],[Linear Features (km)]]*0.4)*100</f>
        <v>1316</v>
      </c>
      <c r="R273" s="29">
        <v>89.1</v>
      </c>
      <c r="S273" s="3">
        <f>Table1[[#This Row],[ATG (ha)]]/Table1[[#This Row],[Linear Area (ha)]]</f>
        <v>6.770516717325227E-2</v>
      </c>
      <c r="T273" s="2" t="s">
        <v>22</v>
      </c>
      <c r="U273" s="2" t="s">
        <v>22</v>
      </c>
      <c r="V273" s="29">
        <v>89.1</v>
      </c>
      <c r="W273" s="29">
        <v>35.64</v>
      </c>
      <c r="X273" s="10">
        <v>655.62390000000005</v>
      </c>
      <c r="Y273" s="10">
        <f>Table1[[#This Row],[Raw Terrestrial Score]]/Table1[[#This Row],[Summed Raw Scores]]</f>
        <v>0.62277477272779092</v>
      </c>
      <c r="Z273" s="10">
        <v>397.1225</v>
      </c>
      <c r="AA273" s="10">
        <f>Table1[[#This Row],[Raw Freshwater Score]]/Table1[[#This Row],[Summed Raw Scores]]</f>
        <v>0.37722522727220914</v>
      </c>
      <c r="AB273" s="10">
        <f>Table1[[#This Row],[Raw Terrestrial Score]]+Table1[[#This Row],[Raw Freshwater Score]]</f>
        <v>1052.7464</v>
      </c>
      <c r="AC273" s="11">
        <f>Table1[[#This Row],[Terrestrial % of Summed Score]]*Table1[[#This Row],[Scaled Summed Score]]</f>
        <v>8.0559964729882069E-2</v>
      </c>
      <c r="AD273" s="11">
        <f>Table1[[#This Row],[Freshwater % of Summed Score]]*Table1[[#This Row],[Scaled Summed Score]]</f>
        <v>4.8796535015643253E-2</v>
      </c>
      <c r="AE273" s="18">
        <f>Table1[[#This Row],[Summed Raw Scores]]/MAX(Table1[Summed Raw Scores])</f>
        <v>0.12935649974552532</v>
      </c>
    </row>
    <row r="274" spans="1:31" x14ac:dyDescent="0.3">
      <c r="A274" s="8" t="s">
        <v>89</v>
      </c>
      <c r="B274" s="8" t="s">
        <v>58</v>
      </c>
      <c r="C274" s="8" t="s">
        <v>25</v>
      </c>
      <c r="D274" s="8"/>
      <c r="E274" s="31">
        <v>49.889407990000002</v>
      </c>
      <c r="F274" s="31">
        <v>-120.5026211</v>
      </c>
      <c r="G274" s="31">
        <v>93.112615384600005</v>
      </c>
      <c r="H274" s="9" t="s">
        <v>22</v>
      </c>
      <c r="I274" s="9" t="s">
        <v>22</v>
      </c>
      <c r="J274" s="31">
        <v>170.19574378574288</v>
      </c>
      <c r="K274" s="31">
        <v>100.34437055329255</v>
      </c>
      <c r="L274" s="9" t="s">
        <v>22</v>
      </c>
      <c r="M274" s="31">
        <v>0.3</v>
      </c>
      <c r="N274" s="31">
        <v>34.9</v>
      </c>
      <c r="O274" s="9">
        <f>Table1[[#This Row],[R1 Length (km)]]+Table1[[#This Row],[T1 Length (km)]]</f>
        <v>35.199999999999996</v>
      </c>
      <c r="P274" s="28">
        <v>130</v>
      </c>
      <c r="Q274" s="9">
        <f>(Table1[[#This Row],[Linear Features (km)]]*0.4)*100</f>
        <v>1407.9999999999998</v>
      </c>
      <c r="R274" s="31">
        <v>169.29000000000002</v>
      </c>
      <c r="S274" s="18">
        <f>Table1[[#This Row],[ATG (ha)]]/Table1[[#This Row],[Linear Area (ha)]]</f>
        <v>0.12023437500000003</v>
      </c>
      <c r="T274" s="2" t="s">
        <v>22</v>
      </c>
      <c r="U274" s="2" t="s">
        <v>22</v>
      </c>
      <c r="V274" s="31">
        <v>169.29000000000002</v>
      </c>
      <c r="W274" s="31">
        <v>67.716000000000008</v>
      </c>
      <c r="X274" s="10">
        <v>480.43209999999999</v>
      </c>
      <c r="Y274" s="10">
        <f>Table1[[#This Row],[Raw Terrestrial Score]]/Table1[[#This Row],[Summed Raw Scores]]</f>
        <v>0.54671643835990569</v>
      </c>
      <c r="Z274" s="10">
        <v>398.32709999999997</v>
      </c>
      <c r="AA274" s="10">
        <f>Table1[[#This Row],[Raw Freshwater Score]]/Table1[[#This Row],[Summed Raw Scores]]</f>
        <v>0.45328356164009431</v>
      </c>
      <c r="AB274" s="10">
        <f>Table1[[#This Row],[Raw Terrestrial Score]]+Table1[[#This Row],[Raw Freshwater Score]]</f>
        <v>878.75919999999996</v>
      </c>
      <c r="AC274" s="11">
        <f>Table1[[#This Row],[Terrestrial % of Summed Score]]*Table1[[#This Row],[Scaled Summed Score]]</f>
        <v>5.9033224736168365E-2</v>
      </c>
      <c r="AD274" s="11">
        <f>Table1[[#This Row],[Freshwater % of Summed Score]]*Table1[[#This Row],[Scaled Summed Score]]</f>
        <v>4.8944550567720617E-2</v>
      </c>
      <c r="AE274" s="18">
        <f>Table1[[#This Row],[Summed Raw Scores]]/MAX(Table1[Summed Raw Scores])</f>
        <v>0.10797777530388898</v>
      </c>
    </row>
    <row r="275" spans="1:31" x14ac:dyDescent="0.3">
      <c r="A275" s="8" t="s">
        <v>345</v>
      </c>
      <c r="B275" s="8" t="s">
        <v>58</v>
      </c>
      <c r="C275" s="8" t="s">
        <v>25</v>
      </c>
      <c r="D275" s="8"/>
      <c r="E275" s="29">
        <v>49.841985280000003</v>
      </c>
      <c r="F275" s="29">
        <v>-120.4810105</v>
      </c>
      <c r="G275" s="29">
        <v>33.097846150000002</v>
      </c>
      <c r="H275" s="8" t="s">
        <v>22</v>
      </c>
      <c r="I275" s="8" t="s">
        <v>22</v>
      </c>
      <c r="J275" s="29">
        <v>60.037937679999999</v>
      </c>
      <c r="K275" s="29">
        <v>140.31097510000001</v>
      </c>
      <c r="L275" s="9" t="s">
        <v>22</v>
      </c>
      <c r="M275" s="29">
        <v>0.3</v>
      </c>
      <c r="N275" s="29">
        <v>39</v>
      </c>
      <c r="O275" s="9">
        <f>Table1[[#This Row],[R1 Length (km)]]+Table1[[#This Row],[T1 Length (km)]]</f>
        <v>39.299999999999997</v>
      </c>
      <c r="P275" s="30">
        <v>69</v>
      </c>
      <c r="Q275" s="9">
        <f>(Table1[[#This Row],[Linear Features (km)]]*0.4)*100</f>
        <v>1572</v>
      </c>
      <c r="R275" s="29">
        <v>134.46</v>
      </c>
      <c r="S275" s="3">
        <f>Table1[[#This Row],[ATG (ha)]]/Table1[[#This Row],[Linear Area (ha)]]</f>
        <v>8.553435114503817E-2</v>
      </c>
      <c r="T275" s="2" t="s">
        <v>22</v>
      </c>
      <c r="U275" s="2" t="s">
        <v>22</v>
      </c>
      <c r="V275" s="29">
        <v>134.46</v>
      </c>
      <c r="W275" s="29">
        <v>53.783999999999999</v>
      </c>
      <c r="X275" s="10">
        <v>604.08889999999997</v>
      </c>
      <c r="Y275" s="10">
        <f>Table1[[#This Row],[Raw Terrestrial Score]]/Table1[[#This Row],[Summed Raw Scores]]</f>
        <v>0.535343037922409</v>
      </c>
      <c r="Z275" s="10">
        <v>524.32569999999998</v>
      </c>
      <c r="AA275" s="10">
        <f>Table1[[#This Row],[Raw Freshwater Score]]/Table1[[#This Row],[Summed Raw Scores]]</f>
        <v>0.46465696207759094</v>
      </c>
      <c r="AB275" s="10">
        <f>Table1[[#This Row],[Raw Terrestrial Score]]+Table1[[#This Row],[Raw Freshwater Score]]</f>
        <v>1128.4146000000001</v>
      </c>
      <c r="AC275" s="11">
        <f>Table1[[#This Row],[Terrestrial % of Summed Score]]*Table1[[#This Row],[Scaled Summed Score]]</f>
        <v>7.4227587611911741E-2</v>
      </c>
      <c r="AD275" s="11">
        <f>Table1[[#This Row],[Freshwater % of Summed Score]]*Table1[[#This Row],[Scaled Summed Score]]</f>
        <v>6.4426662754318034E-2</v>
      </c>
      <c r="AE275" s="18">
        <f>Table1[[#This Row],[Summed Raw Scores]]/MAX(Table1[Summed Raw Scores])</f>
        <v>0.13865425036622978</v>
      </c>
    </row>
    <row r="276" spans="1:31" x14ac:dyDescent="0.3">
      <c r="A276" s="8" t="s">
        <v>389</v>
      </c>
      <c r="B276" s="8" t="s">
        <v>58</v>
      </c>
      <c r="C276" s="8" t="s">
        <v>25</v>
      </c>
      <c r="D276" s="8"/>
      <c r="E276" s="29">
        <v>49.926839600000001</v>
      </c>
      <c r="F276" s="29">
        <v>-120.2570228</v>
      </c>
      <c r="G276" s="29">
        <v>26.119384620000002</v>
      </c>
      <c r="H276" s="8" t="s">
        <v>22</v>
      </c>
      <c r="I276" s="8" t="s">
        <v>22</v>
      </c>
      <c r="J276" s="29">
        <v>47.650113279999999</v>
      </c>
      <c r="K276" s="29">
        <v>158.17052279999999</v>
      </c>
      <c r="L276" s="9" t="s">
        <v>22</v>
      </c>
      <c r="M276" s="29">
        <v>0</v>
      </c>
      <c r="N276" s="29">
        <v>46.1</v>
      </c>
      <c r="O276" s="9">
        <f>Table1[[#This Row],[R1 Length (km)]]+Table1[[#This Row],[T1 Length (km)]]</f>
        <v>46.1</v>
      </c>
      <c r="P276" s="30">
        <v>69</v>
      </c>
      <c r="Q276" s="9">
        <f>(Table1[[#This Row],[Linear Features (km)]]*0.4)*100</f>
        <v>1844.0000000000002</v>
      </c>
      <c r="R276" s="29">
        <v>106.11</v>
      </c>
      <c r="S276" s="3">
        <f>Table1[[#This Row],[ATG (ha)]]/Table1[[#This Row],[Linear Area (ha)]]</f>
        <v>5.7543383947939258E-2</v>
      </c>
      <c r="T276" s="2" t="s">
        <v>22</v>
      </c>
      <c r="U276" s="2" t="s">
        <v>22</v>
      </c>
      <c r="V276" s="29">
        <v>106.11</v>
      </c>
      <c r="W276" s="29">
        <v>42.444000000000003</v>
      </c>
      <c r="X276" s="10">
        <v>490.70179999999999</v>
      </c>
      <c r="Y276" s="10">
        <f>Table1[[#This Row],[Raw Terrestrial Score]]/Table1[[#This Row],[Summed Raw Scores]]</f>
        <v>0.5467776174333504</v>
      </c>
      <c r="Z276" s="10">
        <v>406.74130000000002</v>
      </c>
      <c r="AA276" s="10">
        <f>Table1[[#This Row],[Raw Freshwater Score]]/Table1[[#This Row],[Summed Raw Scores]]</f>
        <v>0.45322238256664965</v>
      </c>
      <c r="AB276" s="10">
        <f>Table1[[#This Row],[Raw Terrestrial Score]]+Table1[[#This Row],[Raw Freshwater Score]]</f>
        <v>897.44309999999996</v>
      </c>
      <c r="AC276" s="11">
        <f>Table1[[#This Row],[Terrestrial % of Summed Score]]*Table1[[#This Row],[Scaled Summed Score]]</f>
        <v>6.0295116912134607E-2</v>
      </c>
      <c r="AD276" s="11">
        <f>Table1[[#This Row],[Freshwater % of Summed Score]]*Table1[[#This Row],[Scaled Summed Score]]</f>
        <v>4.9978447677374763E-2</v>
      </c>
      <c r="AE276" s="18">
        <f>Table1[[#This Row],[Summed Raw Scores]]/MAX(Table1[Summed Raw Scores])</f>
        <v>0.11027356458950936</v>
      </c>
    </row>
    <row r="277" spans="1:31" x14ac:dyDescent="0.3">
      <c r="A277" s="8" t="s">
        <v>394</v>
      </c>
      <c r="B277" s="8" t="s">
        <v>58</v>
      </c>
      <c r="C277" s="8" t="s">
        <v>87</v>
      </c>
      <c r="D277" s="8"/>
      <c r="E277" s="34">
        <v>50.048964290000001</v>
      </c>
      <c r="F277" s="34">
        <v>-119.4359688</v>
      </c>
      <c r="G277" s="34">
        <v>73.572923079999995</v>
      </c>
      <c r="H277" s="8" t="s">
        <v>22</v>
      </c>
      <c r="I277" s="8" t="s">
        <v>22</v>
      </c>
      <c r="J277" s="34">
        <v>124.5603943</v>
      </c>
      <c r="K277" s="34">
        <v>159.50222299999999</v>
      </c>
      <c r="L277" s="9" t="s">
        <v>22</v>
      </c>
      <c r="M277" s="34">
        <v>0.3</v>
      </c>
      <c r="N277" s="34">
        <v>29.4</v>
      </c>
      <c r="O277" s="9">
        <f>Table1[[#This Row],[R1 Length (km)]]+Table1[[#This Row],[T1 Length (km)]]</f>
        <v>29.7</v>
      </c>
      <c r="P277" s="38">
        <v>130</v>
      </c>
      <c r="Q277" s="9">
        <f>(Table1[[#This Row],[Linear Features (km)]]*0.4)*100</f>
        <v>1188</v>
      </c>
      <c r="R277" s="34">
        <v>298.89</v>
      </c>
      <c r="S277" s="3">
        <f>Table1[[#This Row],[ATG (ha)]]/Table1[[#This Row],[Linear Area (ha)]]</f>
        <v>0.25159090909090909</v>
      </c>
      <c r="T277" s="2" t="s">
        <v>22</v>
      </c>
      <c r="U277" s="2" t="s">
        <v>22</v>
      </c>
      <c r="V277" s="34">
        <v>298.89</v>
      </c>
      <c r="W277" s="34">
        <v>119.556</v>
      </c>
      <c r="X277" s="10">
        <v>559.9914</v>
      </c>
      <c r="Y277" s="10">
        <f>Table1[[#This Row],[Raw Terrestrial Score]]/Table1[[#This Row],[Summed Raw Scores]]</f>
        <v>0.71572619013992789</v>
      </c>
      <c r="Z277" s="10">
        <v>222.4187</v>
      </c>
      <c r="AA277" s="10">
        <f>Table1[[#This Row],[Raw Freshwater Score]]/Table1[[#This Row],[Summed Raw Scores]]</f>
        <v>0.28427380986007206</v>
      </c>
      <c r="AB277" s="10">
        <f>Table1[[#This Row],[Raw Terrestrial Score]]+Table1[[#This Row],[Raw Freshwater Score]]</f>
        <v>782.41010000000006</v>
      </c>
      <c r="AC277" s="11">
        <f>Table1[[#This Row],[Terrestrial % of Summed Score]]*Table1[[#This Row],[Scaled Summed Score]]</f>
        <v>6.8809095325898406E-2</v>
      </c>
      <c r="AD277" s="11">
        <f>Table1[[#This Row],[Freshwater % of Summed Score]]*Table1[[#This Row],[Scaled Summed Score]]</f>
        <v>2.732975815443308E-2</v>
      </c>
      <c r="AE277" s="18">
        <f>Table1[[#This Row],[Summed Raw Scores]]/MAX(Table1[Summed Raw Scores])</f>
        <v>9.6138853480331493E-2</v>
      </c>
    </row>
    <row r="278" spans="1:31" x14ac:dyDescent="0.3">
      <c r="A278" s="8" t="s">
        <v>90</v>
      </c>
      <c r="B278" s="8" t="s">
        <v>58</v>
      </c>
      <c r="C278" s="8" t="s">
        <v>40</v>
      </c>
      <c r="D278" s="8"/>
      <c r="E278" s="33">
        <v>50.001386070000002</v>
      </c>
      <c r="F278" s="33">
        <v>-119.4152191</v>
      </c>
      <c r="G278" s="33">
        <v>126.011076923</v>
      </c>
      <c r="H278" s="9" t="s">
        <v>22</v>
      </c>
      <c r="I278" s="9" t="s">
        <v>22</v>
      </c>
      <c r="J278" s="33">
        <v>213.88440531431118</v>
      </c>
      <c r="K278" s="33">
        <v>104.06496196270399</v>
      </c>
      <c r="L278" s="9" t="s">
        <v>22</v>
      </c>
      <c r="M278" s="33">
        <v>0.3</v>
      </c>
      <c r="N278" s="33">
        <v>25.9</v>
      </c>
      <c r="O278" s="9">
        <f>Table1[[#This Row],[R1 Length (km)]]+Table1[[#This Row],[T1 Length (km)]]</f>
        <v>26.2</v>
      </c>
      <c r="P278" s="36">
        <v>130</v>
      </c>
      <c r="Q278" s="9">
        <f>(Table1[[#This Row],[Linear Features (km)]]*0.4)*100</f>
        <v>1048</v>
      </c>
      <c r="R278" s="33">
        <v>333.72</v>
      </c>
      <c r="S278" s="18">
        <f>Table1[[#This Row],[ATG (ha)]]/Table1[[#This Row],[Linear Area (ha)]]</f>
        <v>0.31843511450381684</v>
      </c>
      <c r="T278" s="2" t="s">
        <v>22</v>
      </c>
      <c r="U278" s="2" t="s">
        <v>22</v>
      </c>
      <c r="V278" s="33">
        <v>333.72</v>
      </c>
      <c r="W278" s="33">
        <v>133.48800000000003</v>
      </c>
      <c r="X278" s="10">
        <v>682.10040000000004</v>
      </c>
      <c r="Y278" s="10">
        <f>Table1[[#This Row],[Raw Terrestrial Score]]/Table1[[#This Row],[Summed Raw Scores]]</f>
        <v>0.84022038126347831</v>
      </c>
      <c r="Z278" s="10">
        <v>129.71090000000001</v>
      </c>
      <c r="AA278" s="10">
        <f>Table1[[#This Row],[Raw Freshwater Score]]/Table1[[#This Row],[Summed Raw Scores]]</f>
        <v>0.15977961873652166</v>
      </c>
      <c r="AB278" s="10">
        <f>Table1[[#This Row],[Raw Terrestrial Score]]+Table1[[#This Row],[Raw Freshwater Score]]</f>
        <v>811.81130000000007</v>
      </c>
      <c r="AC278" s="11">
        <f>Table1[[#This Row],[Terrestrial % of Summed Score]]*Table1[[#This Row],[Scaled Summed Score]]</f>
        <v>8.3813271856377491E-2</v>
      </c>
      <c r="AD278" s="11">
        <f>Table1[[#This Row],[Freshwater % of Summed Score]]*Table1[[#This Row],[Scaled Summed Score]]</f>
        <v>1.5938262057074583E-2</v>
      </c>
      <c r="AE278" s="18">
        <f>Table1[[#This Row],[Summed Raw Scores]]/MAX(Table1[Summed Raw Scores])</f>
        <v>9.9751533913452081E-2</v>
      </c>
    </row>
    <row r="279" spans="1:31" x14ac:dyDescent="0.3">
      <c r="A279" s="8" t="s">
        <v>301</v>
      </c>
      <c r="B279" s="8" t="s">
        <v>58</v>
      </c>
      <c r="C279" s="8" t="s">
        <v>40</v>
      </c>
      <c r="D279" s="8"/>
      <c r="E279" s="34">
        <v>49.87013486</v>
      </c>
      <c r="F279" s="34">
        <v>-119.61992739999999</v>
      </c>
      <c r="G279" s="34">
        <v>46.855384620000002</v>
      </c>
      <c r="H279" s="8" t="s">
        <v>22</v>
      </c>
      <c r="I279" s="8" t="s">
        <v>22</v>
      </c>
      <c r="J279" s="34">
        <v>78.681712860000005</v>
      </c>
      <c r="K279" s="34">
        <v>128.353951</v>
      </c>
      <c r="L279" s="9" t="s">
        <v>22</v>
      </c>
      <c r="M279" s="34">
        <v>0</v>
      </c>
      <c r="N279" s="34">
        <v>2.8</v>
      </c>
      <c r="O279" s="9">
        <f>Table1[[#This Row],[R1 Length (km)]]+Table1[[#This Row],[T1 Length (km)]]</f>
        <v>2.8</v>
      </c>
      <c r="P279" s="38">
        <v>130</v>
      </c>
      <c r="Q279" s="9">
        <f>(Table1[[#This Row],[Linear Features (km)]]*0.4)*100</f>
        <v>111.99999999999999</v>
      </c>
      <c r="R279" s="34">
        <v>190.35</v>
      </c>
      <c r="S279" s="3">
        <f>Table1[[#This Row],[ATG (ha)]]/Table1[[#This Row],[Linear Area (ha)]]</f>
        <v>1.6995535714285717</v>
      </c>
      <c r="T279" s="2" t="s">
        <v>22</v>
      </c>
      <c r="U279" s="2" t="s">
        <v>22</v>
      </c>
      <c r="V279" s="34">
        <v>190.35</v>
      </c>
      <c r="W279" s="34">
        <v>76.14</v>
      </c>
      <c r="X279" s="10">
        <v>97.53416</v>
      </c>
      <c r="Y279" s="10">
        <f>Table1[[#This Row],[Raw Terrestrial Score]]/Table1[[#This Row],[Summed Raw Scores]]</f>
        <v>0.76413271854336962</v>
      </c>
      <c r="Z279" s="10">
        <v>30.106179999999998</v>
      </c>
      <c r="AA279" s="10">
        <f>Table1[[#This Row],[Raw Freshwater Score]]/Table1[[#This Row],[Summed Raw Scores]]</f>
        <v>0.23586728145663041</v>
      </c>
      <c r="AB279" s="10">
        <f>Table1[[#This Row],[Raw Terrestrial Score]]+Table1[[#This Row],[Raw Freshwater Score]]</f>
        <v>127.64033999999999</v>
      </c>
      <c r="AC279" s="11">
        <f>Table1[[#This Row],[Terrestrial % of Summed Score]]*Table1[[#This Row],[Scaled Summed Score]]</f>
        <v>1.1984536392829297E-2</v>
      </c>
      <c r="AD279" s="11">
        <f>Table1[[#This Row],[Freshwater % of Summed Score]]*Table1[[#This Row],[Scaled Summed Score]]</f>
        <v>3.6993050420393173E-3</v>
      </c>
      <c r="AE279" s="18">
        <f>Table1[[#This Row],[Summed Raw Scores]]/MAX(Table1[Summed Raw Scores])</f>
        <v>1.5683841434868614E-2</v>
      </c>
    </row>
    <row r="280" spans="1:31" x14ac:dyDescent="0.3">
      <c r="A280" s="8" t="s">
        <v>350</v>
      </c>
      <c r="B280" s="8" t="s">
        <v>58</v>
      </c>
      <c r="C280" s="8" t="s">
        <v>40</v>
      </c>
      <c r="D280" s="8"/>
      <c r="E280" s="34">
        <v>49.941805389999999</v>
      </c>
      <c r="F280" s="34">
        <v>-119.47664109999999</v>
      </c>
      <c r="G280" s="34">
        <v>14.754461539999999</v>
      </c>
      <c r="H280" s="8" t="s">
        <v>22</v>
      </c>
      <c r="I280" s="8" t="s">
        <v>22</v>
      </c>
      <c r="J280" s="34">
        <v>25.310900440000001</v>
      </c>
      <c r="K280" s="34">
        <v>141.08403999999999</v>
      </c>
      <c r="L280" s="9" t="s">
        <v>22</v>
      </c>
      <c r="M280" s="34">
        <v>0.9</v>
      </c>
      <c r="N280" s="34">
        <v>16</v>
      </c>
      <c r="O280" s="9">
        <f>Table1[[#This Row],[R1 Length (km)]]+Table1[[#This Row],[T1 Length (km)]]</f>
        <v>16.899999999999999</v>
      </c>
      <c r="P280" s="38">
        <v>25</v>
      </c>
      <c r="Q280" s="9">
        <f>(Table1[[#This Row],[Linear Features (km)]]*0.4)*100</f>
        <v>676</v>
      </c>
      <c r="R280" s="34">
        <v>59.94</v>
      </c>
      <c r="S280" s="3">
        <f>Table1[[#This Row],[ATG (ha)]]/Table1[[#This Row],[Linear Area (ha)]]</f>
        <v>8.8668639053254436E-2</v>
      </c>
      <c r="T280" s="2" t="s">
        <v>22</v>
      </c>
      <c r="U280" s="2" t="s">
        <v>22</v>
      </c>
      <c r="V280" s="34">
        <v>59.94</v>
      </c>
      <c r="W280" s="34">
        <v>23.975999999999999</v>
      </c>
      <c r="X280" s="10">
        <v>392.58339999999998</v>
      </c>
      <c r="Y280" s="10">
        <f>Table1[[#This Row],[Raw Terrestrial Score]]/Table1[[#This Row],[Summed Raw Scores]]</f>
        <v>0.74860222275232968</v>
      </c>
      <c r="Z280" s="10">
        <v>131.83850000000001</v>
      </c>
      <c r="AA280" s="10">
        <f>Table1[[#This Row],[Raw Freshwater Score]]/Table1[[#This Row],[Summed Raw Scores]]</f>
        <v>0.25139777724767026</v>
      </c>
      <c r="AB280" s="10">
        <f>Table1[[#This Row],[Raw Terrestrial Score]]+Table1[[#This Row],[Raw Freshwater Score]]</f>
        <v>524.42190000000005</v>
      </c>
      <c r="AC280" s="11">
        <f>Table1[[#This Row],[Terrestrial % of Summed Score]]*Table1[[#This Row],[Scaled Summed Score]]</f>
        <v>4.8238791870670344E-2</v>
      </c>
      <c r="AD280" s="11">
        <f>Table1[[#This Row],[Freshwater % of Summed Score]]*Table1[[#This Row],[Scaled Summed Score]]</f>
        <v>1.6199691484768266E-2</v>
      </c>
      <c r="AE280" s="18">
        <f>Table1[[#This Row],[Summed Raw Scores]]/MAX(Table1[Summed Raw Scores])</f>
        <v>6.4438483355438614E-2</v>
      </c>
    </row>
    <row r="281" spans="1:31" x14ac:dyDescent="0.3">
      <c r="A281" s="8" t="s">
        <v>281</v>
      </c>
      <c r="B281" s="8" t="s">
        <v>58</v>
      </c>
      <c r="C281" s="8" t="s">
        <v>40</v>
      </c>
      <c r="D281" s="8"/>
      <c r="E281" s="34">
        <v>49.882209920000001</v>
      </c>
      <c r="F281" s="34">
        <v>-119.53793</v>
      </c>
      <c r="G281" s="34">
        <v>15.35261538</v>
      </c>
      <c r="H281" s="8" t="s">
        <v>22</v>
      </c>
      <c r="I281" s="8" t="s">
        <v>22</v>
      </c>
      <c r="J281" s="34">
        <v>25.777106369999998</v>
      </c>
      <c r="K281" s="34">
        <v>124.2695628</v>
      </c>
      <c r="L281" s="9" t="s">
        <v>22</v>
      </c>
      <c r="M281" s="34">
        <v>0</v>
      </c>
      <c r="N281" s="34">
        <v>7.1</v>
      </c>
      <c r="O281" s="9">
        <f>Table1[[#This Row],[R1 Length (km)]]+Table1[[#This Row],[T1 Length (km)]]</f>
        <v>7.1</v>
      </c>
      <c r="P281" s="38">
        <v>25</v>
      </c>
      <c r="Q281" s="9">
        <f>(Table1[[#This Row],[Linear Features (km)]]*0.4)*100</f>
        <v>284</v>
      </c>
      <c r="R281" s="34">
        <v>62.37</v>
      </c>
      <c r="S281" s="3">
        <f>Table1[[#This Row],[ATG (ha)]]/Table1[[#This Row],[Linear Area (ha)]]</f>
        <v>0.21961267605633802</v>
      </c>
      <c r="T281" s="2" t="s">
        <v>22</v>
      </c>
      <c r="U281" s="2" t="s">
        <v>22</v>
      </c>
      <c r="V281" s="34">
        <v>62.37</v>
      </c>
      <c r="W281" s="34">
        <v>24.948</v>
      </c>
      <c r="X281" s="10">
        <v>57.412410000000001</v>
      </c>
      <c r="Y281" s="10">
        <f>Table1[[#This Row],[Raw Terrestrial Score]]/Table1[[#This Row],[Summed Raw Scores]]</f>
        <v>0.85165936064294401</v>
      </c>
      <c r="Z281" s="10">
        <v>10</v>
      </c>
      <c r="AA281" s="10">
        <f>Table1[[#This Row],[Raw Freshwater Score]]/Table1[[#This Row],[Summed Raw Scores]]</f>
        <v>0.14834063935705608</v>
      </c>
      <c r="AB281" s="10">
        <f>Table1[[#This Row],[Raw Terrestrial Score]]+Table1[[#This Row],[Raw Freshwater Score]]</f>
        <v>67.412409999999994</v>
      </c>
      <c r="AC281" s="11">
        <f>Table1[[#This Row],[Terrestrial % of Summed Score]]*Table1[[#This Row],[Scaled Summed Score]]</f>
        <v>7.0545654675760435E-3</v>
      </c>
      <c r="AD281" s="11">
        <f>Table1[[#This Row],[Freshwater % of Summed Score]]*Table1[[#This Row],[Scaled Summed Score]]</f>
        <v>1.2287527152363127E-3</v>
      </c>
      <c r="AE281" s="18">
        <f>Table1[[#This Row],[Summed Raw Scores]]/MAX(Table1[Summed Raw Scores])</f>
        <v>8.2833181828123551E-3</v>
      </c>
    </row>
    <row r="282" spans="1:31" x14ac:dyDescent="0.3">
      <c r="A282" s="8" t="s">
        <v>338</v>
      </c>
      <c r="B282" s="8" t="s">
        <v>58</v>
      </c>
      <c r="C282" s="8" t="s">
        <v>87</v>
      </c>
      <c r="D282" s="8"/>
      <c r="E282" s="34">
        <v>49.894244180000001</v>
      </c>
      <c r="F282" s="34">
        <v>-119.4558966</v>
      </c>
      <c r="G282" s="34">
        <v>31.702153849999998</v>
      </c>
      <c r="H282" s="8" t="s">
        <v>22</v>
      </c>
      <c r="I282" s="8" t="s">
        <v>22</v>
      </c>
      <c r="J282" s="34">
        <v>54.132871870000002</v>
      </c>
      <c r="K282" s="34">
        <v>137.74384710000001</v>
      </c>
      <c r="L282" s="9" t="s">
        <v>22</v>
      </c>
      <c r="M282" s="34">
        <v>0</v>
      </c>
      <c r="N282" s="34">
        <v>18.899999999999999</v>
      </c>
      <c r="O282" s="9">
        <f>Table1[[#This Row],[R1 Length (km)]]+Table1[[#This Row],[T1 Length (km)]]</f>
        <v>18.899999999999999</v>
      </c>
      <c r="P282" s="38">
        <v>69</v>
      </c>
      <c r="Q282" s="9">
        <f>(Table1[[#This Row],[Linear Features (km)]]*0.4)*100</f>
        <v>756</v>
      </c>
      <c r="R282" s="34">
        <v>128.79</v>
      </c>
      <c r="S282" s="3">
        <f>Table1[[#This Row],[ATG (ha)]]/Table1[[#This Row],[Linear Area (ha)]]</f>
        <v>0.17035714285714285</v>
      </c>
      <c r="T282" s="2" t="s">
        <v>22</v>
      </c>
      <c r="U282" s="2" t="s">
        <v>22</v>
      </c>
      <c r="V282" s="34">
        <v>128.79</v>
      </c>
      <c r="W282" s="34">
        <v>51.515999999999998</v>
      </c>
      <c r="X282" s="10">
        <v>430.67039999999997</v>
      </c>
      <c r="Y282" s="10">
        <f>Table1[[#This Row],[Raw Terrestrial Score]]/Table1[[#This Row],[Summed Raw Scores]]</f>
        <v>0.83678874868265207</v>
      </c>
      <c r="Z282" s="10">
        <v>84</v>
      </c>
      <c r="AA282" s="10">
        <f>Table1[[#This Row],[Raw Freshwater Score]]/Table1[[#This Row],[Summed Raw Scores]]</f>
        <v>0.16321125131734796</v>
      </c>
      <c r="AB282" s="10">
        <f>Table1[[#This Row],[Raw Terrestrial Score]]+Table1[[#This Row],[Raw Freshwater Score]]</f>
        <v>514.67039999999997</v>
      </c>
      <c r="AC282" s="11">
        <f>Table1[[#This Row],[Terrestrial % of Summed Score]]*Table1[[#This Row],[Scaled Summed Score]]</f>
        <v>5.2918742337190877E-2</v>
      </c>
      <c r="AD282" s="11">
        <f>Table1[[#This Row],[Freshwater % of Summed Score]]*Table1[[#This Row],[Scaled Summed Score]]</f>
        <v>1.0321522807985024E-2</v>
      </c>
      <c r="AE282" s="18">
        <f>Table1[[#This Row],[Summed Raw Scores]]/MAX(Table1[Summed Raw Scores])</f>
        <v>6.3240265145175903E-2</v>
      </c>
    </row>
    <row r="283" spans="1:31" x14ac:dyDescent="0.3">
      <c r="A283" s="8" t="s">
        <v>360</v>
      </c>
      <c r="B283" s="8" t="s">
        <v>58</v>
      </c>
      <c r="C283" s="8" t="s">
        <v>87</v>
      </c>
      <c r="D283" s="8"/>
      <c r="E283" s="29">
        <v>49.953810519999998</v>
      </c>
      <c r="F283" s="29">
        <v>-119.39450530000001</v>
      </c>
      <c r="G283" s="29">
        <v>215.3353846</v>
      </c>
      <c r="H283" s="8" t="s">
        <v>22</v>
      </c>
      <c r="I283" s="8" t="s">
        <v>22</v>
      </c>
      <c r="J283" s="29">
        <v>363.71438849999998</v>
      </c>
      <c r="K283" s="29">
        <v>142.83881220000001</v>
      </c>
      <c r="L283" s="9" t="s">
        <v>22</v>
      </c>
      <c r="M283" s="29">
        <v>0</v>
      </c>
      <c r="N283" s="29">
        <v>80.7</v>
      </c>
      <c r="O283" s="9">
        <f>Table1[[#This Row],[R1 Length (km)]]+Table1[[#This Row],[T1 Length (km)]]</f>
        <v>80.7</v>
      </c>
      <c r="P283" s="30">
        <v>230</v>
      </c>
      <c r="Q283" s="9">
        <f>(Table1[[#This Row],[Linear Features (km)]]*0.4)*100</f>
        <v>3228</v>
      </c>
      <c r="R283" s="29">
        <v>874.8</v>
      </c>
      <c r="S283" s="3">
        <f>Table1[[#This Row],[ATG (ha)]]/Table1[[#This Row],[Linear Area (ha)]]</f>
        <v>0.27100371747211893</v>
      </c>
      <c r="T283" s="2" t="s">
        <v>22</v>
      </c>
      <c r="U283" s="2" t="s">
        <v>22</v>
      </c>
      <c r="V283" s="29">
        <v>874.8</v>
      </c>
      <c r="W283" s="29">
        <v>349.92</v>
      </c>
      <c r="X283" s="10">
        <v>708.08609999999999</v>
      </c>
      <c r="Y283" s="10">
        <f>Table1[[#This Row],[Raw Terrestrial Score]]/Table1[[#This Row],[Summed Raw Scores]]</f>
        <v>0.70728036620681722</v>
      </c>
      <c r="Z283" s="10">
        <v>293.05309999999997</v>
      </c>
      <c r="AA283" s="10">
        <f>Table1[[#This Row],[Raw Freshwater Score]]/Table1[[#This Row],[Summed Raw Scores]]</f>
        <v>0.29271963379318278</v>
      </c>
      <c r="AB283" s="10">
        <f>Table1[[#This Row],[Raw Terrestrial Score]]+Table1[[#This Row],[Raw Freshwater Score]]</f>
        <v>1001.1392</v>
      </c>
      <c r="AC283" s="11">
        <f>Table1[[#This Row],[Terrestrial % of Summed Score]]*Table1[[#This Row],[Scaled Summed Score]]</f>
        <v>8.7006271799609125E-2</v>
      </c>
      <c r="AD283" s="11">
        <f>Table1[[#This Row],[Freshwater % of Summed Score]]*Table1[[#This Row],[Scaled Summed Score]]</f>
        <v>3.6008979233341863E-2</v>
      </c>
      <c r="AE283" s="18">
        <f>Table1[[#This Row],[Summed Raw Scores]]/MAX(Table1[Summed Raw Scores])</f>
        <v>0.12301525103295098</v>
      </c>
    </row>
    <row r="284" spans="1:31" x14ac:dyDescent="0.3">
      <c r="A284" s="8" t="s">
        <v>286</v>
      </c>
      <c r="B284" s="8" t="s">
        <v>58</v>
      </c>
      <c r="C284" s="8" t="s">
        <v>40</v>
      </c>
      <c r="D284" s="8"/>
      <c r="E284" s="34">
        <v>49.906237609999998</v>
      </c>
      <c r="F284" s="34">
        <v>-119.3738274</v>
      </c>
      <c r="G284" s="34">
        <v>98.695384619999999</v>
      </c>
      <c r="H284" s="8" t="s">
        <v>22</v>
      </c>
      <c r="I284" s="8" t="s">
        <v>22</v>
      </c>
      <c r="J284" s="34">
        <v>166.05871999999999</v>
      </c>
      <c r="K284" s="34">
        <v>125.1196456</v>
      </c>
      <c r="L284" s="9" t="s">
        <v>22</v>
      </c>
      <c r="M284" s="34">
        <v>0</v>
      </c>
      <c r="N284" s="34">
        <v>20.5</v>
      </c>
      <c r="O284" s="9">
        <f>Table1[[#This Row],[R1 Length (km)]]+Table1[[#This Row],[T1 Length (km)]]</f>
        <v>20.5</v>
      </c>
      <c r="P284" s="38">
        <v>130</v>
      </c>
      <c r="Q284" s="9">
        <f>(Table1[[#This Row],[Linear Features (km)]]*0.4)*100</f>
        <v>820.00000000000011</v>
      </c>
      <c r="R284" s="34">
        <v>400.95</v>
      </c>
      <c r="S284" s="3">
        <f>Table1[[#This Row],[ATG (ha)]]/Table1[[#This Row],[Linear Area (ha)]]</f>
        <v>0.48896341463414628</v>
      </c>
      <c r="T284" s="2" t="s">
        <v>22</v>
      </c>
      <c r="U284" s="2" t="s">
        <v>22</v>
      </c>
      <c r="V284" s="34">
        <v>400.95</v>
      </c>
      <c r="W284" s="34">
        <v>160.38</v>
      </c>
      <c r="X284" s="10">
        <v>457.6241</v>
      </c>
      <c r="Y284" s="10">
        <f>Table1[[#This Row],[Raw Terrestrial Score]]/Table1[[#This Row],[Summed Raw Scores]]</f>
        <v>0.83261287123326655</v>
      </c>
      <c r="Z284" s="10">
        <v>92</v>
      </c>
      <c r="AA284" s="10">
        <f>Table1[[#This Row],[Raw Freshwater Score]]/Table1[[#This Row],[Summed Raw Scores]]</f>
        <v>0.16738712876673348</v>
      </c>
      <c r="AB284" s="10">
        <f>Table1[[#This Row],[Raw Terrestrial Score]]+Table1[[#This Row],[Raw Freshwater Score]]</f>
        <v>549.6241</v>
      </c>
      <c r="AC284" s="11">
        <f>Table1[[#This Row],[Terrestrial % of Summed Score]]*Table1[[#This Row],[Scaled Summed Score]]</f>
        <v>5.6230685543257386E-2</v>
      </c>
      <c r="AD284" s="11">
        <f>Table1[[#This Row],[Freshwater % of Summed Score]]*Table1[[#This Row],[Scaled Summed Score]]</f>
        <v>1.1304524980174075E-2</v>
      </c>
      <c r="AE284" s="18">
        <f>Table1[[#This Row],[Summed Raw Scores]]/MAX(Table1[Summed Raw Scores])</f>
        <v>6.7535210523431463E-2</v>
      </c>
    </row>
    <row r="285" spans="1:31" x14ac:dyDescent="0.3">
      <c r="A285" s="8" t="s">
        <v>359</v>
      </c>
      <c r="B285" s="8" t="s">
        <v>58</v>
      </c>
      <c r="C285" s="8" t="s">
        <v>21</v>
      </c>
      <c r="D285" s="8"/>
      <c r="E285" s="34">
        <v>49.064618209999999</v>
      </c>
      <c r="F285" s="34">
        <v>-123.9432068</v>
      </c>
      <c r="G285" s="34">
        <v>34.69292308</v>
      </c>
      <c r="H285" s="8" t="s">
        <v>22</v>
      </c>
      <c r="I285" s="8" t="s">
        <v>22</v>
      </c>
      <c r="J285" s="34">
        <v>55.822275390000001</v>
      </c>
      <c r="K285" s="34">
        <v>142.73011840000001</v>
      </c>
      <c r="L285" s="9" t="s">
        <v>22</v>
      </c>
      <c r="M285" s="34">
        <v>0.8</v>
      </c>
      <c r="N285" s="34">
        <v>3</v>
      </c>
      <c r="O285" s="9">
        <f>Table1[[#This Row],[R1 Length (km)]]+Table1[[#This Row],[T1 Length (km)]]</f>
        <v>3.8</v>
      </c>
      <c r="P285" s="38">
        <v>130</v>
      </c>
      <c r="Q285" s="9">
        <f>(Table1[[#This Row],[Linear Features (km)]]*0.4)*100</f>
        <v>152</v>
      </c>
      <c r="R285" s="34">
        <v>140.94</v>
      </c>
      <c r="S285" s="3">
        <f>Table1[[#This Row],[ATG (ha)]]/Table1[[#This Row],[Linear Area (ha)]]</f>
        <v>0.92723684210526314</v>
      </c>
      <c r="T285" s="2" t="s">
        <v>22</v>
      </c>
      <c r="U285" s="2" t="s">
        <v>22</v>
      </c>
      <c r="V285" s="34">
        <v>140.94</v>
      </c>
      <c r="W285" s="34">
        <v>56.375999999999998</v>
      </c>
      <c r="X285" s="10">
        <v>29.89237</v>
      </c>
      <c r="Y285" s="10">
        <f>Table1[[#This Row],[Raw Terrestrial Score]]/Table1[[#This Row],[Summed Raw Scores]]</f>
        <v>0.243240243474839</v>
      </c>
      <c r="Z285" s="10">
        <v>93</v>
      </c>
      <c r="AA285" s="10">
        <f>Table1[[#This Row],[Raw Freshwater Score]]/Table1[[#This Row],[Summed Raw Scores]]</f>
        <v>0.75675975652516103</v>
      </c>
      <c r="AB285" s="10">
        <f>Table1[[#This Row],[Raw Terrestrial Score]]+Table1[[#This Row],[Raw Freshwater Score]]</f>
        <v>122.89237</v>
      </c>
      <c r="AC285" s="11">
        <f>Table1[[#This Row],[Terrestrial % of Summed Score]]*Table1[[#This Row],[Scaled Summed Score]]</f>
        <v>3.6730330802348496E-3</v>
      </c>
      <c r="AD285" s="11">
        <f>Table1[[#This Row],[Freshwater % of Summed Score]]*Table1[[#This Row],[Scaled Summed Score]]</f>
        <v>1.1427400251697709E-2</v>
      </c>
      <c r="AE285" s="18">
        <f>Table1[[#This Row],[Summed Raw Scores]]/MAX(Table1[Summed Raw Scores])</f>
        <v>1.5100433331932558E-2</v>
      </c>
    </row>
    <row r="286" spans="1:31" x14ac:dyDescent="0.3">
      <c r="A286" s="8" t="s">
        <v>326</v>
      </c>
      <c r="B286" s="8" t="s">
        <v>58</v>
      </c>
      <c r="C286" s="8" t="s">
        <v>32</v>
      </c>
      <c r="D286" s="8"/>
      <c r="E286" s="34">
        <v>49.25994</v>
      </c>
      <c r="F286" s="34">
        <v>-122.8224257</v>
      </c>
      <c r="G286" s="34">
        <v>17.34646154</v>
      </c>
      <c r="H286" s="8" t="s">
        <v>22</v>
      </c>
      <c r="I286" s="8" t="s">
        <v>22</v>
      </c>
      <c r="J286" s="34">
        <v>25.107017670000001</v>
      </c>
      <c r="K286" s="34">
        <v>133.37647190000001</v>
      </c>
      <c r="L286" s="9" t="s">
        <v>22</v>
      </c>
      <c r="M286" s="34">
        <v>0.3</v>
      </c>
      <c r="N286" s="34">
        <v>0</v>
      </c>
      <c r="O286" s="9">
        <f>Table1[[#This Row],[R1 Length (km)]]+Table1[[#This Row],[T1 Length (km)]]</f>
        <v>0.3</v>
      </c>
      <c r="P286" s="38">
        <v>25</v>
      </c>
      <c r="Q286" s="9">
        <f>(Table1[[#This Row],[Linear Features (km)]]*0.4)*100</f>
        <v>12</v>
      </c>
      <c r="R286" s="34">
        <v>70.47</v>
      </c>
      <c r="S286" s="3">
        <f>Table1[[#This Row],[ATG (ha)]]/Table1[[#This Row],[Linear Area (ha)]]</f>
        <v>5.8724999999999996</v>
      </c>
      <c r="T286" s="2" t="s">
        <v>22</v>
      </c>
      <c r="U286" s="2" t="s">
        <v>22</v>
      </c>
      <c r="V286" s="34">
        <v>70.47</v>
      </c>
      <c r="W286" s="34">
        <v>28.187999999999999</v>
      </c>
      <c r="X286" s="10">
        <v>20.181059999999999</v>
      </c>
      <c r="Y286" s="10">
        <f>Table1[[#This Row],[Raw Terrestrial Score]]/Table1[[#This Row],[Summed Raw Scores]]</f>
        <v>0.27576889430133972</v>
      </c>
      <c r="Z286" s="10">
        <v>53</v>
      </c>
      <c r="AA286" s="10">
        <f>Table1[[#This Row],[Raw Freshwater Score]]/Table1[[#This Row],[Summed Raw Scores]]</f>
        <v>0.72423110569866023</v>
      </c>
      <c r="AB286" s="10">
        <f>Table1[[#This Row],[Raw Terrestrial Score]]+Table1[[#This Row],[Raw Freshwater Score]]</f>
        <v>73.181060000000002</v>
      </c>
      <c r="AC286" s="11">
        <f>Table1[[#This Row],[Terrestrial % of Summed Score]]*Table1[[#This Row],[Scaled Summed Score]]</f>
        <v>2.4797532271346938E-3</v>
      </c>
      <c r="AD286" s="11">
        <f>Table1[[#This Row],[Freshwater % of Summed Score]]*Table1[[#This Row],[Scaled Summed Score]]</f>
        <v>6.5123893907524568E-3</v>
      </c>
      <c r="AE286" s="18">
        <f>Table1[[#This Row],[Summed Raw Scores]]/MAX(Table1[Summed Raw Scores])</f>
        <v>8.992142617887151E-3</v>
      </c>
    </row>
    <row r="287" spans="1:31" x14ac:dyDescent="0.3">
      <c r="A287" s="8" t="s">
        <v>269</v>
      </c>
      <c r="B287" s="8" t="s">
        <v>58</v>
      </c>
      <c r="C287" s="8" t="s">
        <v>40</v>
      </c>
      <c r="D287" s="8"/>
      <c r="E287" s="34">
        <v>49.822599660000002</v>
      </c>
      <c r="F287" s="34">
        <v>-119.59908609999999</v>
      </c>
      <c r="G287" s="34">
        <v>16.748307690000001</v>
      </c>
      <c r="H287" s="8" t="s">
        <v>22</v>
      </c>
      <c r="I287" s="8" t="s">
        <v>22</v>
      </c>
      <c r="J287" s="34">
        <v>27.531019149999999</v>
      </c>
      <c r="K287" s="34">
        <v>121.86939649999999</v>
      </c>
      <c r="L287" s="9" t="s">
        <v>22</v>
      </c>
      <c r="M287" s="34">
        <v>0</v>
      </c>
      <c r="N287" s="34">
        <v>3.6</v>
      </c>
      <c r="O287" s="9">
        <f>Table1[[#This Row],[R1 Length (km)]]+Table1[[#This Row],[T1 Length (km)]]</f>
        <v>3.6</v>
      </c>
      <c r="P287" s="38">
        <v>25</v>
      </c>
      <c r="Q287" s="9">
        <f>(Table1[[#This Row],[Linear Features (km)]]*0.4)*100</f>
        <v>144.00000000000003</v>
      </c>
      <c r="R287" s="34">
        <v>68.040000000000006</v>
      </c>
      <c r="S287" s="3">
        <f>Table1[[#This Row],[ATG (ha)]]/Table1[[#This Row],[Linear Area (ha)]]</f>
        <v>0.47249999999999998</v>
      </c>
      <c r="T287" s="2" t="s">
        <v>22</v>
      </c>
      <c r="U287" s="2" t="s">
        <v>22</v>
      </c>
      <c r="V287" s="34">
        <v>68.040000000000006</v>
      </c>
      <c r="W287" s="34">
        <v>27.216000000000001</v>
      </c>
      <c r="X287" s="10">
        <v>118.9764</v>
      </c>
      <c r="Y287" s="10">
        <f>Table1[[#This Row],[Raw Terrestrial Score]]/Table1[[#This Row],[Summed Raw Scores]]</f>
        <v>0.76278462639219768</v>
      </c>
      <c r="Z287" s="10">
        <v>37</v>
      </c>
      <c r="AA287" s="10">
        <f>Table1[[#This Row],[Raw Freshwater Score]]/Table1[[#This Row],[Summed Raw Scores]]</f>
        <v>0.23721537360780218</v>
      </c>
      <c r="AB287" s="10">
        <f>Table1[[#This Row],[Raw Terrestrial Score]]+Table1[[#This Row],[Raw Freshwater Score]]</f>
        <v>155.97640000000001</v>
      </c>
      <c r="AC287" s="11">
        <f>Table1[[#This Row],[Terrestrial % of Summed Score]]*Table1[[#This Row],[Scaled Summed Score]]</f>
        <v>1.4619257454904163E-2</v>
      </c>
      <c r="AD287" s="11">
        <f>Table1[[#This Row],[Freshwater % of Summed Score]]*Table1[[#This Row],[Scaled Summed Score]]</f>
        <v>4.5463850463743566E-3</v>
      </c>
      <c r="AE287" s="18">
        <f>Table1[[#This Row],[Summed Raw Scores]]/MAX(Table1[Summed Raw Scores])</f>
        <v>1.9165642501278522E-2</v>
      </c>
    </row>
    <row r="288" spans="1:31" x14ac:dyDescent="0.3">
      <c r="A288" s="8" t="s">
        <v>91</v>
      </c>
      <c r="B288" s="8" t="s">
        <v>58</v>
      </c>
      <c r="C288" s="8" t="s">
        <v>40</v>
      </c>
      <c r="D288" s="8"/>
      <c r="E288" s="33">
        <v>49.822599660000002</v>
      </c>
      <c r="F288" s="33">
        <v>-119.59908609999999</v>
      </c>
      <c r="G288" s="33">
        <v>105.873230769</v>
      </c>
      <c r="H288" s="9" t="s">
        <v>22</v>
      </c>
      <c r="I288" s="9" t="s">
        <v>22</v>
      </c>
      <c r="J288" s="33">
        <v>177.4225591880429</v>
      </c>
      <c r="K288" s="33">
        <v>99.454599163987098</v>
      </c>
      <c r="L288" s="9" t="s">
        <v>22</v>
      </c>
      <c r="M288" s="33">
        <v>0</v>
      </c>
      <c r="N288" s="33">
        <v>3.6</v>
      </c>
      <c r="O288" s="9">
        <f>Table1[[#This Row],[R1 Length (km)]]+Table1[[#This Row],[T1 Length (km)]]</f>
        <v>3.6</v>
      </c>
      <c r="P288" s="36">
        <v>130</v>
      </c>
      <c r="Q288" s="9">
        <f>(Table1[[#This Row],[Linear Features (km)]]*0.4)*100</f>
        <v>144.00000000000003</v>
      </c>
      <c r="R288" s="33">
        <v>511.92</v>
      </c>
      <c r="S288" s="18">
        <f>Table1[[#This Row],[ATG (ha)]]/Table1[[#This Row],[Linear Area (ha)]]</f>
        <v>3.5549999999999993</v>
      </c>
      <c r="T288" s="2" t="s">
        <v>22</v>
      </c>
      <c r="U288" s="2" t="s">
        <v>22</v>
      </c>
      <c r="V288" s="33">
        <v>511.92</v>
      </c>
      <c r="W288" s="33">
        <v>204.76800000000003</v>
      </c>
      <c r="X288" s="10">
        <v>356.88909999999998</v>
      </c>
      <c r="Y288" s="10">
        <f>Table1[[#This Row],[Raw Terrestrial Score]]/Table1[[#This Row],[Summed Raw Scores]]</f>
        <v>0.74136806423696577</v>
      </c>
      <c r="Z288" s="10">
        <v>124.5035</v>
      </c>
      <c r="AA288" s="10">
        <f>Table1[[#This Row],[Raw Freshwater Score]]/Table1[[#This Row],[Summed Raw Scores]]</f>
        <v>0.25863193576303417</v>
      </c>
      <c r="AB288" s="10">
        <f>Table1[[#This Row],[Raw Terrestrial Score]]+Table1[[#This Row],[Raw Freshwater Score]]</f>
        <v>481.39260000000002</v>
      </c>
      <c r="AC288" s="11">
        <f>Table1[[#This Row],[Terrestrial % of Summed Score]]*Table1[[#This Row],[Scaled Summed Score]]</f>
        <v>4.3852845066324392E-2</v>
      </c>
      <c r="AD288" s="11">
        <f>Table1[[#This Row],[Freshwater % of Summed Score]]*Table1[[#This Row],[Scaled Summed Score]]</f>
        <v>1.5298401368142428E-2</v>
      </c>
      <c r="AE288" s="18">
        <f>Table1[[#This Row],[Summed Raw Scores]]/MAX(Table1[Summed Raw Scores])</f>
        <v>5.9151246434466821E-2</v>
      </c>
    </row>
    <row r="289" spans="1:31" x14ac:dyDescent="0.3">
      <c r="A289" s="8" t="s">
        <v>369</v>
      </c>
      <c r="B289" s="8" t="s">
        <v>58</v>
      </c>
      <c r="C289" s="8" t="s">
        <v>87</v>
      </c>
      <c r="D289" s="8"/>
      <c r="E289" s="29">
        <v>49.846685530000002</v>
      </c>
      <c r="F289" s="29">
        <v>-119.435188</v>
      </c>
      <c r="G289" s="29">
        <v>212.94276919999999</v>
      </c>
      <c r="H289" s="8" t="s">
        <v>22</v>
      </c>
      <c r="I289" s="8" t="s">
        <v>22</v>
      </c>
      <c r="J289" s="29">
        <v>355.43033650000001</v>
      </c>
      <c r="K289" s="29">
        <v>148.2050812</v>
      </c>
      <c r="L289" s="9" t="s">
        <v>22</v>
      </c>
      <c r="M289" s="29">
        <v>0</v>
      </c>
      <c r="N289" s="29">
        <v>94.2</v>
      </c>
      <c r="O289" s="9">
        <f>Table1[[#This Row],[R1 Length (km)]]+Table1[[#This Row],[T1 Length (km)]]</f>
        <v>94.2</v>
      </c>
      <c r="P289" s="30">
        <v>230</v>
      </c>
      <c r="Q289" s="9">
        <f>(Table1[[#This Row],[Linear Features (km)]]*0.4)*100</f>
        <v>3768</v>
      </c>
      <c r="R289" s="29">
        <v>865.08</v>
      </c>
      <c r="S289" s="3">
        <f>Table1[[#This Row],[ATG (ha)]]/Table1[[#This Row],[Linear Area (ha)]]</f>
        <v>0.22958598726114651</v>
      </c>
      <c r="T289" s="2" t="s">
        <v>22</v>
      </c>
      <c r="U289" s="2" t="s">
        <v>22</v>
      </c>
      <c r="V289" s="29">
        <v>865.08</v>
      </c>
      <c r="W289" s="29">
        <v>346.03199999999998</v>
      </c>
      <c r="X289" s="10">
        <v>1139.713</v>
      </c>
      <c r="Y289" s="10">
        <f>Table1[[#This Row],[Raw Terrestrial Score]]/Table1[[#This Row],[Summed Raw Scores]]</f>
        <v>0.76366348721744282</v>
      </c>
      <c r="Z289" s="10">
        <v>352.71530000000001</v>
      </c>
      <c r="AA289" s="10">
        <f>Table1[[#This Row],[Raw Freshwater Score]]/Table1[[#This Row],[Summed Raw Scores]]</f>
        <v>0.23633651278255713</v>
      </c>
      <c r="AB289" s="10">
        <f>Table1[[#This Row],[Raw Terrestrial Score]]+Table1[[#This Row],[Raw Freshwater Score]]</f>
        <v>1492.4283</v>
      </c>
      <c r="AC289" s="11">
        <f>Table1[[#This Row],[Terrestrial % of Summed Score]]*Table1[[#This Row],[Scaled Summed Score]]</f>
        <v>0.14004254433401236</v>
      </c>
      <c r="AD289" s="11">
        <f>Table1[[#This Row],[Freshwater % of Summed Score]]*Table1[[#This Row],[Scaled Summed Score]]</f>
        <v>4.3339988258039058E-2</v>
      </c>
      <c r="AE289" s="18">
        <f>Table1[[#This Row],[Summed Raw Scores]]/MAX(Table1[Summed Raw Scores])</f>
        <v>0.18338253259205142</v>
      </c>
    </row>
    <row r="290" spans="1:31" x14ac:dyDescent="0.3">
      <c r="A290" s="8" t="s">
        <v>334</v>
      </c>
      <c r="B290" s="8" t="s">
        <v>58</v>
      </c>
      <c r="C290" s="8" t="s">
        <v>87</v>
      </c>
      <c r="D290" s="8"/>
      <c r="E290" s="34">
        <v>49.858667279999999</v>
      </c>
      <c r="F290" s="34">
        <v>-119.35318530000001</v>
      </c>
      <c r="G290" s="34">
        <v>38.880000000000003</v>
      </c>
      <c r="H290" s="8" t="s">
        <v>22</v>
      </c>
      <c r="I290" s="8" t="s">
        <v>22</v>
      </c>
      <c r="J290" s="24">
        <v>65.008087320000001</v>
      </c>
      <c r="K290" s="24">
        <v>136.6651502</v>
      </c>
      <c r="L290" s="9" t="s">
        <v>22</v>
      </c>
      <c r="M290" s="34">
        <v>0.3</v>
      </c>
      <c r="N290" s="34">
        <v>23.4</v>
      </c>
      <c r="O290" s="9">
        <f>Table1[[#This Row],[R1 Length (km)]]+Table1[[#This Row],[T1 Length (km)]]</f>
        <v>23.7</v>
      </c>
      <c r="P290" s="38">
        <v>69</v>
      </c>
      <c r="Q290" s="9">
        <f>(Table1[[#This Row],[Linear Features (km)]]*0.4)*100</f>
        <v>948</v>
      </c>
      <c r="R290" s="34">
        <v>157.94999999999999</v>
      </c>
      <c r="S290" s="3">
        <f>Table1[[#This Row],[ATG (ha)]]/Table1[[#This Row],[Linear Area (ha)]]</f>
        <v>0.16661392405063291</v>
      </c>
      <c r="T290" s="2" t="s">
        <v>22</v>
      </c>
      <c r="U290" s="2" t="s">
        <v>22</v>
      </c>
      <c r="V290" s="34">
        <v>157.94999999999999</v>
      </c>
      <c r="W290" s="34">
        <v>63.18</v>
      </c>
      <c r="X290" s="10">
        <v>516.81240000000003</v>
      </c>
      <c r="Y290" s="10">
        <f>Table1[[#This Row],[Raw Terrestrial Score]]/Table1[[#This Row],[Summed Raw Scores]]</f>
        <v>0.82980428777590176</v>
      </c>
      <c r="Z290" s="10">
        <v>106</v>
      </c>
      <c r="AA290" s="10">
        <f>Table1[[#This Row],[Raw Freshwater Score]]/Table1[[#This Row],[Summed Raw Scores]]</f>
        <v>0.17019571222409829</v>
      </c>
      <c r="AB290" s="10">
        <f>Table1[[#This Row],[Raw Terrestrial Score]]+Table1[[#This Row],[Raw Freshwater Score]]</f>
        <v>622.81240000000003</v>
      </c>
      <c r="AC290" s="11">
        <f>Table1[[#This Row],[Terrestrial % of Summed Score]]*Table1[[#This Row],[Scaled Summed Score]]</f>
        <v>6.3503463976779542E-2</v>
      </c>
      <c r="AD290" s="11">
        <f>Table1[[#This Row],[Freshwater % of Summed Score]]*Table1[[#This Row],[Scaled Summed Score]]</f>
        <v>1.3024778781504914E-2</v>
      </c>
      <c r="AE290" s="18">
        <f>Table1[[#This Row],[Summed Raw Scores]]/MAX(Table1[Summed Raw Scores])</f>
        <v>7.6528242758284445E-2</v>
      </c>
    </row>
    <row r="291" spans="1:31" x14ac:dyDescent="0.3">
      <c r="A291" s="8" t="s">
        <v>297</v>
      </c>
      <c r="B291" s="8" t="s">
        <v>58</v>
      </c>
      <c r="C291" s="8" t="s">
        <v>95</v>
      </c>
      <c r="D291" s="8"/>
      <c r="E291" s="34">
        <v>50.276648289999997</v>
      </c>
      <c r="F291" s="34">
        <v>-115.8603701</v>
      </c>
      <c r="G291" s="34">
        <v>14.35569231</v>
      </c>
      <c r="H291" s="8" t="s">
        <v>22</v>
      </c>
      <c r="I291" s="8" t="s">
        <v>22</v>
      </c>
      <c r="J291" s="34">
        <v>24.485010519999999</v>
      </c>
      <c r="K291" s="34">
        <v>127.52933419999999</v>
      </c>
      <c r="L291" s="9" t="s">
        <v>22</v>
      </c>
      <c r="M291" s="34">
        <v>1.7</v>
      </c>
      <c r="N291" s="34">
        <v>6.4</v>
      </c>
      <c r="O291" s="9">
        <f>Table1[[#This Row],[R1 Length (km)]]+Table1[[#This Row],[T1 Length (km)]]</f>
        <v>8.1</v>
      </c>
      <c r="P291" s="38">
        <v>25</v>
      </c>
      <c r="Q291" s="9">
        <f>(Table1[[#This Row],[Linear Features (km)]]*0.4)*100</f>
        <v>324</v>
      </c>
      <c r="R291" s="34">
        <v>58.32</v>
      </c>
      <c r="S291" s="3">
        <f>Table1[[#This Row],[ATG (ha)]]/Table1[[#This Row],[Linear Area (ha)]]</f>
        <v>0.18</v>
      </c>
      <c r="T291" s="2" t="s">
        <v>22</v>
      </c>
      <c r="U291" s="2" t="s">
        <v>22</v>
      </c>
      <c r="V291" s="34">
        <v>58.32</v>
      </c>
      <c r="W291" s="34">
        <v>23.327999999999999</v>
      </c>
      <c r="X291" s="10">
        <v>216.96180000000001</v>
      </c>
      <c r="Y291" s="10">
        <f>Table1[[#This Row],[Raw Terrestrial Score]]/Table1[[#This Row],[Summed Raw Scores]]</f>
        <v>0.53179205769660653</v>
      </c>
      <c r="Z291" s="10">
        <v>191.0206</v>
      </c>
      <c r="AA291" s="10">
        <f>Table1[[#This Row],[Raw Freshwater Score]]/Table1[[#This Row],[Summed Raw Scores]]</f>
        <v>0.46820794230339352</v>
      </c>
      <c r="AB291" s="10">
        <f>Table1[[#This Row],[Raw Terrestrial Score]]+Table1[[#This Row],[Raw Freshwater Score]]</f>
        <v>407.98239999999998</v>
      </c>
      <c r="AC291" s="11">
        <f>Table1[[#This Row],[Terrestrial % of Summed Score]]*Table1[[#This Row],[Scaled Summed Score]]</f>
        <v>2.6659240085255782E-2</v>
      </c>
      <c r="AD291" s="11">
        <f>Table1[[#This Row],[Freshwater % of Summed Score]]*Table1[[#This Row],[Scaled Summed Score]]</f>
        <v>2.3471708091606962E-2</v>
      </c>
      <c r="AE291" s="18">
        <f>Table1[[#This Row],[Summed Raw Scores]]/MAX(Table1[Summed Raw Scores])</f>
        <v>5.0130948176862741E-2</v>
      </c>
    </row>
    <row r="292" spans="1:31" x14ac:dyDescent="0.3">
      <c r="A292" s="8" t="s">
        <v>353</v>
      </c>
      <c r="B292" s="8" t="s">
        <v>58</v>
      </c>
      <c r="C292" s="8" t="s">
        <v>32</v>
      </c>
      <c r="D292" s="8"/>
      <c r="E292" s="34">
        <v>49.212901430000002</v>
      </c>
      <c r="F292" s="34">
        <v>-122.7990886</v>
      </c>
      <c r="G292" s="34">
        <v>14.35569231</v>
      </c>
      <c r="H292" s="8" t="s">
        <v>22</v>
      </c>
      <c r="I292" s="8" t="s">
        <v>22</v>
      </c>
      <c r="J292" s="34">
        <v>20.773970980000001</v>
      </c>
      <c r="K292" s="34">
        <v>141.42138700000001</v>
      </c>
      <c r="L292" s="9" t="s">
        <v>22</v>
      </c>
      <c r="M292" s="34">
        <v>0</v>
      </c>
      <c r="N292" s="34">
        <v>3.7</v>
      </c>
      <c r="O292" s="9">
        <f>Table1[[#This Row],[R1 Length (km)]]+Table1[[#This Row],[T1 Length (km)]]</f>
        <v>3.7</v>
      </c>
      <c r="P292" s="38">
        <v>25</v>
      </c>
      <c r="Q292" s="9">
        <f>(Table1[[#This Row],[Linear Features (km)]]*0.4)*100</f>
        <v>148.00000000000003</v>
      </c>
      <c r="R292" s="34">
        <v>58.32</v>
      </c>
      <c r="S292" s="3">
        <f>Table1[[#This Row],[ATG (ha)]]/Table1[[#This Row],[Linear Area (ha)]]</f>
        <v>0.39405405405405397</v>
      </c>
      <c r="T292" s="2" t="s">
        <v>22</v>
      </c>
      <c r="U292" s="2" t="s">
        <v>22</v>
      </c>
      <c r="V292" s="34">
        <v>58.32</v>
      </c>
      <c r="W292" s="34">
        <v>23.327999999999999</v>
      </c>
      <c r="X292" s="10">
        <v>30.82048</v>
      </c>
      <c r="Y292" s="10">
        <f>Table1[[#This Row],[Raw Terrestrial Score]]/Table1[[#This Row],[Summed Raw Scores]]</f>
        <v>0.30828739019183238</v>
      </c>
      <c r="Z292" s="10">
        <v>69.152730000000005</v>
      </c>
      <c r="AA292" s="10">
        <f>Table1[[#This Row],[Raw Freshwater Score]]/Table1[[#This Row],[Summed Raw Scores]]</f>
        <v>0.69171260980816762</v>
      </c>
      <c r="AB292" s="10">
        <f>Table1[[#This Row],[Raw Terrestrial Score]]+Table1[[#This Row],[Raw Freshwater Score]]</f>
        <v>99.973210000000009</v>
      </c>
      <c r="AC292" s="11">
        <f>Table1[[#This Row],[Terrestrial % of Summed Score]]*Table1[[#This Row],[Scaled Summed Score]]</f>
        <v>3.7870748484886475E-3</v>
      </c>
      <c r="AD292" s="11">
        <f>Table1[[#This Row],[Freshwater % of Summed Score]]*Table1[[#This Row],[Scaled Summed Score]]</f>
        <v>8.4971604753503634E-3</v>
      </c>
      <c r="AE292" s="18">
        <f>Table1[[#This Row],[Summed Raw Scores]]/MAX(Table1[Summed Raw Scores])</f>
        <v>1.228423532383901E-2</v>
      </c>
    </row>
    <row r="293" spans="1:31" x14ac:dyDescent="0.3">
      <c r="A293" s="8" t="s">
        <v>385</v>
      </c>
      <c r="B293" s="8" t="s">
        <v>58</v>
      </c>
      <c r="C293" s="8" t="s">
        <v>32</v>
      </c>
      <c r="D293" s="8"/>
      <c r="E293" s="34">
        <v>49.179494689999999</v>
      </c>
      <c r="F293" s="34">
        <v>-122.69556009999999</v>
      </c>
      <c r="G293" s="34">
        <v>24.723692310000001</v>
      </c>
      <c r="H293" s="8" t="s">
        <v>22</v>
      </c>
      <c r="I293" s="8" t="s">
        <v>22</v>
      </c>
      <c r="J293" s="34">
        <v>36.095815309999999</v>
      </c>
      <c r="K293" s="34">
        <v>156.3236301</v>
      </c>
      <c r="L293" s="9" t="s">
        <v>22</v>
      </c>
      <c r="M293" s="34">
        <v>0</v>
      </c>
      <c r="N293" s="34">
        <v>0</v>
      </c>
      <c r="O293" s="9">
        <f>Table1[[#This Row],[R1 Length (km)]]+Table1[[#This Row],[T1 Length (km)]]</f>
        <v>0</v>
      </c>
      <c r="P293" s="38">
        <v>69</v>
      </c>
      <c r="Q293" s="9">
        <f>(Table1[[#This Row],[Linear Features (km)]]*0.4)*100</f>
        <v>0</v>
      </c>
      <c r="R293" s="34">
        <v>100.44</v>
      </c>
      <c r="S293" s="3" t="e">
        <f>Table1[[#This Row],[ATG (ha)]]/Table1[[#This Row],[Linear Area (ha)]]</f>
        <v>#DIV/0!</v>
      </c>
      <c r="T293" s="2" t="s">
        <v>22</v>
      </c>
      <c r="U293" s="2" t="s">
        <v>22</v>
      </c>
      <c r="V293" s="34">
        <v>100.44</v>
      </c>
      <c r="W293" s="34">
        <v>40.176000000000002</v>
      </c>
      <c r="X293" s="10">
        <v>39.937040000000003</v>
      </c>
      <c r="Y293" s="10">
        <f>Table1[[#This Row],[Raw Terrestrial Score]]/Table1[[#This Row],[Summed Raw Scores]]</f>
        <v>0.42272283531925825</v>
      </c>
      <c r="Z293" s="10">
        <v>54.538670000000003</v>
      </c>
      <c r="AA293" s="10">
        <f>Table1[[#This Row],[Raw Freshwater Score]]/Table1[[#This Row],[Summed Raw Scores]]</f>
        <v>0.57727716468074175</v>
      </c>
      <c r="AB293" s="10">
        <f>Table1[[#This Row],[Raw Terrestrial Score]]+Table1[[#This Row],[Raw Freshwater Score]]</f>
        <v>94.475710000000007</v>
      </c>
      <c r="AC293" s="11">
        <f>Table1[[#This Row],[Terrestrial % of Summed Score]]*Table1[[#This Row],[Scaled Summed Score]]</f>
        <v>4.9072746338501231E-3</v>
      </c>
      <c r="AD293" s="11">
        <f>Table1[[#This Row],[Freshwater % of Summed Score]]*Table1[[#This Row],[Scaled Summed Score]]</f>
        <v>6.7014538847877236E-3</v>
      </c>
      <c r="AE293" s="18">
        <f>Table1[[#This Row],[Summed Raw Scores]]/MAX(Table1[Summed Raw Scores])</f>
        <v>1.1608728518637847E-2</v>
      </c>
    </row>
    <row r="294" spans="1:31" x14ac:dyDescent="0.3">
      <c r="A294" s="8" t="s">
        <v>299</v>
      </c>
      <c r="B294" s="8" t="s">
        <v>58</v>
      </c>
      <c r="C294" s="8" t="s">
        <v>21</v>
      </c>
      <c r="D294" s="8"/>
      <c r="E294" s="34">
        <v>48.834504019999997</v>
      </c>
      <c r="F294" s="34">
        <v>-124.0850609</v>
      </c>
      <c r="G294" s="34">
        <v>46.855384620000002</v>
      </c>
      <c r="H294" s="8" t="s">
        <v>22</v>
      </c>
      <c r="I294" s="8" t="s">
        <v>22</v>
      </c>
      <c r="J294" s="34">
        <v>74.251016120000003</v>
      </c>
      <c r="K294" s="34">
        <v>127.60151999999999</v>
      </c>
      <c r="L294" s="9" t="s">
        <v>22</v>
      </c>
      <c r="M294" s="34">
        <v>0</v>
      </c>
      <c r="N294" s="34">
        <v>2.9</v>
      </c>
      <c r="O294" s="9">
        <f>Table1[[#This Row],[R1 Length (km)]]+Table1[[#This Row],[T1 Length (km)]]</f>
        <v>2.9</v>
      </c>
      <c r="P294" s="38">
        <v>69</v>
      </c>
      <c r="Q294" s="9">
        <f>(Table1[[#This Row],[Linear Features (km)]]*0.4)*100</f>
        <v>115.99999999999999</v>
      </c>
      <c r="R294" s="34">
        <v>190.35</v>
      </c>
      <c r="S294" s="3">
        <f>Table1[[#This Row],[ATG (ha)]]/Table1[[#This Row],[Linear Area (ha)]]</f>
        <v>1.640948275862069</v>
      </c>
      <c r="T294" s="2" t="s">
        <v>22</v>
      </c>
      <c r="U294" s="2" t="s">
        <v>22</v>
      </c>
      <c r="V294" s="34">
        <v>190.35</v>
      </c>
      <c r="W294" s="34">
        <v>76.14</v>
      </c>
      <c r="X294" s="10">
        <v>1.0346759999999999</v>
      </c>
      <c r="Y294" s="10">
        <f>Table1[[#This Row],[Raw Terrestrial Score]]/Table1[[#This Row],[Summed Raw Scores]]</f>
        <v>1.1242240913631291E-2</v>
      </c>
      <c r="Z294" s="10">
        <v>91</v>
      </c>
      <c r="AA294" s="10">
        <f>Table1[[#This Row],[Raw Freshwater Score]]/Table1[[#This Row],[Summed Raw Scores]]</f>
        <v>0.98875775908636865</v>
      </c>
      <c r="AB294" s="10">
        <f>Table1[[#This Row],[Raw Terrestrial Score]]+Table1[[#This Row],[Raw Freshwater Score]]</f>
        <v>92.034676000000005</v>
      </c>
      <c r="AC294" s="11">
        <f>Table1[[#This Row],[Terrestrial % of Summed Score]]*Table1[[#This Row],[Scaled Summed Score]]</f>
        <v>1.2713609443898468E-4</v>
      </c>
      <c r="AD294" s="11">
        <f>Table1[[#This Row],[Freshwater % of Summed Score]]*Table1[[#This Row],[Scaled Summed Score]]</f>
        <v>1.1181649708650444E-2</v>
      </c>
      <c r="AE294" s="18">
        <f>Table1[[#This Row],[Summed Raw Scores]]/MAX(Table1[Summed Raw Scores])</f>
        <v>1.130878580308943E-2</v>
      </c>
    </row>
    <row r="295" spans="1:31" x14ac:dyDescent="0.3">
      <c r="A295" s="8" t="s">
        <v>379</v>
      </c>
      <c r="B295" s="8" t="s">
        <v>58</v>
      </c>
      <c r="C295" s="8" t="s">
        <v>21</v>
      </c>
      <c r="D295" s="8"/>
      <c r="E295" s="34">
        <v>48.891352070000003</v>
      </c>
      <c r="F295" s="34">
        <v>-123.7671026</v>
      </c>
      <c r="G295" s="34">
        <v>21.533538459999999</v>
      </c>
      <c r="H295" s="8" t="s">
        <v>22</v>
      </c>
      <c r="I295" s="8" t="s">
        <v>22</v>
      </c>
      <c r="J295" s="34">
        <v>35.36836358</v>
      </c>
      <c r="K295" s="34">
        <v>153.0936361</v>
      </c>
      <c r="L295" s="9" t="s">
        <v>22</v>
      </c>
      <c r="M295" s="34">
        <v>0.6</v>
      </c>
      <c r="N295" s="34">
        <v>8.1999999999999993</v>
      </c>
      <c r="O295" s="9">
        <f>Table1[[#This Row],[R1 Length (km)]]+Table1[[#This Row],[T1 Length (km)]]</f>
        <v>8.7999999999999989</v>
      </c>
      <c r="P295" s="38">
        <v>69</v>
      </c>
      <c r="Q295" s="9">
        <f>(Table1[[#This Row],[Linear Features (km)]]*0.4)*100</f>
        <v>351.99999999999994</v>
      </c>
      <c r="R295" s="34">
        <v>87.48</v>
      </c>
      <c r="S295" s="3">
        <f>Table1[[#This Row],[ATG (ha)]]/Table1[[#This Row],[Linear Area (ha)]]</f>
        <v>0.24852272727272731</v>
      </c>
      <c r="T295" s="2" t="s">
        <v>22</v>
      </c>
      <c r="U295" s="2" t="s">
        <v>22</v>
      </c>
      <c r="V295" s="34">
        <v>87.48</v>
      </c>
      <c r="W295" s="34">
        <v>34.991999999999997</v>
      </c>
      <c r="X295" s="10">
        <v>34.251779999999997</v>
      </c>
      <c r="Y295" s="10">
        <f>Table1[[#This Row],[Raw Terrestrial Score]]/Table1[[#This Row],[Summed Raw Scores]]</f>
        <v>0.2322767471932255</v>
      </c>
      <c r="Z295" s="10">
        <v>113.2093</v>
      </c>
      <c r="AA295" s="10">
        <f>Table1[[#This Row],[Raw Freshwater Score]]/Table1[[#This Row],[Summed Raw Scores]]</f>
        <v>0.76772325280677456</v>
      </c>
      <c r="AB295" s="10">
        <f>Table1[[#This Row],[Raw Terrestrial Score]]+Table1[[#This Row],[Raw Freshwater Score]]</f>
        <v>147.46107999999998</v>
      </c>
      <c r="AC295" s="11">
        <f>Table1[[#This Row],[Terrestrial % of Summed Score]]*Table1[[#This Row],[Scaled Summed Score]]</f>
        <v>4.2086967676676825E-3</v>
      </c>
      <c r="AD295" s="11">
        <f>Table1[[#This Row],[Freshwater % of Summed Score]]*Table1[[#This Row],[Scaled Summed Score]]</f>
        <v>1.3910623476500229E-2</v>
      </c>
      <c r="AE295" s="18">
        <f>Table1[[#This Row],[Summed Raw Scores]]/MAX(Table1[Summed Raw Scores])</f>
        <v>1.8119320244167909E-2</v>
      </c>
    </row>
    <row r="296" spans="1:31" x14ac:dyDescent="0.3">
      <c r="A296" s="8" t="s">
        <v>381</v>
      </c>
      <c r="B296" s="8" t="s">
        <v>58</v>
      </c>
      <c r="C296" s="8" t="s">
        <v>21</v>
      </c>
      <c r="D296" s="8"/>
      <c r="E296" s="34">
        <v>48.787689759999999</v>
      </c>
      <c r="F296" s="34">
        <v>-124.0608423</v>
      </c>
      <c r="G296" s="34">
        <v>22.92923077</v>
      </c>
      <c r="H296" s="8" t="s">
        <v>22</v>
      </c>
      <c r="I296" s="8" t="s">
        <v>22</v>
      </c>
      <c r="J296" s="34">
        <v>36.211620850000003</v>
      </c>
      <c r="K296" s="34">
        <v>154.0999851</v>
      </c>
      <c r="L296" s="9" t="s">
        <v>22</v>
      </c>
      <c r="M296" s="34">
        <v>2.8</v>
      </c>
      <c r="N296" s="34">
        <v>3.6</v>
      </c>
      <c r="O296" s="9">
        <f>Table1[[#This Row],[R1 Length (km)]]+Table1[[#This Row],[T1 Length (km)]]</f>
        <v>6.4</v>
      </c>
      <c r="P296" s="38">
        <v>69</v>
      </c>
      <c r="Q296" s="9">
        <f>(Table1[[#This Row],[Linear Features (km)]]*0.4)*100</f>
        <v>256.00000000000006</v>
      </c>
      <c r="R296" s="34">
        <v>93.15</v>
      </c>
      <c r="S296" s="3">
        <f>Table1[[#This Row],[ATG (ha)]]/Table1[[#This Row],[Linear Area (ha)]]</f>
        <v>0.36386718749999997</v>
      </c>
      <c r="T296" s="2" t="s">
        <v>22</v>
      </c>
      <c r="U296" s="2" t="s">
        <v>22</v>
      </c>
      <c r="V296" s="34">
        <v>93.15</v>
      </c>
      <c r="W296" s="34">
        <v>37.26</v>
      </c>
      <c r="X296" s="10">
        <v>25.191299999999998</v>
      </c>
      <c r="Y296" s="10">
        <f>Table1[[#This Row],[Raw Terrestrial Score]]/Table1[[#This Row],[Summed Raw Scores]]</f>
        <v>0.16158730973258326</v>
      </c>
      <c r="Z296" s="10">
        <v>130.70769999999999</v>
      </c>
      <c r="AA296" s="10">
        <f>Table1[[#This Row],[Raw Freshwater Score]]/Table1[[#This Row],[Summed Raw Scores]]</f>
        <v>0.8384126902674166</v>
      </c>
      <c r="AB296" s="10">
        <f>Table1[[#This Row],[Raw Terrestrial Score]]+Table1[[#This Row],[Raw Freshwater Score]]</f>
        <v>155.899</v>
      </c>
      <c r="AC296" s="11">
        <f>Table1[[#This Row],[Terrestrial % of Summed Score]]*Table1[[#This Row],[Scaled Summed Score]]</f>
        <v>3.0953878275332522E-3</v>
      </c>
      <c r="AD296" s="11">
        <f>Table1[[#This Row],[Freshwater % of Summed Score]]*Table1[[#This Row],[Scaled Summed Score]]</f>
        <v>1.6060744127729336E-2</v>
      </c>
      <c r="AE296" s="18">
        <f>Table1[[#This Row],[Summed Raw Scores]]/MAX(Table1[Summed Raw Scores])</f>
        <v>1.9156131955262591E-2</v>
      </c>
    </row>
    <row r="297" spans="1:31" x14ac:dyDescent="0.3">
      <c r="A297" s="8" t="s">
        <v>368</v>
      </c>
      <c r="B297" s="8" t="s">
        <v>58</v>
      </c>
      <c r="C297" s="8" t="s">
        <v>21</v>
      </c>
      <c r="D297" s="8"/>
      <c r="E297" s="34">
        <v>48.769325129999999</v>
      </c>
      <c r="F297" s="34">
        <v>-123.87800729999999</v>
      </c>
      <c r="G297" s="34">
        <v>26.119384620000002</v>
      </c>
      <c r="H297" s="8" t="s">
        <v>22</v>
      </c>
      <c r="I297" s="8" t="s">
        <v>22</v>
      </c>
      <c r="J297" s="34">
        <v>42.899674500000003</v>
      </c>
      <c r="K297" s="34">
        <v>147.1678679</v>
      </c>
      <c r="L297" s="9" t="s">
        <v>22</v>
      </c>
      <c r="M297" s="34">
        <v>0</v>
      </c>
      <c r="N297" s="34">
        <v>12.9</v>
      </c>
      <c r="O297" s="9">
        <f>Table1[[#This Row],[R1 Length (km)]]+Table1[[#This Row],[T1 Length (km)]]</f>
        <v>12.9</v>
      </c>
      <c r="P297" s="38">
        <v>69</v>
      </c>
      <c r="Q297" s="9">
        <f>(Table1[[#This Row],[Linear Features (km)]]*0.4)*100</f>
        <v>516</v>
      </c>
      <c r="R297" s="34">
        <v>106.11</v>
      </c>
      <c r="S297" s="3">
        <f>Table1[[#This Row],[ATG (ha)]]/Table1[[#This Row],[Linear Area (ha)]]</f>
        <v>0.20563953488372094</v>
      </c>
      <c r="T297" s="2" t="s">
        <v>22</v>
      </c>
      <c r="U297" s="2" t="s">
        <v>22</v>
      </c>
      <c r="V297" s="34">
        <v>106.11</v>
      </c>
      <c r="W297" s="34">
        <v>42.444000000000003</v>
      </c>
      <c r="X297" s="10">
        <v>91.669449999999998</v>
      </c>
      <c r="Y297" s="10">
        <f>Table1[[#This Row],[Raw Terrestrial Score]]/Table1[[#This Row],[Summed Raw Scores]]</f>
        <v>0.29085747945590573</v>
      </c>
      <c r="Z297" s="10">
        <v>223.50020000000001</v>
      </c>
      <c r="AA297" s="10">
        <f>Table1[[#This Row],[Raw Freshwater Score]]/Table1[[#This Row],[Summed Raw Scores]]</f>
        <v>0.70914252054409432</v>
      </c>
      <c r="AB297" s="10">
        <f>Table1[[#This Row],[Raw Terrestrial Score]]+Table1[[#This Row],[Raw Freshwater Score]]</f>
        <v>315.16964999999999</v>
      </c>
      <c r="AC297" s="11">
        <f>Table1[[#This Row],[Terrestrial % of Summed Score]]*Table1[[#This Row],[Scaled Summed Score]]</f>
        <v>1.1263908559171941E-2</v>
      </c>
      <c r="AD297" s="11">
        <f>Table1[[#This Row],[Freshwater % of Summed Score]]*Table1[[#This Row],[Scaled Summed Score]]</f>
        <v>2.7462647760585896E-2</v>
      </c>
      <c r="AE297" s="18">
        <f>Table1[[#This Row],[Summed Raw Scores]]/MAX(Table1[Summed Raw Scores])</f>
        <v>3.8726556319757834E-2</v>
      </c>
    </row>
    <row r="298" spans="1:31" x14ac:dyDescent="0.3">
      <c r="A298" s="8" t="s">
        <v>354</v>
      </c>
      <c r="B298" s="8" t="s">
        <v>58</v>
      </c>
      <c r="C298" s="8" t="s">
        <v>32</v>
      </c>
      <c r="D298" s="8"/>
      <c r="E298" s="34">
        <v>49.0586117</v>
      </c>
      <c r="F298" s="34">
        <v>-122.2025148</v>
      </c>
      <c r="G298" s="34">
        <v>16.548923080000002</v>
      </c>
      <c r="H298" s="8" t="s">
        <v>22</v>
      </c>
      <c r="I298" s="8" t="s">
        <v>22</v>
      </c>
      <c r="J298" s="34">
        <v>24.13961162</v>
      </c>
      <c r="K298" s="34">
        <v>141.53712540000001</v>
      </c>
      <c r="L298" s="9" t="s">
        <v>22</v>
      </c>
      <c r="M298" s="34">
        <v>0</v>
      </c>
      <c r="N298" s="34">
        <v>7.3</v>
      </c>
      <c r="O298" s="9">
        <f>Table1[[#This Row],[R1 Length (km)]]+Table1[[#This Row],[T1 Length (km)]]</f>
        <v>7.3</v>
      </c>
      <c r="P298" s="38">
        <v>25</v>
      </c>
      <c r="Q298" s="9">
        <f>(Table1[[#This Row],[Linear Features (km)]]*0.4)*100</f>
        <v>292</v>
      </c>
      <c r="R298" s="34">
        <v>67.23</v>
      </c>
      <c r="S298" s="3">
        <f>Table1[[#This Row],[ATG (ha)]]/Table1[[#This Row],[Linear Area (ha)]]</f>
        <v>0.23023972602739728</v>
      </c>
      <c r="T298" s="2" t="s">
        <v>22</v>
      </c>
      <c r="U298" s="2" t="s">
        <v>22</v>
      </c>
      <c r="V298" s="34">
        <v>67.23</v>
      </c>
      <c r="W298" s="34">
        <v>26.891999999999999</v>
      </c>
      <c r="X298" s="10">
        <v>139.655</v>
      </c>
      <c r="Y298" s="10">
        <f>Table1[[#This Row],[Raw Terrestrial Score]]/Table1[[#This Row],[Summed Raw Scores]]</f>
        <v>0.56390947083644583</v>
      </c>
      <c r="Z298" s="10">
        <v>108</v>
      </c>
      <c r="AA298" s="10">
        <f>Table1[[#This Row],[Raw Freshwater Score]]/Table1[[#This Row],[Summed Raw Scores]]</f>
        <v>0.43609052916355412</v>
      </c>
      <c r="AB298" s="10">
        <f>Table1[[#This Row],[Raw Terrestrial Score]]+Table1[[#This Row],[Raw Freshwater Score]]</f>
        <v>247.655</v>
      </c>
      <c r="AC298" s="11">
        <f>Table1[[#This Row],[Terrestrial % of Summed Score]]*Table1[[#This Row],[Scaled Summed Score]]</f>
        <v>1.7160146044632722E-2</v>
      </c>
      <c r="AD298" s="11">
        <f>Table1[[#This Row],[Freshwater % of Summed Score]]*Table1[[#This Row],[Scaled Summed Score]]</f>
        <v>1.3270529324552176E-2</v>
      </c>
      <c r="AE298" s="18">
        <f>Table1[[#This Row],[Summed Raw Scores]]/MAX(Table1[Summed Raw Scores])</f>
        <v>3.0430675369184902E-2</v>
      </c>
    </row>
    <row r="299" spans="1:31" x14ac:dyDescent="0.3">
      <c r="A299" s="8" t="s">
        <v>401</v>
      </c>
      <c r="B299" s="8" t="s">
        <v>58</v>
      </c>
      <c r="C299" s="8" t="s">
        <v>32</v>
      </c>
      <c r="D299" s="8"/>
      <c r="E299" s="34">
        <v>49.071954939999998</v>
      </c>
      <c r="F299" s="34">
        <v>-122.12229979999999</v>
      </c>
      <c r="G299" s="34">
        <v>24.92307692</v>
      </c>
      <c r="H299" s="8" t="s">
        <v>22</v>
      </c>
      <c r="I299" s="8" t="s">
        <v>22</v>
      </c>
      <c r="J299" s="34">
        <v>36.385622320000003</v>
      </c>
      <c r="K299" s="34">
        <v>165.48751809999999</v>
      </c>
      <c r="L299" s="9" t="s">
        <v>22</v>
      </c>
      <c r="M299" s="34">
        <v>0</v>
      </c>
      <c r="N299" s="34">
        <v>10.4</v>
      </c>
      <c r="O299" s="9">
        <f>Table1[[#This Row],[R1 Length (km)]]+Table1[[#This Row],[T1 Length (km)]]</f>
        <v>10.4</v>
      </c>
      <c r="P299" s="38">
        <v>69</v>
      </c>
      <c r="Q299" s="9">
        <f>(Table1[[#This Row],[Linear Features (km)]]*0.4)*100</f>
        <v>416</v>
      </c>
      <c r="R299" s="34">
        <v>101.25</v>
      </c>
      <c r="S299" s="3">
        <f>Table1[[#This Row],[ATG (ha)]]/Table1[[#This Row],[Linear Area (ha)]]</f>
        <v>0.24338942307692307</v>
      </c>
      <c r="T299" s="2" t="s">
        <v>22</v>
      </c>
      <c r="U299" s="2" t="s">
        <v>22</v>
      </c>
      <c r="V299" s="34">
        <v>101.25</v>
      </c>
      <c r="W299" s="34">
        <v>40.5</v>
      </c>
      <c r="X299" s="10">
        <v>279.43049999999999</v>
      </c>
      <c r="Y299" s="10">
        <f>Table1[[#This Row],[Raw Terrestrial Score]]/Table1[[#This Row],[Summed Raw Scores]]</f>
        <v>0.52285657349271797</v>
      </c>
      <c r="Z299" s="10">
        <v>255</v>
      </c>
      <c r="AA299" s="10">
        <f>Table1[[#This Row],[Raw Freshwater Score]]/Table1[[#This Row],[Summed Raw Scores]]</f>
        <v>0.47714342650728209</v>
      </c>
      <c r="AB299" s="10">
        <f>Table1[[#This Row],[Raw Terrestrial Score]]+Table1[[#This Row],[Raw Freshwater Score]]</f>
        <v>534.43049999999994</v>
      </c>
      <c r="AC299" s="11">
        <f>Table1[[#This Row],[Terrestrial % of Summed Score]]*Table1[[#This Row],[Scaled Summed Score]]</f>
        <v>3.4335098559484044E-2</v>
      </c>
      <c r="AD299" s="11">
        <f>Table1[[#This Row],[Freshwater % of Summed Score]]*Table1[[#This Row],[Scaled Summed Score]]</f>
        <v>3.1333194238525972E-2</v>
      </c>
      <c r="AE299" s="18">
        <f>Table1[[#This Row],[Summed Raw Scores]]/MAX(Table1[Summed Raw Scores])</f>
        <v>6.5668292798010008E-2</v>
      </c>
    </row>
    <row r="300" spans="1:31" x14ac:dyDescent="0.3">
      <c r="A300" s="8" t="s">
        <v>92</v>
      </c>
      <c r="B300" s="8" t="s">
        <v>58</v>
      </c>
      <c r="C300" s="8" t="s">
        <v>21</v>
      </c>
      <c r="D300" s="8"/>
      <c r="E300" s="33">
        <v>48.736638659999997</v>
      </c>
      <c r="F300" s="33">
        <v>-123.77466149999999</v>
      </c>
      <c r="G300" s="33">
        <v>92.115692307700002</v>
      </c>
      <c r="H300" s="9" t="s">
        <v>22</v>
      </c>
      <c r="I300" s="9" t="s">
        <v>22</v>
      </c>
      <c r="J300" s="33">
        <v>151.38292161644466</v>
      </c>
      <c r="K300" s="33">
        <v>102.62417884982256</v>
      </c>
      <c r="L300" s="9" t="s">
        <v>22</v>
      </c>
      <c r="M300" s="33">
        <v>0</v>
      </c>
      <c r="N300" s="33">
        <v>5.7</v>
      </c>
      <c r="O300" s="9">
        <f>Table1[[#This Row],[R1 Length (km)]]+Table1[[#This Row],[T1 Length (km)]]</f>
        <v>5.7</v>
      </c>
      <c r="P300" s="36">
        <v>13</v>
      </c>
      <c r="Q300" s="9">
        <f>(Table1[[#This Row],[Linear Features (km)]]*0.4)*100</f>
        <v>228.00000000000003</v>
      </c>
      <c r="R300" s="33">
        <v>200.88</v>
      </c>
      <c r="S300" s="18">
        <f>Table1[[#This Row],[ATG (ha)]]/Table1[[#This Row],[Linear Area (ha)]]</f>
        <v>0.8810526315789472</v>
      </c>
      <c r="T300" s="2" t="s">
        <v>22</v>
      </c>
      <c r="U300" s="2" t="s">
        <v>22</v>
      </c>
      <c r="V300" s="33">
        <v>200.88</v>
      </c>
      <c r="W300" s="33">
        <v>80.352000000000004</v>
      </c>
      <c r="X300" s="10">
        <v>114.70440000000001</v>
      </c>
      <c r="Y300" s="10">
        <f>Table1[[#This Row],[Raw Terrestrial Score]]/Table1[[#This Row],[Summed Raw Scores]]</f>
        <v>0.45480007803070799</v>
      </c>
      <c r="Z300" s="10">
        <v>137.50399999999999</v>
      </c>
      <c r="AA300" s="10">
        <f>Table1[[#This Row],[Raw Freshwater Score]]/Table1[[#This Row],[Summed Raw Scores]]</f>
        <v>0.54519992196929201</v>
      </c>
      <c r="AB300" s="10">
        <f>Table1[[#This Row],[Raw Terrestrial Score]]+Table1[[#This Row],[Raw Freshwater Score]]</f>
        <v>252.20839999999998</v>
      </c>
      <c r="AC300" s="11">
        <f>Table1[[#This Row],[Terrestrial % of Summed Score]]*Table1[[#This Row],[Scaled Summed Score]]</f>
        <v>1.409433429495521E-2</v>
      </c>
      <c r="AD300" s="11">
        <f>Table1[[#This Row],[Freshwater % of Summed Score]]*Table1[[#This Row],[Scaled Summed Score]]</f>
        <v>1.6895841335585391E-2</v>
      </c>
      <c r="AE300" s="18">
        <f>Table1[[#This Row],[Summed Raw Scores]]/MAX(Table1[Summed Raw Scores])</f>
        <v>3.0990175630540601E-2</v>
      </c>
    </row>
    <row r="301" spans="1:31" x14ac:dyDescent="0.3">
      <c r="A301" s="8" t="s">
        <v>303</v>
      </c>
      <c r="B301" s="8" t="s">
        <v>58</v>
      </c>
      <c r="C301" s="8" t="s">
        <v>21</v>
      </c>
      <c r="D301" s="8"/>
      <c r="E301" s="34">
        <v>48.703887680000001</v>
      </c>
      <c r="F301" s="34">
        <v>-123.6714364</v>
      </c>
      <c r="G301" s="34">
        <v>56.625230770000002</v>
      </c>
      <c r="H301" s="8" t="s">
        <v>22</v>
      </c>
      <c r="I301" s="8" t="s">
        <v>22</v>
      </c>
      <c r="J301" s="34">
        <v>93.493798499999997</v>
      </c>
      <c r="K301" s="34">
        <v>128.8212474</v>
      </c>
      <c r="L301" s="9" t="s">
        <v>22</v>
      </c>
      <c r="M301" s="34">
        <v>0.7</v>
      </c>
      <c r="N301" s="34">
        <v>7.9</v>
      </c>
      <c r="O301" s="9">
        <f>Table1[[#This Row],[R1 Length (km)]]+Table1[[#This Row],[T1 Length (km)]]</f>
        <v>8.6</v>
      </c>
      <c r="P301" s="38">
        <v>130</v>
      </c>
      <c r="Q301" s="9">
        <f>(Table1[[#This Row],[Linear Features (km)]]*0.4)*100</f>
        <v>344</v>
      </c>
      <c r="R301" s="34">
        <v>230.04</v>
      </c>
      <c r="S301" s="3">
        <f>Table1[[#This Row],[ATG (ha)]]/Table1[[#This Row],[Linear Area (ha)]]</f>
        <v>0.66872093023255808</v>
      </c>
      <c r="T301" s="2" t="s">
        <v>22</v>
      </c>
      <c r="U301" s="2" t="s">
        <v>22</v>
      </c>
      <c r="V301" s="34">
        <v>230.04</v>
      </c>
      <c r="W301" s="34">
        <v>92.016000000000005</v>
      </c>
      <c r="X301" s="10">
        <v>115.8933</v>
      </c>
      <c r="Y301" s="10">
        <f>Table1[[#This Row],[Raw Terrestrial Score]]/Table1[[#This Row],[Summed Raw Scores]]</f>
        <v>0.50632019373218873</v>
      </c>
      <c r="Z301" s="10">
        <v>113</v>
      </c>
      <c r="AA301" s="10">
        <f>Table1[[#This Row],[Raw Freshwater Score]]/Table1[[#This Row],[Summed Raw Scores]]</f>
        <v>0.49367980626781122</v>
      </c>
      <c r="AB301" s="10">
        <f>Table1[[#This Row],[Raw Terrestrial Score]]+Table1[[#This Row],[Raw Freshwater Score]]</f>
        <v>228.89330000000001</v>
      </c>
      <c r="AC301" s="11">
        <f>Table1[[#This Row],[Terrestrial % of Summed Score]]*Table1[[#This Row],[Scaled Summed Score]]</f>
        <v>1.4240420705269655E-2</v>
      </c>
      <c r="AD301" s="11">
        <f>Table1[[#This Row],[Freshwater % of Summed Score]]*Table1[[#This Row],[Scaled Summed Score]]</f>
        <v>1.3884905682170332E-2</v>
      </c>
      <c r="AE301" s="18">
        <f>Table1[[#This Row],[Summed Raw Scores]]/MAX(Table1[Summed Raw Scores])</f>
        <v>2.8125326387439989E-2</v>
      </c>
    </row>
    <row r="302" spans="1:31" x14ac:dyDescent="0.3">
      <c r="A302" s="8" t="s">
        <v>376</v>
      </c>
      <c r="B302" s="8" t="s">
        <v>58</v>
      </c>
      <c r="C302" s="8" t="s">
        <v>21</v>
      </c>
      <c r="D302" s="8"/>
      <c r="E302" s="34">
        <v>48.628806730000001</v>
      </c>
      <c r="F302" s="34">
        <v>-123.8060758</v>
      </c>
      <c r="G302" s="34">
        <v>26.71753846</v>
      </c>
      <c r="H302" s="8" t="s">
        <v>22</v>
      </c>
      <c r="I302" s="8" t="s">
        <v>22</v>
      </c>
      <c r="J302" s="34">
        <v>45.370964180000001</v>
      </c>
      <c r="K302" s="34">
        <v>151.95717139999999</v>
      </c>
      <c r="L302" s="9" t="s">
        <v>22</v>
      </c>
      <c r="M302" s="34">
        <v>2.5</v>
      </c>
      <c r="N302" s="34">
        <v>23.8</v>
      </c>
      <c r="O302" s="9">
        <f>Table1[[#This Row],[R1 Length (km)]]+Table1[[#This Row],[T1 Length (km)]]</f>
        <v>26.3</v>
      </c>
      <c r="P302" s="38">
        <v>69</v>
      </c>
      <c r="Q302" s="9">
        <f>(Table1[[#This Row],[Linear Features (km)]]*0.4)*100</f>
        <v>1052.0000000000002</v>
      </c>
      <c r="R302" s="34">
        <v>108.54</v>
      </c>
      <c r="S302" s="3">
        <f>Table1[[#This Row],[ATG (ha)]]/Table1[[#This Row],[Linear Area (ha)]]</f>
        <v>0.10317490494296576</v>
      </c>
      <c r="T302" s="2" t="s">
        <v>22</v>
      </c>
      <c r="U302" s="2" t="s">
        <v>22</v>
      </c>
      <c r="V302" s="34">
        <v>108.54</v>
      </c>
      <c r="W302" s="34">
        <v>43.415999999999997</v>
      </c>
      <c r="X302" s="10">
        <v>166.035</v>
      </c>
      <c r="Y302" s="10">
        <f>Table1[[#This Row],[Raw Terrestrial Score]]/Table1[[#This Row],[Summed Raw Scores]]</f>
        <v>0.32551650638358193</v>
      </c>
      <c r="Z302" s="10">
        <v>344.03129999999999</v>
      </c>
      <c r="AA302" s="10">
        <f>Table1[[#This Row],[Raw Freshwater Score]]/Table1[[#This Row],[Summed Raw Scores]]</f>
        <v>0.67448349361641813</v>
      </c>
      <c r="AB302" s="10">
        <f>Table1[[#This Row],[Raw Terrestrial Score]]+Table1[[#This Row],[Raw Freshwater Score]]</f>
        <v>510.06629999999996</v>
      </c>
      <c r="AC302" s="11">
        <f>Table1[[#This Row],[Terrestrial % of Summed Score]]*Table1[[#This Row],[Scaled Summed Score]]</f>
        <v>2.0401595707426116E-2</v>
      </c>
      <c r="AD302" s="11">
        <f>Table1[[#This Row],[Freshwater % of Summed Score]]*Table1[[#This Row],[Scaled Summed Score]]</f>
        <v>4.2272939400127843E-2</v>
      </c>
      <c r="AE302" s="18">
        <f>Table1[[#This Row],[Summed Raw Scores]]/MAX(Table1[Summed Raw Scores])</f>
        <v>6.2674535107553955E-2</v>
      </c>
    </row>
    <row r="303" spans="1:31" x14ac:dyDescent="0.3">
      <c r="A303" s="8" t="s">
        <v>395</v>
      </c>
      <c r="B303" s="8" t="s">
        <v>58</v>
      </c>
      <c r="C303" s="8" t="s">
        <v>21</v>
      </c>
      <c r="D303" s="8"/>
      <c r="E303" s="34">
        <v>48.657022589999997</v>
      </c>
      <c r="F303" s="34">
        <v>-123.6476198</v>
      </c>
      <c r="G303" s="34">
        <v>22.131692309999998</v>
      </c>
      <c r="H303" s="8" t="s">
        <v>22</v>
      </c>
      <c r="I303" s="8" t="s">
        <v>22</v>
      </c>
      <c r="J303" s="24">
        <v>36.940196329999999</v>
      </c>
      <c r="K303" s="24">
        <v>159.64407660000001</v>
      </c>
      <c r="L303" s="9" t="s">
        <v>22</v>
      </c>
      <c r="M303" s="34">
        <v>0</v>
      </c>
      <c r="N303" s="34">
        <v>4.3</v>
      </c>
      <c r="O303" s="9">
        <f>Table1[[#This Row],[R1 Length (km)]]+Table1[[#This Row],[T1 Length (km)]]</f>
        <v>4.3</v>
      </c>
      <c r="P303" s="38">
        <v>130</v>
      </c>
      <c r="Q303" s="9">
        <f>(Table1[[#This Row],[Linear Features (km)]]*0.4)*100</f>
        <v>172</v>
      </c>
      <c r="R303" s="34">
        <v>89.91</v>
      </c>
      <c r="S303" s="3">
        <f>Table1[[#This Row],[ATG (ha)]]/Table1[[#This Row],[Linear Area (ha)]]</f>
        <v>0.5227325581395349</v>
      </c>
      <c r="T303" s="2" t="s">
        <v>22</v>
      </c>
      <c r="U303" s="2" t="s">
        <v>22</v>
      </c>
      <c r="V303" s="34">
        <v>89.91</v>
      </c>
      <c r="W303" s="34">
        <v>35.963999999999999</v>
      </c>
      <c r="X303" s="10">
        <v>39.401200000000003</v>
      </c>
      <c r="Y303" s="10">
        <f>Table1[[#This Row],[Raw Terrestrial Score]]/Table1[[#This Row],[Summed Raw Scores]]</f>
        <v>0.31420114002098865</v>
      </c>
      <c r="Z303" s="10">
        <v>86</v>
      </c>
      <c r="AA303" s="10">
        <f>Table1[[#This Row],[Raw Freshwater Score]]/Table1[[#This Row],[Summed Raw Scores]]</f>
        <v>0.68579885997901135</v>
      </c>
      <c r="AB303" s="10">
        <f>Table1[[#This Row],[Raw Terrestrial Score]]+Table1[[#This Row],[Raw Freshwater Score]]</f>
        <v>125.4012</v>
      </c>
      <c r="AC303" s="11">
        <f>Table1[[#This Row],[Terrestrial % of Summed Score]]*Table1[[#This Row],[Scaled Summed Score]]</f>
        <v>4.8414331483569006E-3</v>
      </c>
      <c r="AD303" s="11">
        <f>Table1[[#This Row],[Freshwater % of Summed Score]]*Table1[[#This Row],[Scaled Summed Score]]</f>
        <v>1.0567273351032289E-2</v>
      </c>
      <c r="AE303" s="18">
        <f>Table1[[#This Row],[Summed Raw Scores]]/MAX(Table1[Summed Raw Scores])</f>
        <v>1.5408706499389189E-2</v>
      </c>
    </row>
    <row r="304" spans="1:31" x14ac:dyDescent="0.3">
      <c r="A304" s="8" t="s">
        <v>396</v>
      </c>
      <c r="B304" s="8" t="s">
        <v>58</v>
      </c>
      <c r="C304" s="8" t="s">
        <v>87</v>
      </c>
      <c r="D304" s="8"/>
      <c r="E304" s="29">
        <v>49.600835050000001</v>
      </c>
      <c r="F304" s="29">
        <v>-117.5966896</v>
      </c>
      <c r="G304" s="29">
        <v>33.097846150000002</v>
      </c>
      <c r="H304" s="8" t="s">
        <v>22</v>
      </c>
      <c r="I304" s="8" t="s">
        <v>22</v>
      </c>
      <c r="J304" s="29">
        <v>55.736896889999997</v>
      </c>
      <c r="K304" s="29">
        <v>159.9549342</v>
      </c>
      <c r="L304" s="9" t="s">
        <v>22</v>
      </c>
      <c r="M304" s="29">
        <v>0.7</v>
      </c>
      <c r="N304" s="29">
        <v>51.9</v>
      </c>
      <c r="O304" s="9">
        <f>Table1[[#This Row],[R1 Length (km)]]+Table1[[#This Row],[T1 Length (km)]]</f>
        <v>52.6</v>
      </c>
      <c r="P304" s="30">
        <v>69</v>
      </c>
      <c r="Q304" s="9">
        <f>(Table1[[#This Row],[Linear Features (km)]]*0.4)*100</f>
        <v>2104.0000000000005</v>
      </c>
      <c r="R304" s="29">
        <v>134.46</v>
      </c>
      <c r="S304" s="3">
        <f>Table1[[#This Row],[ATG (ha)]]/Table1[[#This Row],[Linear Area (ha)]]</f>
        <v>6.390684410646387E-2</v>
      </c>
      <c r="T304" s="2" t="s">
        <v>22</v>
      </c>
      <c r="U304" s="2" t="s">
        <v>22</v>
      </c>
      <c r="V304" s="29">
        <v>134.46</v>
      </c>
      <c r="W304" s="29">
        <v>53.783999999999999</v>
      </c>
      <c r="X304" s="10">
        <v>618.30679999999995</v>
      </c>
      <c r="Y304" s="10">
        <f>Table1[[#This Row],[Raw Terrestrial Score]]/Table1[[#This Row],[Summed Raw Scores]]</f>
        <v>0.59157370269017173</v>
      </c>
      <c r="Z304" s="10">
        <v>426.88299999999998</v>
      </c>
      <c r="AA304" s="10">
        <f>Table1[[#This Row],[Raw Freshwater Score]]/Table1[[#This Row],[Summed Raw Scores]]</f>
        <v>0.40842629730982832</v>
      </c>
      <c r="AB304" s="10">
        <f>Table1[[#This Row],[Raw Terrestrial Score]]+Table1[[#This Row],[Raw Freshwater Score]]</f>
        <v>1045.1897999999999</v>
      </c>
      <c r="AC304" s="11">
        <f>Table1[[#This Row],[Terrestrial % of Summed Score]]*Table1[[#This Row],[Scaled Summed Score]]</f>
        <v>7.5974615934907563E-2</v>
      </c>
      <c r="AD304" s="11">
        <f>Table1[[#This Row],[Freshwater % of Summed Score]]*Table1[[#This Row],[Scaled Summed Score]]</f>
        <v>5.2453364533822273E-2</v>
      </c>
      <c r="AE304" s="18">
        <f>Table1[[#This Row],[Summed Raw Scores]]/MAX(Table1[Summed Raw Scores])</f>
        <v>0.12842798046872983</v>
      </c>
    </row>
    <row r="305" spans="1:31" x14ac:dyDescent="0.3">
      <c r="A305" s="8" t="s">
        <v>93</v>
      </c>
      <c r="B305" s="8" t="s">
        <v>58</v>
      </c>
      <c r="C305" s="8" t="s">
        <v>21</v>
      </c>
      <c r="D305" s="8" t="s">
        <v>250</v>
      </c>
      <c r="E305" s="31">
        <v>48.544412629999997</v>
      </c>
      <c r="F305" s="31">
        <v>-123.41815510000001</v>
      </c>
      <c r="G305" s="31">
        <v>114.446769231</v>
      </c>
      <c r="H305" s="9" t="s">
        <v>22</v>
      </c>
      <c r="I305" s="9" t="s">
        <v>22</v>
      </c>
      <c r="J305" s="33">
        <v>197.7440004716037</v>
      </c>
      <c r="K305" s="33">
        <v>96.517860072475429</v>
      </c>
      <c r="L305" s="9" t="s">
        <v>22</v>
      </c>
      <c r="M305" s="31">
        <v>0</v>
      </c>
      <c r="N305" s="31">
        <v>6.7</v>
      </c>
      <c r="O305" s="9">
        <f>Table1[[#This Row],[R1 Length (km)]]+Table1[[#This Row],[T1 Length (km)]]</f>
        <v>6.7</v>
      </c>
      <c r="P305" s="28">
        <v>130</v>
      </c>
      <c r="Q305" s="9">
        <f>(Table1[[#This Row],[Linear Features (km)]]*0.4)*100</f>
        <v>268</v>
      </c>
      <c r="R305" s="31">
        <v>221.93999999999997</v>
      </c>
      <c r="S305" s="18">
        <f>Table1[[#This Row],[ATG (ha)]]/Table1[[#This Row],[Linear Area (ha)]]</f>
        <v>0.82813432835820888</v>
      </c>
      <c r="T305" s="2" t="s">
        <v>22</v>
      </c>
      <c r="U305" s="2" t="s">
        <v>22</v>
      </c>
      <c r="V305" s="31">
        <v>221.93999999999997</v>
      </c>
      <c r="W305" s="31">
        <v>88.775999999999996</v>
      </c>
      <c r="X305" s="10">
        <v>235.5016</v>
      </c>
      <c r="Y305" s="10">
        <f>Table1[[#This Row],[Raw Terrestrial Score]]/Table1[[#This Row],[Summed Raw Scores]]</f>
        <v>0.58537448674440284</v>
      </c>
      <c r="Z305" s="10">
        <v>166.80770000000001</v>
      </c>
      <c r="AA305" s="10">
        <f>Table1[[#This Row],[Raw Freshwater Score]]/Table1[[#This Row],[Summed Raw Scores]]</f>
        <v>0.41462551325559716</v>
      </c>
      <c r="AB305" s="10">
        <f>Table1[[#This Row],[Raw Terrestrial Score]]+Table1[[#This Row],[Raw Freshwater Score]]</f>
        <v>402.30930000000001</v>
      </c>
      <c r="AC305" s="11">
        <f>Table1[[#This Row],[Terrestrial % of Summed Score]]*Table1[[#This Row],[Scaled Summed Score]]</f>
        <v>2.8937323044249598E-2</v>
      </c>
      <c r="AD305" s="11">
        <f>Table1[[#This Row],[Freshwater % of Summed Score]]*Table1[[#This Row],[Scaled Summed Score]]</f>
        <v>2.049654142973243E-2</v>
      </c>
      <c r="AE305" s="18">
        <f>Table1[[#This Row],[Summed Raw Scores]]/MAX(Table1[Summed Raw Scores])</f>
        <v>4.9433864473982028E-2</v>
      </c>
    </row>
    <row r="306" spans="1:31" x14ac:dyDescent="0.3">
      <c r="A306" s="8" t="s">
        <v>411</v>
      </c>
      <c r="B306" s="8" t="s">
        <v>58</v>
      </c>
      <c r="C306" s="8" t="s">
        <v>40</v>
      </c>
      <c r="D306" s="8"/>
      <c r="E306" s="34">
        <v>49.44652155</v>
      </c>
      <c r="F306" s="34">
        <v>-117.6215883</v>
      </c>
      <c r="G306" s="34">
        <v>24.92307692</v>
      </c>
      <c r="H306" s="8" t="s">
        <v>22</v>
      </c>
      <c r="I306" s="8" t="s">
        <v>22</v>
      </c>
      <c r="J306" s="34">
        <v>41.210889450000003</v>
      </c>
      <c r="K306" s="34">
        <v>210.6005706</v>
      </c>
      <c r="L306" s="9" t="s">
        <v>22</v>
      </c>
      <c r="M306" s="34">
        <v>2</v>
      </c>
      <c r="N306" s="34">
        <v>48.5</v>
      </c>
      <c r="O306" s="9">
        <f>Table1[[#This Row],[R1 Length (km)]]+Table1[[#This Row],[T1 Length (km)]]</f>
        <v>50.5</v>
      </c>
      <c r="P306" s="38">
        <v>69</v>
      </c>
      <c r="Q306" s="9">
        <f>(Table1[[#This Row],[Linear Features (km)]]*0.4)*100</f>
        <v>2020.0000000000002</v>
      </c>
      <c r="R306" s="34">
        <v>101.25</v>
      </c>
      <c r="S306" s="3">
        <f>Table1[[#This Row],[ATG (ha)]]/Table1[[#This Row],[Linear Area (ha)]]</f>
        <v>5.012376237623762E-2</v>
      </c>
      <c r="T306" s="2" t="s">
        <v>22</v>
      </c>
      <c r="U306" s="2" t="s">
        <v>22</v>
      </c>
      <c r="V306" s="34">
        <v>101.25</v>
      </c>
      <c r="W306" s="34">
        <v>40.5</v>
      </c>
      <c r="X306" s="10">
        <v>471.71949999999998</v>
      </c>
      <c r="Y306" s="10">
        <f>Table1[[#This Row],[Raw Terrestrial Score]]/Table1[[#This Row],[Summed Raw Scores]]</f>
        <v>0.62722976815530407</v>
      </c>
      <c r="Z306" s="10">
        <v>280.34859999999998</v>
      </c>
      <c r="AA306" s="10">
        <f>Table1[[#This Row],[Raw Freshwater Score]]/Table1[[#This Row],[Summed Raw Scores]]</f>
        <v>0.37277023184469599</v>
      </c>
      <c r="AB306" s="10">
        <f>Table1[[#This Row],[Raw Terrestrial Score]]+Table1[[#This Row],[Raw Freshwater Score]]</f>
        <v>752.06809999999996</v>
      </c>
      <c r="AC306" s="11">
        <f>Table1[[#This Row],[Terrestrial % of Summed Score]]*Table1[[#This Row],[Scaled Summed Score]]</f>
        <v>5.7962661645491576E-2</v>
      </c>
      <c r="AD306" s="11">
        <f>Table1[[#This Row],[Freshwater % of Summed Score]]*Table1[[#This Row],[Scaled Summed Score]]</f>
        <v>3.4447910346269886E-2</v>
      </c>
      <c r="AE306" s="18">
        <f>Table1[[#This Row],[Summed Raw Scores]]/MAX(Table1[Summed Raw Scores])</f>
        <v>9.2410571991761462E-2</v>
      </c>
    </row>
    <row r="307" spans="1:31" x14ac:dyDescent="0.3">
      <c r="A307" s="8" t="s">
        <v>306</v>
      </c>
      <c r="B307" s="8" t="s">
        <v>58</v>
      </c>
      <c r="C307" s="8" t="s">
        <v>95</v>
      </c>
      <c r="D307" s="8"/>
      <c r="E307" s="34">
        <v>49.70060788</v>
      </c>
      <c r="F307" s="34">
        <v>-115.64990779999999</v>
      </c>
      <c r="G307" s="34">
        <v>17.545846149999999</v>
      </c>
      <c r="H307" s="8" t="s">
        <v>22</v>
      </c>
      <c r="I307" s="8" t="s">
        <v>22</v>
      </c>
      <c r="J307" s="24">
        <v>30.74753231</v>
      </c>
      <c r="K307" s="24">
        <v>129.42633079999999</v>
      </c>
      <c r="L307" s="9" t="s">
        <v>22</v>
      </c>
      <c r="M307" s="34">
        <v>0</v>
      </c>
      <c r="N307" s="34">
        <v>12.5</v>
      </c>
      <c r="O307" s="9">
        <f>Table1[[#This Row],[R1 Length (km)]]+Table1[[#This Row],[T1 Length (km)]]</f>
        <v>12.5</v>
      </c>
      <c r="P307" s="38">
        <v>25</v>
      </c>
      <c r="Q307" s="9">
        <f>(Table1[[#This Row],[Linear Features (km)]]*0.4)*100</f>
        <v>500</v>
      </c>
      <c r="R307" s="34">
        <v>71.28</v>
      </c>
      <c r="S307" s="3">
        <f>Table1[[#This Row],[ATG (ha)]]/Table1[[#This Row],[Linear Area (ha)]]</f>
        <v>0.14255999999999999</v>
      </c>
      <c r="T307" s="2" t="s">
        <v>22</v>
      </c>
      <c r="U307" s="2" t="s">
        <v>22</v>
      </c>
      <c r="V307" s="34">
        <v>71.28</v>
      </c>
      <c r="W307" s="34">
        <v>28.512</v>
      </c>
      <c r="X307" s="10">
        <v>375.38330000000002</v>
      </c>
      <c r="Y307" s="10">
        <f>Table1[[#This Row],[Raw Terrestrial Score]]/Table1[[#This Row],[Summed Raw Scores]]</f>
        <v>0.72606808709490989</v>
      </c>
      <c r="Z307" s="10">
        <v>141.6251</v>
      </c>
      <c r="AA307" s="10">
        <f>Table1[[#This Row],[Raw Freshwater Score]]/Table1[[#This Row],[Summed Raw Scores]]</f>
        <v>0.27393191290509011</v>
      </c>
      <c r="AB307" s="10">
        <f>Table1[[#This Row],[Raw Terrestrial Score]]+Table1[[#This Row],[Raw Freshwater Score]]</f>
        <v>517.00840000000005</v>
      </c>
      <c r="AC307" s="11">
        <f>Table1[[#This Row],[Terrestrial % of Summed Score]]*Table1[[#This Row],[Scaled Summed Score]]</f>
        <v>4.6125324912936742E-2</v>
      </c>
      <c r="AD307" s="11">
        <f>Table1[[#This Row],[Freshwater % of Summed Score]]*Table1[[#This Row],[Scaled Summed Score]]</f>
        <v>1.7402222617061432E-2</v>
      </c>
      <c r="AE307" s="18">
        <f>Table1[[#This Row],[Summed Raw Scores]]/MAX(Table1[Summed Raw Scores])</f>
        <v>6.3527547529998174E-2</v>
      </c>
    </row>
    <row r="308" spans="1:31" x14ac:dyDescent="0.3">
      <c r="A308" s="8" t="s">
        <v>384</v>
      </c>
      <c r="B308" s="8" t="s">
        <v>58</v>
      </c>
      <c r="C308" s="8" t="s">
        <v>21</v>
      </c>
      <c r="D308" s="8"/>
      <c r="E308" s="34">
        <v>48.394614390000001</v>
      </c>
      <c r="F308" s="34">
        <v>-123.68698790000001</v>
      </c>
      <c r="G308" s="34">
        <v>20.736000000000001</v>
      </c>
      <c r="H308" s="8" t="s">
        <v>22</v>
      </c>
      <c r="I308" s="8" t="s">
        <v>22</v>
      </c>
      <c r="J308" s="34">
        <v>34.642736669999998</v>
      </c>
      <c r="K308" s="34">
        <v>156.2644238</v>
      </c>
      <c r="L308" s="9" t="s">
        <v>22</v>
      </c>
      <c r="M308" s="34">
        <v>0</v>
      </c>
      <c r="N308" s="34">
        <v>0</v>
      </c>
      <c r="O308" s="9">
        <f>Table1[[#This Row],[R1 Length (km)]]+Table1[[#This Row],[T1 Length (km)]]</f>
        <v>0</v>
      </c>
      <c r="P308" s="38">
        <v>130</v>
      </c>
      <c r="Q308" s="9">
        <f>(Table1[[#This Row],[Linear Features (km)]]*0.4)*100</f>
        <v>0</v>
      </c>
      <c r="R308" s="34">
        <v>84.24</v>
      </c>
      <c r="S308" s="3" t="e">
        <f>Table1[[#This Row],[ATG (ha)]]/Table1[[#This Row],[Linear Area (ha)]]</f>
        <v>#DIV/0!</v>
      </c>
      <c r="T308" s="2" t="s">
        <v>22</v>
      </c>
      <c r="U308" s="2" t="s">
        <v>22</v>
      </c>
      <c r="V308" s="34">
        <v>84.24</v>
      </c>
      <c r="W308" s="34">
        <v>33.695999999999998</v>
      </c>
      <c r="X308" s="10">
        <v>0.57379599999999997</v>
      </c>
      <c r="Y308" s="10">
        <f>Table1[[#This Row],[Raw Terrestrial Score]]/Table1[[#This Row],[Summed Raw Scores]]</f>
        <v>1.6787701042020861E-2</v>
      </c>
      <c r="Z308" s="10">
        <v>33.60575</v>
      </c>
      <c r="AA308" s="10">
        <f>Table1[[#This Row],[Raw Freshwater Score]]/Table1[[#This Row],[Summed Raw Scores]]</f>
        <v>0.98321229895797913</v>
      </c>
      <c r="AB308" s="10">
        <f>Table1[[#This Row],[Raw Terrestrial Score]]+Table1[[#This Row],[Raw Freshwater Score]]</f>
        <v>34.179546000000002</v>
      </c>
      <c r="AC308" s="11">
        <f>Table1[[#This Row],[Terrestrial % of Summed Score]]*Table1[[#This Row],[Scaled Summed Score]]</f>
        <v>7.0505339299173532E-5</v>
      </c>
      <c r="AD308" s="11">
        <f>Table1[[#This Row],[Freshwater % of Summed Score]]*Table1[[#This Row],[Scaled Summed Score]]</f>
        <v>4.1293156560052724E-3</v>
      </c>
      <c r="AE308" s="18">
        <f>Table1[[#This Row],[Summed Raw Scores]]/MAX(Table1[Summed Raw Scores])</f>
        <v>4.1998209953044456E-3</v>
      </c>
    </row>
    <row r="309" spans="1:31" x14ac:dyDescent="0.3">
      <c r="A309" s="8" t="s">
        <v>264</v>
      </c>
      <c r="B309" s="8" t="s">
        <v>58</v>
      </c>
      <c r="C309" s="8" t="s">
        <v>21</v>
      </c>
      <c r="D309" s="8"/>
      <c r="E309" s="34">
        <v>48.469565289999998</v>
      </c>
      <c r="F309" s="34">
        <v>-123.5527506</v>
      </c>
      <c r="G309" s="34">
        <v>14.555076919999999</v>
      </c>
      <c r="H309" s="8" t="s">
        <v>22</v>
      </c>
      <c r="I309" s="8" t="s">
        <v>22</v>
      </c>
      <c r="J309" s="34">
        <v>25.070261110000001</v>
      </c>
      <c r="K309" s="34">
        <v>121.10794249999999</v>
      </c>
      <c r="L309" s="9" t="s">
        <v>22</v>
      </c>
      <c r="M309" s="34">
        <v>0.3</v>
      </c>
      <c r="N309" s="34">
        <v>4.9000000000000004</v>
      </c>
      <c r="O309" s="9">
        <f>Table1[[#This Row],[R1 Length (km)]]+Table1[[#This Row],[T1 Length (km)]]</f>
        <v>5.2</v>
      </c>
      <c r="P309" s="38">
        <v>25</v>
      </c>
      <c r="Q309" s="9">
        <f>(Table1[[#This Row],[Linear Features (km)]]*0.4)*100</f>
        <v>208</v>
      </c>
      <c r="R309" s="34">
        <v>59.13</v>
      </c>
      <c r="S309" s="3">
        <f>Table1[[#This Row],[ATG (ha)]]/Table1[[#This Row],[Linear Area (ha)]]</f>
        <v>0.28427884615384619</v>
      </c>
      <c r="T309" s="2" t="s">
        <v>22</v>
      </c>
      <c r="U309" s="2" t="s">
        <v>22</v>
      </c>
      <c r="V309" s="34">
        <v>59.13</v>
      </c>
      <c r="W309" s="34">
        <v>23.652000000000001</v>
      </c>
      <c r="X309" s="10">
        <v>189.4992</v>
      </c>
      <c r="Y309" s="10">
        <f>Table1[[#This Row],[Raw Terrestrial Score]]/Table1[[#This Row],[Summed Raw Scores]]</f>
        <v>0.55882424062984926</v>
      </c>
      <c r="Z309" s="10">
        <v>149.60419999999999</v>
      </c>
      <c r="AA309" s="10">
        <f>Table1[[#This Row],[Raw Freshwater Score]]/Table1[[#This Row],[Summed Raw Scores]]</f>
        <v>0.44117575937015086</v>
      </c>
      <c r="AB309" s="10">
        <f>Table1[[#This Row],[Raw Terrestrial Score]]+Table1[[#This Row],[Raw Freshwater Score]]</f>
        <v>339.10339999999997</v>
      </c>
      <c r="AC309" s="11">
        <f>Table1[[#This Row],[Terrestrial % of Summed Score]]*Table1[[#This Row],[Scaled Summed Score]]</f>
        <v>2.3284765653510904E-2</v>
      </c>
      <c r="AD309" s="11">
        <f>Table1[[#This Row],[Freshwater % of Summed Score]]*Table1[[#This Row],[Scaled Summed Score]]</f>
        <v>1.8382656696075635E-2</v>
      </c>
      <c r="AE309" s="18">
        <f>Table1[[#This Row],[Summed Raw Scores]]/MAX(Table1[Summed Raw Scores])</f>
        <v>4.1667422349586536E-2</v>
      </c>
    </row>
    <row r="310" spans="1:31" x14ac:dyDescent="0.3">
      <c r="A310" s="8" t="s">
        <v>406</v>
      </c>
      <c r="B310" s="8" t="s">
        <v>58</v>
      </c>
      <c r="C310" s="8" t="s">
        <v>40</v>
      </c>
      <c r="D310" s="8"/>
      <c r="E310" s="34">
        <v>49.339973819999997</v>
      </c>
      <c r="F310" s="34">
        <v>-117.66531380000001</v>
      </c>
      <c r="G310" s="34">
        <v>26.71753846</v>
      </c>
      <c r="H310" s="8" t="s">
        <v>22</v>
      </c>
      <c r="I310" s="8" t="s">
        <v>22</v>
      </c>
      <c r="J310" s="34">
        <v>44.439266430000004</v>
      </c>
      <c r="K310" s="34">
        <v>190.42225400000001</v>
      </c>
      <c r="L310" s="9" t="s">
        <v>22</v>
      </c>
      <c r="M310" s="34">
        <v>0</v>
      </c>
      <c r="N310" s="34">
        <v>35.799999999999997</v>
      </c>
      <c r="O310" s="9">
        <f>Table1[[#This Row],[R1 Length (km)]]+Table1[[#This Row],[T1 Length (km)]]</f>
        <v>35.799999999999997</v>
      </c>
      <c r="P310" s="38">
        <v>69</v>
      </c>
      <c r="Q310" s="9">
        <f>(Table1[[#This Row],[Linear Features (km)]]*0.4)*100</f>
        <v>1432</v>
      </c>
      <c r="R310" s="34">
        <v>108.54</v>
      </c>
      <c r="S310" s="3">
        <f>Table1[[#This Row],[ATG (ha)]]/Table1[[#This Row],[Linear Area (ha)]]</f>
        <v>7.5796089385474871E-2</v>
      </c>
      <c r="T310" s="2" t="s">
        <v>22</v>
      </c>
      <c r="U310" s="2" t="s">
        <v>22</v>
      </c>
      <c r="V310" s="34">
        <v>108.54</v>
      </c>
      <c r="W310" s="34">
        <v>43.415999999999997</v>
      </c>
      <c r="X310" s="10">
        <v>396.60070000000002</v>
      </c>
      <c r="Y310" s="10">
        <f>Table1[[#This Row],[Raw Terrestrial Score]]/Table1[[#This Row],[Summed Raw Scores]]</f>
        <v>0.69309214142200382</v>
      </c>
      <c r="Z310" s="10">
        <v>175.61859999999999</v>
      </c>
      <c r="AA310" s="10">
        <f>Table1[[#This Row],[Raw Freshwater Score]]/Table1[[#This Row],[Summed Raw Scores]]</f>
        <v>0.30690785857799624</v>
      </c>
      <c r="AB310" s="10">
        <f>Table1[[#This Row],[Raw Terrestrial Score]]+Table1[[#This Row],[Raw Freshwater Score]]</f>
        <v>572.21929999999998</v>
      </c>
      <c r="AC310" s="11">
        <f>Table1[[#This Row],[Terrestrial % of Summed Score]]*Table1[[#This Row],[Scaled Summed Score]]</f>
        <v>4.8732418698962228E-2</v>
      </c>
      <c r="AD310" s="11">
        <f>Table1[[#This Row],[Freshwater % of Summed Score]]*Table1[[#This Row],[Scaled Summed Score]]</f>
        <v>2.1579183159599988E-2</v>
      </c>
      <c r="AE310" s="18">
        <f>Table1[[#This Row],[Summed Raw Scores]]/MAX(Table1[Summed Raw Scores])</f>
        <v>7.0311601858562209E-2</v>
      </c>
    </row>
    <row r="311" spans="1:31" x14ac:dyDescent="0.3">
      <c r="A311" s="8" t="s">
        <v>312</v>
      </c>
      <c r="B311" s="8" t="s">
        <v>58</v>
      </c>
      <c r="C311" s="8" t="s">
        <v>95</v>
      </c>
      <c r="D311" s="8"/>
      <c r="E311" s="34">
        <v>49.574248390000001</v>
      </c>
      <c r="F311" s="34">
        <v>-115.8622891</v>
      </c>
      <c r="G311" s="34">
        <v>28.113230770000001</v>
      </c>
      <c r="H311" s="8" t="s">
        <v>22</v>
      </c>
      <c r="I311" s="8" t="s">
        <v>22</v>
      </c>
      <c r="J311" s="34">
        <v>49.920582590000002</v>
      </c>
      <c r="K311" s="34">
        <v>130.6943167</v>
      </c>
      <c r="L311" s="9" t="s">
        <v>22</v>
      </c>
      <c r="M311" s="34">
        <v>0.4</v>
      </c>
      <c r="N311" s="34">
        <v>9</v>
      </c>
      <c r="O311" s="9">
        <f>Table1[[#This Row],[R1 Length (km)]]+Table1[[#This Row],[T1 Length (km)]]</f>
        <v>9.4</v>
      </c>
      <c r="P311" s="38">
        <v>69</v>
      </c>
      <c r="Q311" s="9">
        <f>(Table1[[#This Row],[Linear Features (km)]]*0.4)*100</f>
        <v>376</v>
      </c>
      <c r="R311" s="34">
        <v>114.21</v>
      </c>
      <c r="S311" s="3">
        <f>Table1[[#This Row],[ATG (ha)]]/Table1[[#This Row],[Linear Area (ha)]]</f>
        <v>0.30374999999999996</v>
      </c>
      <c r="T311" s="2" t="s">
        <v>22</v>
      </c>
      <c r="U311" s="2" t="s">
        <v>22</v>
      </c>
      <c r="V311" s="34">
        <v>114.21</v>
      </c>
      <c r="W311" s="34">
        <v>45.683999999999997</v>
      </c>
      <c r="X311" s="10">
        <v>185.2595</v>
      </c>
      <c r="Y311" s="10">
        <f>Table1[[#This Row],[Raw Terrestrial Score]]/Table1[[#This Row],[Summed Raw Scores]]</f>
        <v>0.66053907992712013</v>
      </c>
      <c r="Z311" s="10">
        <v>95.207629999999995</v>
      </c>
      <c r="AA311" s="10">
        <f>Table1[[#This Row],[Raw Freshwater Score]]/Table1[[#This Row],[Summed Raw Scores]]</f>
        <v>0.33946092007287981</v>
      </c>
      <c r="AB311" s="10">
        <f>Table1[[#This Row],[Raw Terrestrial Score]]+Table1[[#This Row],[Raw Freshwater Score]]</f>
        <v>280.46713</v>
      </c>
      <c r="AC311" s="11">
        <f>Table1[[#This Row],[Terrestrial % of Summed Score]]*Table1[[#This Row],[Scaled Summed Score]]</f>
        <v>2.2763811364832166E-2</v>
      </c>
      <c r="AD311" s="11">
        <f>Table1[[#This Row],[Freshwater % of Summed Score]]*Table1[[#This Row],[Scaled Summed Score]]</f>
        <v>1.1698663387371421E-2</v>
      </c>
      <c r="AE311" s="18">
        <f>Table1[[#This Row],[Summed Raw Scores]]/MAX(Table1[Summed Raw Scores])</f>
        <v>3.4462474752203591E-2</v>
      </c>
    </row>
    <row r="312" spans="1:31" x14ac:dyDescent="0.3">
      <c r="A312" s="8" t="s">
        <v>409</v>
      </c>
      <c r="B312" s="8" t="s">
        <v>58</v>
      </c>
      <c r="C312" s="8" t="s">
        <v>40</v>
      </c>
      <c r="D312" s="8"/>
      <c r="E312" s="34">
        <v>49.03846231</v>
      </c>
      <c r="F312" s="34">
        <v>-119.4321216</v>
      </c>
      <c r="G312" s="34">
        <v>27.315692309999999</v>
      </c>
      <c r="H312" s="8" t="s">
        <v>22</v>
      </c>
      <c r="I312" s="8" t="s">
        <v>22</v>
      </c>
      <c r="J312" s="34">
        <v>50.403647630000002</v>
      </c>
      <c r="K312" s="34">
        <v>202.4849293</v>
      </c>
      <c r="L312" s="9" t="s">
        <v>22</v>
      </c>
      <c r="M312" s="34">
        <v>0</v>
      </c>
      <c r="N312" s="34">
        <v>27.2</v>
      </c>
      <c r="O312" s="9">
        <f>Table1[[#This Row],[R1 Length (km)]]+Table1[[#This Row],[T1 Length (km)]]</f>
        <v>27.2</v>
      </c>
      <c r="P312" s="38">
        <v>130</v>
      </c>
      <c r="Q312" s="9">
        <f>(Table1[[#This Row],[Linear Features (km)]]*0.4)*100</f>
        <v>1088</v>
      </c>
      <c r="R312" s="34">
        <v>110.97</v>
      </c>
      <c r="S312" s="3">
        <f>Table1[[#This Row],[ATG (ha)]]/Table1[[#This Row],[Linear Area (ha)]]</f>
        <v>0.10199448529411764</v>
      </c>
      <c r="T312" s="2" t="s">
        <v>22</v>
      </c>
      <c r="U312" s="2" t="s">
        <v>22</v>
      </c>
      <c r="V312" s="34">
        <v>110.97</v>
      </c>
      <c r="W312" s="34">
        <v>44.387999999999998</v>
      </c>
      <c r="X312" s="10">
        <v>656.62890000000004</v>
      </c>
      <c r="Y312" s="10">
        <f>Table1[[#This Row],[Raw Terrestrial Score]]/Table1[[#This Row],[Summed Raw Scores]]</f>
        <v>0.86359518606987318</v>
      </c>
      <c r="Z312" s="10">
        <v>103.7145</v>
      </c>
      <c r="AA312" s="10">
        <f>Table1[[#This Row],[Raw Freshwater Score]]/Table1[[#This Row],[Summed Raw Scores]]</f>
        <v>0.13640481393012682</v>
      </c>
      <c r="AB312" s="10">
        <f>Table1[[#This Row],[Raw Terrestrial Score]]+Table1[[#This Row],[Raw Freshwater Score]]</f>
        <v>760.34340000000009</v>
      </c>
      <c r="AC312" s="11">
        <f>Table1[[#This Row],[Terrestrial % of Summed Score]]*Table1[[#This Row],[Scaled Summed Score]]</f>
        <v>8.0683454377763322E-2</v>
      </c>
      <c r="AD312" s="11">
        <f>Table1[[#This Row],[Freshwater % of Summed Score]]*Table1[[#This Row],[Scaled Summed Score]]</f>
        <v>1.2743947348437654E-2</v>
      </c>
      <c r="AE312" s="18">
        <f>Table1[[#This Row],[Summed Raw Scores]]/MAX(Table1[Summed Raw Scores])</f>
        <v>9.3427401726200981E-2</v>
      </c>
    </row>
    <row r="313" spans="1:31" x14ac:dyDescent="0.3">
      <c r="A313" s="8" t="s">
        <v>413</v>
      </c>
      <c r="B313" s="8" t="s">
        <v>58</v>
      </c>
      <c r="C313" s="8" t="s">
        <v>40</v>
      </c>
      <c r="D313" s="8"/>
      <c r="E313" s="34">
        <v>49.086061770000001</v>
      </c>
      <c r="F313" s="34">
        <v>-119.1086566</v>
      </c>
      <c r="G313" s="34">
        <v>23.527384619999999</v>
      </c>
      <c r="H313" s="8" t="s">
        <v>22</v>
      </c>
      <c r="I313" s="8" t="s">
        <v>22</v>
      </c>
      <c r="J313" s="34">
        <v>42.918905299999999</v>
      </c>
      <c r="K313" s="34">
        <v>240.89373699999999</v>
      </c>
      <c r="L313" s="9" t="s">
        <v>22</v>
      </c>
      <c r="M313" s="34">
        <v>0</v>
      </c>
      <c r="N313" s="34">
        <v>40.6</v>
      </c>
      <c r="O313" s="9">
        <f>Table1[[#This Row],[R1 Length (km)]]+Table1[[#This Row],[T1 Length (km)]]</f>
        <v>40.6</v>
      </c>
      <c r="P313" s="38">
        <v>130</v>
      </c>
      <c r="Q313" s="9">
        <f>(Table1[[#This Row],[Linear Features (km)]]*0.4)*100</f>
        <v>1624.0000000000002</v>
      </c>
      <c r="R313" s="34">
        <v>95.58</v>
      </c>
      <c r="S313" s="3">
        <f>Table1[[#This Row],[ATG (ha)]]/Table1[[#This Row],[Linear Area (ha)]]</f>
        <v>5.8854679802955653E-2</v>
      </c>
      <c r="T313" s="2" t="s">
        <v>22</v>
      </c>
      <c r="U313" s="2" t="s">
        <v>22</v>
      </c>
      <c r="V313" s="34">
        <v>95.58</v>
      </c>
      <c r="W313" s="34">
        <v>38.231999999999999</v>
      </c>
      <c r="X313" s="10">
        <v>662.88019999999995</v>
      </c>
      <c r="Y313" s="10">
        <f>Table1[[#This Row],[Raw Terrestrial Score]]/Table1[[#This Row],[Summed Raw Scores]]</f>
        <v>0.8460588866405494</v>
      </c>
      <c r="Z313" s="10">
        <v>120.6116</v>
      </c>
      <c r="AA313" s="10">
        <f>Table1[[#This Row],[Raw Freshwater Score]]/Table1[[#This Row],[Summed Raw Scores]]</f>
        <v>0.15394111335945063</v>
      </c>
      <c r="AB313" s="10">
        <f>Table1[[#This Row],[Raw Terrestrial Score]]+Table1[[#This Row],[Raw Freshwater Score]]</f>
        <v>783.4917999999999</v>
      </c>
      <c r="AC313" s="11">
        <f>Table1[[#This Row],[Terrestrial % of Summed Score]]*Table1[[#This Row],[Scaled Summed Score]]</f>
        <v>8.1451584562638998E-2</v>
      </c>
      <c r="AD313" s="11">
        <f>Table1[[#This Row],[Freshwater % of Summed Score]]*Table1[[#This Row],[Scaled Summed Score]]</f>
        <v>1.4820183098899606E-2</v>
      </c>
      <c r="AE313" s="18">
        <f>Table1[[#This Row],[Summed Raw Scores]]/MAX(Table1[Summed Raw Scores])</f>
        <v>9.6271767661538596E-2</v>
      </c>
    </row>
    <row r="314" spans="1:31" x14ac:dyDescent="0.3">
      <c r="A314" s="8" t="s">
        <v>408</v>
      </c>
      <c r="B314" s="8" t="s">
        <v>58</v>
      </c>
      <c r="C314" s="8" t="s">
        <v>40</v>
      </c>
      <c r="D314" s="8"/>
      <c r="E314" s="34">
        <v>49.236297530000002</v>
      </c>
      <c r="F314" s="34">
        <v>-118.0536295</v>
      </c>
      <c r="G314" s="34">
        <v>24.524307690000001</v>
      </c>
      <c r="H314" s="8" t="s">
        <v>22</v>
      </c>
      <c r="I314" s="8" t="s">
        <v>22</v>
      </c>
      <c r="J314" s="34">
        <v>42.714905270000003</v>
      </c>
      <c r="K314" s="34">
        <v>200.18533529999999</v>
      </c>
      <c r="L314" s="9" t="s">
        <v>22</v>
      </c>
      <c r="M314" s="34">
        <v>0.3</v>
      </c>
      <c r="N314" s="34">
        <v>47.6</v>
      </c>
      <c r="O314" s="9">
        <f>Table1[[#This Row],[R1 Length (km)]]+Table1[[#This Row],[T1 Length (km)]]</f>
        <v>47.9</v>
      </c>
      <c r="P314" s="38">
        <v>69</v>
      </c>
      <c r="Q314" s="9">
        <f>(Table1[[#This Row],[Linear Features (km)]]*0.4)*100</f>
        <v>1916</v>
      </c>
      <c r="R314" s="34">
        <v>99.63</v>
      </c>
      <c r="S314" s="3">
        <f>Table1[[#This Row],[ATG (ha)]]/Table1[[#This Row],[Linear Area (ha)]]</f>
        <v>5.199895615866388E-2</v>
      </c>
      <c r="T314" s="2" t="s">
        <v>22</v>
      </c>
      <c r="U314" s="2" t="s">
        <v>22</v>
      </c>
      <c r="V314" s="34">
        <v>99.63</v>
      </c>
      <c r="W314" s="34">
        <v>39.851999999999997</v>
      </c>
      <c r="X314" s="10">
        <v>548.89760000000001</v>
      </c>
      <c r="Y314" s="10">
        <f>Table1[[#This Row],[Raw Terrestrial Score]]/Table1[[#This Row],[Summed Raw Scores]]</f>
        <v>0.6920817757012292</v>
      </c>
      <c r="Z314" s="10">
        <v>244.2133</v>
      </c>
      <c r="AA314" s="10">
        <f>Table1[[#This Row],[Raw Freshwater Score]]/Table1[[#This Row],[Summed Raw Scores]]</f>
        <v>0.3079182242987708</v>
      </c>
      <c r="AB314" s="10">
        <f>Table1[[#This Row],[Raw Terrestrial Score]]+Table1[[#This Row],[Raw Freshwater Score]]</f>
        <v>793.11090000000002</v>
      </c>
      <c r="AC314" s="11">
        <f>Table1[[#This Row],[Terrestrial % of Summed Score]]*Table1[[#This Row],[Scaled Summed Score]]</f>
        <v>6.7445941638669543E-2</v>
      </c>
      <c r="AD314" s="11">
        <f>Table1[[#This Row],[Freshwater % of Summed Score]]*Table1[[#This Row],[Scaled Summed Score]]</f>
        <v>3.0007775547182019E-2</v>
      </c>
      <c r="AE314" s="18">
        <f>Table1[[#This Row],[Summed Raw Scores]]/MAX(Table1[Summed Raw Scores])</f>
        <v>9.7453717185851566E-2</v>
      </c>
    </row>
    <row r="315" spans="1:31" x14ac:dyDescent="0.3">
      <c r="A315" s="8" t="s">
        <v>378</v>
      </c>
      <c r="B315" s="8" t="s">
        <v>58</v>
      </c>
      <c r="C315" s="8" t="s">
        <v>40</v>
      </c>
      <c r="D315" s="8"/>
      <c r="E315" s="34">
        <v>49.292254130000003</v>
      </c>
      <c r="F315" s="34">
        <v>-117.6463486</v>
      </c>
      <c r="G315" s="34">
        <v>64.8</v>
      </c>
      <c r="H315" s="8" t="s">
        <v>22</v>
      </c>
      <c r="I315" s="8" t="s">
        <v>22</v>
      </c>
      <c r="J315" s="34">
        <v>107.23228450000001</v>
      </c>
      <c r="K315" s="34">
        <v>152.60262230000001</v>
      </c>
      <c r="L315" s="9" t="s">
        <v>22</v>
      </c>
      <c r="M315" s="34">
        <v>0.3</v>
      </c>
      <c r="N315" s="34">
        <v>29.8</v>
      </c>
      <c r="O315" s="9">
        <f>Table1[[#This Row],[R1 Length (km)]]+Table1[[#This Row],[T1 Length (km)]]</f>
        <v>30.1</v>
      </c>
      <c r="P315" s="38">
        <v>230</v>
      </c>
      <c r="Q315" s="9">
        <f>(Table1[[#This Row],[Linear Features (km)]]*0.4)*100</f>
        <v>1204</v>
      </c>
      <c r="R315" s="34">
        <v>263.25</v>
      </c>
      <c r="S315" s="3">
        <f>Table1[[#This Row],[ATG (ha)]]/Table1[[#This Row],[Linear Area (ha)]]</f>
        <v>0.21864617940199335</v>
      </c>
      <c r="T315" s="2" t="s">
        <v>22</v>
      </c>
      <c r="U315" s="2" t="s">
        <v>22</v>
      </c>
      <c r="V315" s="34">
        <v>263.25</v>
      </c>
      <c r="W315" s="34">
        <v>105.3</v>
      </c>
      <c r="X315" s="10">
        <v>355.2405</v>
      </c>
      <c r="Y315" s="10">
        <f>Table1[[#This Row],[Raw Terrestrial Score]]/Table1[[#This Row],[Summed Raw Scores]]</f>
        <v>0.69401968587467577</v>
      </c>
      <c r="Z315" s="10">
        <v>156.6189</v>
      </c>
      <c r="AA315" s="10">
        <f>Table1[[#This Row],[Raw Freshwater Score]]/Table1[[#This Row],[Summed Raw Scores]]</f>
        <v>0.30598031412532428</v>
      </c>
      <c r="AB315" s="10">
        <f>Table1[[#This Row],[Raw Terrestrial Score]]+Table1[[#This Row],[Raw Freshwater Score]]</f>
        <v>511.85939999999999</v>
      </c>
      <c r="AC315" s="11">
        <f>Table1[[#This Row],[Terrestrial % of Summed Score]]*Table1[[#This Row],[Scaled Summed Score]]</f>
        <v>4.3650272893690528E-2</v>
      </c>
      <c r="AD315" s="11">
        <f>Table1[[#This Row],[Freshwater % of Summed Score]]*Table1[[#This Row],[Scaled Summed Score]]</f>
        <v>1.9244589863232454E-2</v>
      </c>
      <c r="AE315" s="18">
        <f>Table1[[#This Row],[Summed Raw Scores]]/MAX(Table1[Summed Raw Scores])</f>
        <v>6.2894862756922978E-2</v>
      </c>
    </row>
    <row r="316" spans="1:31" x14ac:dyDescent="0.3">
      <c r="A316" s="8" t="s">
        <v>276</v>
      </c>
      <c r="B316" s="8" t="s">
        <v>58</v>
      </c>
      <c r="C316" s="8" t="s">
        <v>95</v>
      </c>
      <c r="D316" s="8"/>
      <c r="E316" s="34">
        <v>49.478360520000003</v>
      </c>
      <c r="F316" s="34">
        <v>-115.82734960000001</v>
      </c>
      <c r="G316" s="34">
        <v>31.103999999999999</v>
      </c>
      <c r="H316" s="8" t="s">
        <v>22</v>
      </c>
      <c r="I316" s="8" t="s">
        <v>22</v>
      </c>
      <c r="J316" s="24">
        <v>56.30024616</v>
      </c>
      <c r="K316" s="24">
        <v>123.52039379999999</v>
      </c>
      <c r="L316" s="9" t="s">
        <v>22</v>
      </c>
      <c r="M316" s="34">
        <v>0.3</v>
      </c>
      <c r="N316" s="34">
        <v>6.8</v>
      </c>
      <c r="O316" s="9">
        <f>Table1[[#This Row],[R1 Length (km)]]+Table1[[#This Row],[T1 Length (km)]]</f>
        <v>7.1</v>
      </c>
      <c r="P316" s="38">
        <v>69</v>
      </c>
      <c r="Q316" s="9">
        <f>(Table1[[#This Row],[Linear Features (km)]]*0.4)*100</f>
        <v>284</v>
      </c>
      <c r="R316" s="34">
        <v>126.36</v>
      </c>
      <c r="S316" s="3">
        <f>Table1[[#This Row],[ATG (ha)]]/Table1[[#This Row],[Linear Area (ha)]]</f>
        <v>0.44492957746478873</v>
      </c>
      <c r="T316" s="2" t="s">
        <v>22</v>
      </c>
      <c r="U316" s="2" t="s">
        <v>22</v>
      </c>
      <c r="V316" s="34">
        <v>126.36</v>
      </c>
      <c r="W316" s="34">
        <v>50.543999999999997</v>
      </c>
      <c r="X316" s="10">
        <v>159.92599999999999</v>
      </c>
      <c r="Y316" s="10">
        <f>Table1[[#This Row],[Raw Terrestrial Score]]/Table1[[#This Row],[Summed Raw Scores]]</f>
        <v>0.80749528671596393</v>
      </c>
      <c r="Z316" s="10">
        <v>38.125929999999997</v>
      </c>
      <c r="AA316" s="10">
        <f>Table1[[#This Row],[Raw Freshwater Score]]/Table1[[#This Row],[Summed Raw Scores]]</f>
        <v>0.19250471328403618</v>
      </c>
      <c r="AB316" s="10">
        <f>Table1[[#This Row],[Raw Terrestrial Score]]+Table1[[#This Row],[Raw Freshwater Score]]</f>
        <v>198.05192999999997</v>
      </c>
      <c r="AC316" s="11">
        <f>Table1[[#This Row],[Terrestrial % of Summed Score]]*Table1[[#This Row],[Scaled Summed Score]]</f>
        <v>1.9650950673688255E-2</v>
      </c>
      <c r="AD316" s="11">
        <f>Table1[[#This Row],[Freshwater % of Summed Score]]*Table1[[#This Row],[Scaled Summed Score]]</f>
        <v>4.6847340008409587E-3</v>
      </c>
      <c r="AE316" s="18">
        <f>Table1[[#This Row],[Summed Raw Scores]]/MAX(Table1[Summed Raw Scores])</f>
        <v>2.433568467452921E-2</v>
      </c>
    </row>
    <row r="317" spans="1:31" x14ac:dyDescent="0.3">
      <c r="A317" s="8" t="s">
        <v>94</v>
      </c>
      <c r="B317" s="8" t="s">
        <v>58</v>
      </c>
      <c r="C317" s="8" t="s">
        <v>95</v>
      </c>
      <c r="D317" s="8"/>
      <c r="E317" s="33">
        <v>49.546591419999999</v>
      </c>
      <c r="F317" s="33">
        <v>-115.68028320000001</v>
      </c>
      <c r="G317" s="33">
        <v>82.146461538500006</v>
      </c>
      <c r="H317" s="9" t="s">
        <v>22</v>
      </c>
      <c r="I317" s="9" t="s">
        <v>22</v>
      </c>
      <c r="J317" s="33">
        <v>145.58409507610833</v>
      </c>
      <c r="K317" s="33">
        <v>103.70798631766935</v>
      </c>
      <c r="L317" s="9" t="s">
        <v>22</v>
      </c>
      <c r="M317" s="33">
        <v>1.8</v>
      </c>
      <c r="N317" s="33">
        <v>9.4</v>
      </c>
      <c r="O317" s="9">
        <f>Table1[[#This Row],[R1 Length (km)]]+Table1[[#This Row],[T1 Length (km)]]</f>
        <v>11.200000000000001</v>
      </c>
      <c r="P317" s="36">
        <v>230</v>
      </c>
      <c r="Q317" s="9">
        <f>(Table1[[#This Row],[Linear Features (km)]]*0.4)*100</f>
        <v>448.00000000000006</v>
      </c>
      <c r="R317" s="33">
        <v>845.64</v>
      </c>
      <c r="S317" s="18">
        <f>Table1[[#This Row],[ATG (ha)]]/Table1[[#This Row],[Linear Area (ha)]]</f>
        <v>1.8875892857142855</v>
      </c>
      <c r="T317" s="2" t="s">
        <v>22</v>
      </c>
      <c r="U317" s="2" t="s">
        <v>22</v>
      </c>
      <c r="V317" s="33">
        <v>845.64</v>
      </c>
      <c r="W317" s="33">
        <v>338.25600000000003</v>
      </c>
      <c r="X317" s="10">
        <v>441.88839999999999</v>
      </c>
      <c r="Y317" s="10">
        <f>Table1[[#This Row],[Raw Terrestrial Score]]/Table1[[#This Row],[Summed Raw Scores]]</f>
        <v>0.73888413360593119</v>
      </c>
      <c r="Z317" s="10">
        <v>156.15989999999999</v>
      </c>
      <c r="AA317" s="10">
        <f>Table1[[#This Row],[Raw Freshwater Score]]/Table1[[#This Row],[Summed Raw Scores]]</f>
        <v>0.26111586639406886</v>
      </c>
      <c r="AB317" s="10">
        <f>Table1[[#This Row],[Raw Terrestrial Score]]+Table1[[#This Row],[Raw Freshwater Score]]</f>
        <v>598.04829999999993</v>
      </c>
      <c r="AC317" s="11">
        <f>Table1[[#This Row],[Terrestrial % of Summed Score]]*Table1[[#This Row],[Scaled Summed Score]]</f>
        <v>5.4297157133142974E-2</v>
      </c>
      <c r="AD317" s="11">
        <f>Table1[[#This Row],[Freshwater % of Summed Score]]*Table1[[#This Row],[Scaled Summed Score]]</f>
        <v>1.9188190113603103E-2</v>
      </c>
      <c r="AE317" s="18">
        <f>Table1[[#This Row],[Summed Raw Scores]]/MAX(Table1[Summed Raw Scores])</f>
        <v>7.3485347246746074E-2</v>
      </c>
    </row>
    <row r="318" spans="1:31" x14ac:dyDescent="0.3">
      <c r="A318" s="8" t="s">
        <v>328</v>
      </c>
      <c r="B318" s="8" t="s">
        <v>58</v>
      </c>
      <c r="C318" s="8" t="s">
        <v>95</v>
      </c>
      <c r="D318" s="8"/>
      <c r="E318" s="34">
        <v>49.528722129999998</v>
      </c>
      <c r="F318" s="34">
        <v>-115.4161629</v>
      </c>
      <c r="G318" s="34">
        <v>12.162461540000001</v>
      </c>
      <c r="H318" s="8" t="s">
        <v>22</v>
      </c>
      <c r="I318" s="8" t="s">
        <v>22</v>
      </c>
      <c r="J318" s="34">
        <v>20.61246491</v>
      </c>
      <c r="K318" s="34">
        <v>133.9561937</v>
      </c>
      <c r="L318" s="9" t="s">
        <v>22</v>
      </c>
      <c r="M318" s="34">
        <v>3.4</v>
      </c>
      <c r="N318" s="34">
        <v>5.4</v>
      </c>
      <c r="O318" s="9">
        <f>Table1[[#This Row],[R1 Length (km)]]+Table1[[#This Row],[T1 Length (km)]]</f>
        <v>8.8000000000000007</v>
      </c>
      <c r="P318" s="38">
        <v>25</v>
      </c>
      <c r="Q318" s="9">
        <f>(Table1[[#This Row],[Linear Features (km)]]*0.4)*100</f>
        <v>352.00000000000006</v>
      </c>
      <c r="R318" s="34">
        <v>49.41</v>
      </c>
      <c r="S318" s="3">
        <f>Table1[[#This Row],[ATG (ha)]]/Table1[[#This Row],[Linear Area (ha)]]</f>
        <v>0.14036931818181814</v>
      </c>
      <c r="T318" s="2" t="s">
        <v>22</v>
      </c>
      <c r="U318" s="2" t="s">
        <v>22</v>
      </c>
      <c r="V318" s="34">
        <v>49.41</v>
      </c>
      <c r="W318" s="34">
        <v>19.763999999999999</v>
      </c>
      <c r="X318" s="10">
        <v>145.85749999999999</v>
      </c>
      <c r="Y318" s="10">
        <f>Table1[[#This Row],[Raw Terrestrial Score]]/Table1[[#This Row],[Summed Raw Scores]]</f>
        <v>0.69364097800203528</v>
      </c>
      <c r="Z318" s="10">
        <v>64.420590000000004</v>
      </c>
      <c r="AA318" s="10">
        <f>Table1[[#This Row],[Raw Freshwater Score]]/Table1[[#This Row],[Summed Raw Scores]]</f>
        <v>0.30635902199796472</v>
      </c>
      <c r="AB318" s="10">
        <f>Table1[[#This Row],[Raw Terrestrial Score]]+Table1[[#This Row],[Raw Freshwater Score]]</f>
        <v>210.27808999999999</v>
      </c>
      <c r="AC318" s="11">
        <f>Table1[[#This Row],[Terrestrial % of Summed Score]]*Table1[[#This Row],[Scaled Summed Score]]</f>
        <v>1.7922279916258048E-2</v>
      </c>
      <c r="AD318" s="11">
        <f>Table1[[#This Row],[Freshwater % of Summed Score]]*Table1[[#This Row],[Scaled Summed Score]]</f>
        <v>7.9156974879625256E-3</v>
      </c>
      <c r="AE318" s="18">
        <f>Table1[[#This Row],[Summed Raw Scores]]/MAX(Table1[Summed Raw Scores])</f>
        <v>2.5837977404220572E-2</v>
      </c>
    </row>
    <row r="319" spans="1:31" x14ac:dyDescent="0.3">
      <c r="A319" s="8" t="s">
        <v>331</v>
      </c>
      <c r="B319" s="8" t="s">
        <v>58</v>
      </c>
      <c r="C319" s="8" t="s">
        <v>95</v>
      </c>
      <c r="D319" s="8"/>
      <c r="E319" s="34">
        <v>49.42023451</v>
      </c>
      <c r="F319" s="34">
        <v>-115.8920045</v>
      </c>
      <c r="G319" s="34">
        <v>25.12246154</v>
      </c>
      <c r="H319" s="8" t="s">
        <v>22</v>
      </c>
      <c r="I319" s="8" t="s">
        <v>22</v>
      </c>
      <c r="J319" s="34">
        <v>46.020053150000003</v>
      </c>
      <c r="K319" s="34">
        <v>135.1440547</v>
      </c>
      <c r="L319" s="9" t="s">
        <v>22</v>
      </c>
      <c r="M319" s="34">
        <v>0.6</v>
      </c>
      <c r="N319" s="34">
        <v>14.8</v>
      </c>
      <c r="O319" s="9">
        <f>Table1[[#This Row],[R1 Length (km)]]+Table1[[#This Row],[T1 Length (km)]]</f>
        <v>15.4</v>
      </c>
      <c r="P319" s="38">
        <v>69</v>
      </c>
      <c r="Q319" s="9">
        <f>(Table1[[#This Row],[Linear Features (km)]]*0.4)*100</f>
        <v>616</v>
      </c>
      <c r="R319" s="34">
        <v>102.06</v>
      </c>
      <c r="S319" s="3">
        <f>Table1[[#This Row],[ATG (ha)]]/Table1[[#This Row],[Linear Area (ha)]]</f>
        <v>0.16568181818181818</v>
      </c>
      <c r="T319" s="2" t="s">
        <v>22</v>
      </c>
      <c r="U319" s="2" t="s">
        <v>22</v>
      </c>
      <c r="V319" s="34">
        <v>102.06</v>
      </c>
      <c r="W319" s="34">
        <v>40.823999999999998</v>
      </c>
      <c r="X319" s="10">
        <v>243.6918</v>
      </c>
      <c r="Y319" s="10">
        <f>Table1[[#This Row],[Raw Terrestrial Score]]/Table1[[#This Row],[Summed Raw Scores]]</f>
        <v>0.79691648021180306</v>
      </c>
      <c r="Z319" s="10">
        <v>62.101599999999998</v>
      </c>
      <c r="AA319" s="10">
        <f>Table1[[#This Row],[Raw Freshwater Score]]/Table1[[#This Row],[Summed Raw Scores]]</f>
        <v>0.20308351978819686</v>
      </c>
      <c r="AB319" s="10">
        <f>Table1[[#This Row],[Raw Terrestrial Score]]+Table1[[#This Row],[Raw Freshwater Score]]</f>
        <v>305.79340000000002</v>
      </c>
      <c r="AC319" s="11">
        <f>Table1[[#This Row],[Terrestrial % of Summed Score]]*Table1[[#This Row],[Scaled Summed Score]]</f>
        <v>2.9943696093082443E-2</v>
      </c>
      <c r="AD319" s="11">
        <f>Table1[[#This Row],[Freshwater % of Summed Score]]*Table1[[#This Row],[Scaled Summed Score]]</f>
        <v>7.6307509620519394E-3</v>
      </c>
      <c r="AE319" s="18">
        <f>Table1[[#This Row],[Summed Raw Scores]]/MAX(Table1[Summed Raw Scores])</f>
        <v>3.7574447055134387E-2</v>
      </c>
    </row>
    <row r="320" spans="1:31" x14ac:dyDescent="0.3">
      <c r="A320" s="8" t="s">
        <v>375</v>
      </c>
      <c r="B320" s="8" t="s">
        <v>58</v>
      </c>
      <c r="C320" s="8" t="s">
        <v>40</v>
      </c>
      <c r="D320" s="8"/>
      <c r="E320" s="34">
        <v>49.042633840000001</v>
      </c>
      <c r="F320" s="34">
        <v>-117.6332014</v>
      </c>
      <c r="G320" s="34">
        <v>36.287999999999997</v>
      </c>
      <c r="H320" s="8" t="s">
        <v>22</v>
      </c>
      <c r="I320" s="8" t="s">
        <v>22</v>
      </c>
      <c r="J320" s="34">
        <v>61.39926131</v>
      </c>
      <c r="K320" s="34">
        <v>151.9266222</v>
      </c>
      <c r="L320" s="9" t="s">
        <v>22</v>
      </c>
      <c r="M320" s="34">
        <v>2.2000000000000002</v>
      </c>
      <c r="N320" s="34">
        <v>10</v>
      </c>
      <c r="O320" s="9">
        <f>Table1[[#This Row],[R1 Length (km)]]+Table1[[#This Row],[T1 Length (km)]]</f>
        <v>12.2</v>
      </c>
      <c r="P320" s="38">
        <v>69</v>
      </c>
      <c r="Q320" s="9">
        <f>(Table1[[#This Row],[Linear Features (km)]]*0.4)*100</f>
        <v>488</v>
      </c>
      <c r="R320" s="34">
        <v>147.41999999999999</v>
      </c>
      <c r="S320" s="3">
        <f>Table1[[#This Row],[ATG (ha)]]/Table1[[#This Row],[Linear Area (ha)]]</f>
        <v>0.30209016393442623</v>
      </c>
      <c r="T320" s="2" t="s">
        <v>22</v>
      </c>
      <c r="U320" s="2" t="s">
        <v>22</v>
      </c>
      <c r="V320" s="24">
        <v>147.41999999999999</v>
      </c>
      <c r="W320" s="24">
        <v>58.968000000000004</v>
      </c>
      <c r="X320" s="10">
        <v>239.02170000000001</v>
      </c>
      <c r="Y320" s="10">
        <f>Table1[[#This Row],[Raw Terrestrial Score]]/Table1[[#This Row],[Summed Raw Scores]]</f>
        <v>0.75917516468635227</v>
      </c>
      <c r="Z320" s="10">
        <v>75.822239999999994</v>
      </c>
      <c r="AA320" s="10">
        <f>Table1[[#This Row],[Raw Freshwater Score]]/Table1[[#This Row],[Summed Raw Scores]]</f>
        <v>0.24082483531364776</v>
      </c>
      <c r="AB320" s="10">
        <f>Table1[[#This Row],[Raw Terrestrial Score]]+Table1[[#This Row],[Raw Freshwater Score]]</f>
        <v>314.84393999999998</v>
      </c>
      <c r="AC320" s="11">
        <f>Table1[[#This Row],[Terrestrial % of Summed Score]]*Table1[[#This Row],[Scaled Summed Score]]</f>
        <v>2.9369856287539933E-2</v>
      </c>
      <c r="AD320" s="11">
        <f>Table1[[#This Row],[Freshwater % of Summed Score]]*Table1[[#This Row],[Scaled Summed Score]]</f>
        <v>9.3166783275299338E-3</v>
      </c>
      <c r="AE320" s="18">
        <f>Table1[[#This Row],[Summed Raw Scores]]/MAX(Table1[Summed Raw Scores])</f>
        <v>3.8686534615069865E-2</v>
      </c>
    </row>
    <row r="321" spans="1:31" x14ac:dyDescent="0.3">
      <c r="A321" s="8" t="s">
        <v>346</v>
      </c>
      <c r="B321" s="8" t="s">
        <v>58</v>
      </c>
      <c r="C321" s="8" t="s">
        <v>40</v>
      </c>
      <c r="D321" s="8"/>
      <c r="E321" s="34">
        <v>49.145262299999999</v>
      </c>
      <c r="F321" s="34">
        <v>-117.24546170000001</v>
      </c>
      <c r="G321" s="34">
        <v>49.84615385</v>
      </c>
      <c r="H321" s="8" t="s">
        <v>22</v>
      </c>
      <c r="I321" s="8" t="s">
        <v>22</v>
      </c>
      <c r="J321" s="34">
        <v>83.972166369999997</v>
      </c>
      <c r="K321" s="34">
        <v>140.4407076</v>
      </c>
      <c r="L321" s="9" t="s">
        <v>22</v>
      </c>
      <c r="M321" s="34">
        <v>0.3</v>
      </c>
      <c r="N321" s="34">
        <v>18.3</v>
      </c>
      <c r="O321" s="9">
        <f>Table1[[#This Row],[R1 Length (km)]]+Table1[[#This Row],[T1 Length (km)]]</f>
        <v>18.600000000000001</v>
      </c>
      <c r="P321" s="38">
        <v>69</v>
      </c>
      <c r="Q321" s="9">
        <f>(Table1[[#This Row],[Linear Features (km)]]*0.4)*100</f>
        <v>744.00000000000011</v>
      </c>
      <c r="R321" s="34">
        <v>202.5</v>
      </c>
      <c r="S321" s="3">
        <f>Table1[[#This Row],[ATG (ha)]]/Table1[[#This Row],[Linear Area (ha)]]</f>
        <v>0.27217741935483869</v>
      </c>
      <c r="T321" s="2" t="s">
        <v>22</v>
      </c>
      <c r="U321" s="2" t="s">
        <v>22</v>
      </c>
      <c r="V321" s="24">
        <v>202.5</v>
      </c>
      <c r="W321" s="24">
        <v>81</v>
      </c>
      <c r="X321" s="10">
        <v>270.3186</v>
      </c>
      <c r="Y321" s="10">
        <f>Table1[[#This Row],[Raw Terrestrial Score]]/Table1[[#This Row],[Summed Raw Scores]]</f>
        <v>0.71166925637127887</v>
      </c>
      <c r="Z321" s="10">
        <v>109.5188</v>
      </c>
      <c r="AA321" s="10">
        <f>Table1[[#This Row],[Raw Freshwater Score]]/Table1[[#This Row],[Summed Raw Scores]]</f>
        <v>0.28833074362872113</v>
      </c>
      <c r="AB321" s="10">
        <f>Table1[[#This Row],[Raw Terrestrial Score]]+Table1[[#This Row],[Raw Freshwater Score]]</f>
        <v>379.8374</v>
      </c>
      <c r="AC321" s="11">
        <f>Table1[[#This Row],[Terrestrial % of Summed Score]]*Table1[[#This Row],[Scaled Summed Score]]</f>
        <v>3.321547137288787E-2</v>
      </c>
      <c r="AD321" s="11">
        <f>Table1[[#This Row],[Freshwater % of Summed Score]]*Table1[[#This Row],[Scaled Summed Score]]</f>
        <v>1.3457152286942269E-2</v>
      </c>
      <c r="AE321" s="18">
        <f>Table1[[#This Row],[Summed Raw Scores]]/MAX(Table1[Summed Raw Scores])</f>
        <v>4.6672623659830138E-2</v>
      </c>
    </row>
    <row r="322" spans="1:31" x14ac:dyDescent="0.3">
      <c r="A322" s="8" t="s">
        <v>392</v>
      </c>
      <c r="B322" s="8" t="s">
        <v>58</v>
      </c>
      <c r="C322" s="8" t="s">
        <v>40</v>
      </c>
      <c r="D322" s="8"/>
      <c r="E322" s="34">
        <v>49.097512539999997</v>
      </c>
      <c r="F322" s="34">
        <v>-117.22692290000001</v>
      </c>
      <c r="G322" s="34">
        <v>12.56123077</v>
      </c>
      <c r="H322" s="8" t="s">
        <v>22</v>
      </c>
      <c r="I322" s="8" t="s">
        <v>22</v>
      </c>
      <c r="J322" s="34">
        <v>21.13956245</v>
      </c>
      <c r="K322" s="34">
        <v>159.00699689999999</v>
      </c>
      <c r="L322" s="9" t="s">
        <v>22</v>
      </c>
      <c r="M322" s="34">
        <v>2.8</v>
      </c>
      <c r="N322" s="34">
        <v>14.1</v>
      </c>
      <c r="O322" s="9">
        <f>Table1[[#This Row],[R1 Length (km)]]+Table1[[#This Row],[T1 Length (km)]]</f>
        <v>16.899999999999999</v>
      </c>
      <c r="P322" s="38">
        <v>25</v>
      </c>
      <c r="Q322" s="9">
        <f>(Table1[[#This Row],[Linear Features (km)]]*0.4)*100</f>
        <v>676</v>
      </c>
      <c r="R322" s="34">
        <v>51.03</v>
      </c>
      <c r="S322" s="3">
        <f>Table1[[#This Row],[ATG (ha)]]/Table1[[#This Row],[Linear Area (ha)]]</f>
        <v>7.5488165680473368E-2</v>
      </c>
      <c r="T322" s="2" t="s">
        <v>22</v>
      </c>
      <c r="U322" s="2" t="s">
        <v>22</v>
      </c>
      <c r="V322" s="24">
        <v>51.03</v>
      </c>
      <c r="W322" s="24">
        <v>20.411999999999999</v>
      </c>
      <c r="X322" s="10">
        <v>216.0812</v>
      </c>
      <c r="Y322" s="10">
        <f>Table1[[#This Row],[Raw Terrestrial Score]]/Table1[[#This Row],[Summed Raw Scores]]</f>
        <v>0.75530028542418359</v>
      </c>
      <c r="Z322" s="10">
        <v>70.005279999999999</v>
      </c>
      <c r="AA322" s="10">
        <f>Table1[[#This Row],[Raw Freshwater Score]]/Table1[[#This Row],[Summed Raw Scores]]</f>
        <v>0.24469971457581638</v>
      </c>
      <c r="AB322" s="10">
        <f>Table1[[#This Row],[Raw Terrestrial Score]]+Table1[[#This Row],[Raw Freshwater Score]]</f>
        <v>286.08647999999999</v>
      </c>
      <c r="AC322" s="11">
        <f>Table1[[#This Row],[Terrestrial % of Summed Score]]*Table1[[#This Row],[Scaled Summed Score]]</f>
        <v>2.6551036121152071E-2</v>
      </c>
      <c r="AD322" s="11">
        <f>Table1[[#This Row],[Freshwater % of Summed Score]]*Table1[[#This Row],[Scaled Summed Score]]</f>
        <v>8.6019177880878334E-3</v>
      </c>
      <c r="AE322" s="18">
        <f>Table1[[#This Row],[Summed Raw Scores]]/MAX(Table1[Summed Raw Scores])</f>
        <v>3.5152953909239906E-2</v>
      </c>
    </row>
    <row r="323" spans="1:31" x14ac:dyDescent="0.3">
      <c r="A323" s="8" t="s">
        <v>109</v>
      </c>
      <c r="B323" s="8" t="s">
        <v>97</v>
      </c>
      <c r="C323" s="8" t="s">
        <v>32</v>
      </c>
      <c r="D323" s="8" t="s">
        <v>250</v>
      </c>
      <c r="E323" s="12">
        <v>50.52</v>
      </c>
      <c r="F323" s="12">
        <v>-123.24</v>
      </c>
      <c r="G323" s="9">
        <v>45.1</v>
      </c>
      <c r="H323" s="9">
        <v>40</v>
      </c>
      <c r="I323" s="9">
        <v>7</v>
      </c>
      <c r="J323" s="13">
        <v>231</v>
      </c>
      <c r="K323" s="13">
        <v>72.571789578361177</v>
      </c>
      <c r="L323" s="9" t="s">
        <v>22</v>
      </c>
      <c r="M323" s="12">
        <v>0.3</v>
      </c>
      <c r="N323" s="1">
        <v>61.883766184071128</v>
      </c>
      <c r="O323" s="1">
        <f>Table1[[#This Row],[R1 Length (km)]]+Table1[[#This Row],[T1 Length (km)]]</f>
        <v>62.183766184071125</v>
      </c>
      <c r="P323" s="27">
        <v>230</v>
      </c>
      <c r="Q323" s="1">
        <f>(Table1[[#This Row],[Linear Features (km)]]*0.4)*100</f>
        <v>2487.3506473628454</v>
      </c>
      <c r="R323" s="1">
        <v>61.88</v>
      </c>
      <c r="S323" s="3">
        <f>Table1[[#This Row],[ATG (ha)]]/Table1[[#This Row],[Linear Area (ha)]]</f>
        <v>2.4877875608574452E-2</v>
      </c>
      <c r="T323" s="2" t="s">
        <v>22</v>
      </c>
      <c r="U323" s="2" t="s">
        <v>22</v>
      </c>
      <c r="V323" s="2" t="s">
        <v>22</v>
      </c>
      <c r="W323" s="2" t="s">
        <v>22</v>
      </c>
      <c r="X323" s="10">
        <v>613.94989999999996</v>
      </c>
      <c r="Y323" s="10">
        <f>Table1[[#This Row],[Raw Terrestrial Score]]/Table1[[#This Row],[Summed Raw Scores]]</f>
        <v>0.36329236966370049</v>
      </c>
      <c r="Z323" s="10">
        <v>1076.011</v>
      </c>
      <c r="AA323" s="10">
        <f>Table1[[#This Row],[Raw Freshwater Score]]/Table1[[#This Row],[Summed Raw Scores]]</f>
        <v>0.63670763033629951</v>
      </c>
      <c r="AB323" s="10">
        <f>Table1[[#This Row],[Raw Terrestrial Score]]+Table1[[#This Row],[Raw Freshwater Score]]</f>
        <v>1689.9609</v>
      </c>
      <c r="AC323" s="11">
        <f>Table1[[#This Row],[Terrestrial % of Summed Score]]*Table1[[#This Row],[Scaled Summed Score]]</f>
        <v>7.543926066440626E-2</v>
      </c>
      <c r="AD323" s="11">
        <f>Table1[[#This Row],[Freshwater % of Summed Score]]*Table1[[#This Row],[Scaled Summed Score]]</f>
        <v>0.132215143787414</v>
      </c>
      <c r="AE323" s="18">
        <f>Table1[[#This Row],[Summed Raw Scores]]/MAX(Table1[Summed Raw Scores])</f>
        <v>0.20765440445182026</v>
      </c>
    </row>
    <row r="324" spans="1:31" x14ac:dyDescent="0.3">
      <c r="A324" s="8" t="s">
        <v>110</v>
      </c>
      <c r="B324" s="8" t="s">
        <v>97</v>
      </c>
      <c r="C324" s="8" t="s">
        <v>32</v>
      </c>
      <c r="D324" s="8" t="s">
        <v>250</v>
      </c>
      <c r="E324" s="14">
        <v>49.68</v>
      </c>
      <c r="F324" s="14">
        <v>-121.53</v>
      </c>
      <c r="G324" s="9">
        <v>40.4</v>
      </c>
      <c r="H324" s="9">
        <v>40</v>
      </c>
      <c r="I324" s="9">
        <v>8</v>
      </c>
      <c r="J324" s="13">
        <v>134.80000000000001</v>
      </c>
      <c r="K324" s="13">
        <v>88.061461448598124</v>
      </c>
      <c r="L324" s="9" t="s">
        <v>22</v>
      </c>
      <c r="M324" s="14">
        <v>0</v>
      </c>
      <c r="N324" s="1">
        <v>9.6941125496967455</v>
      </c>
      <c r="O324" s="1">
        <f>Table1[[#This Row],[R1 Length (km)]]+Table1[[#This Row],[T1 Length (km)]]</f>
        <v>9.6941125496967455</v>
      </c>
      <c r="P324" s="27">
        <v>69</v>
      </c>
      <c r="Q324" s="1">
        <f>(Table1[[#This Row],[Linear Features (km)]]*0.4)*100</f>
        <v>387.76450198786983</v>
      </c>
      <c r="R324" s="1">
        <v>9.02</v>
      </c>
      <c r="S324" s="3">
        <f>Table1[[#This Row],[ATG (ha)]]/Table1[[#This Row],[Linear Area (ha)]]</f>
        <v>2.3261541357599995E-2</v>
      </c>
      <c r="T324" s="2" t="s">
        <v>22</v>
      </c>
      <c r="U324" s="2" t="s">
        <v>22</v>
      </c>
      <c r="V324" s="2" t="s">
        <v>22</v>
      </c>
      <c r="W324" s="2" t="s">
        <v>22</v>
      </c>
      <c r="X324" s="10">
        <v>12.603199999999999</v>
      </c>
      <c r="Y324" s="10">
        <f>Table1[[#This Row],[Raw Terrestrial Score]]/Table1[[#This Row],[Summed Raw Scores]]</f>
        <v>0.31823691014867483</v>
      </c>
      <c r="Z324" s="10">
        <v>27</v>
      </c>
      <c r="AA324" s="10">
        <f>Table1[[#This Row],[Raw Freshwater Score]]/Table1[[#This Row],[Summed Raw Scores]]</f>
        <v>0.68176308985132517</v>
      </c>
      <c r="AB324" s="10">
        <f>Table1[[#This Row],[Raw Terrestrial Score]]+Table1[[#This Row],[Raw Freshwater Score]]</f>
        <v>39.603200000000001</v>
      </c>
      <c r="AC324" s="11">
        <f>Table1[[#This Row],[Terrestrial % of Summed Score]]*Table1[[#This Row],[Scaled Summed Score]]</f>
        <v>1.5486216220666296E-3</v>
      </c>
      <c r="AD324" s="11">
        <f>Table1[[#This Row],[Freshwater % of Summed Score]]*Table1[[#This Row],[Scaled Summed Score]]</f>
        <v>3.3176323311380445E-3</v>
      </c>
      <c r="AE324" s="18">
        <f>Table1[[#This Row],[Summed Raw Scores]]/MAX(Table1[Summed Raw Scores])</f>
        <v>4.8662539532046741E-3</v>
      </c>
    </row>
    <row r="325" spans="1:31" x14ac:dyDescent="0.3">
      <c r="A325" s="8" t="s">
        <v>111</v>
      </c>
      <c r="B325" s="8" t="s">
        <v>97</v>
      </c>
      <c r="C325" s="8" t="s">
        <v>32</v>
      </c>
      <c r="D325" s="8" t="s">
        <v>250</v>
      </c>
      <c r="E325" s="9">
        <v>50.08</v>
      </c>
      <c r="F325" s="9">
        <v>-123.36</v>
      </c>
      <c r="G325" s="9">
        <v>67.7</v>
      </c>
      <c r="H325" s="9">
        <v>40</v>
      </c>
      <c r="I325" s="9">
        <v>10</v>
      </c>
      <c r="J325" s="9">
        <v>345</v>
      </c>
      <c r="K325" s="9">
        <v>92.74</v>
      </c>
      <c r="L325" s="9" t="s">
        <v>22</v>
      </c>
      <c r="M325" s="9">
        <f>299.999999998137/1000</f>
        <v>0.29999999999813703</v>
      </c>
      <c r="N325" s="9">
        <v>38.788899999999998</v>
      </c>
      <c r="O325" s="9">
        <f>Table1[[#This Row],[R1 Length (km)]]+Table1[[#This Row],[T1 Length (km)]]</f>
        <v>39.088899999998134</v>
      </c>
      <c r="P325" s="28">
        <v>130</v>
      </c>
      <c r="Q325" s="9">
        <f>(Table1[[#This Row],[Linear Features (km)]]*0.4)*100</f>
        <v>1563.5559999999255</v>
      </c>
      <c r="R325" s="1">
        <v>133.80000000000001</v>
      </c>
      <c r="S325" s="3">
        <f>Table1[[#This Row],[ATG (ha)]]/Table1[[#This Row],[Linear Area (ha)]]</f>
        <v>8.5574165555954748E-2</v>
      </c>
      <c r="T325" s="2" t="s">
        <v>22</v>
      </c>
      <c r="U325" s="2" t="s">
        <v>22</v>
      </c>
      <c r="V325" s="2" t="s">
        <v>22</v>
      </c>
      <c r="W325" s="2" t="s">
        <v>22</v>
      </c>
      <c r="X325" s="10">
        <v>301.72829999999999</v>
      </c>
      <c r="Y325" s="10">
        <f>Table1[[#This Row],[Raw Terrestrial Score]]/Table1[[#This Row],[Summed Raw Scores]]</f>
        <v>0.24377587552938718</v>
      </c>
      <c r="Z325" s="10">
        <v>936</v>
      </c>
      <c r="AA325" s="10">
        <f>Table1[[#This Row],[Raw Freshwater Score]]/Table1[[#This Row],[Summed Raw Scores]]</f>
        <v>0.75622412447061282</v>
      </c>
      <c r="AB325" s="10">
        <f>Table1[[#This Row],[Raw Terrestrial Score]]+Table1[[#This Row],[Raw Freshwater Score]]</f>
        <v>1237.7283</v>
      </c>
      <c r="AC325" s="11">
        <f>Table1[[#This Row],[Terrestrial % of Summed Score]]*Table1[[#This Row],[Scaled Summed Score]]</f>
        <v>3.7074946788863673E-2</v>
      </c>
      <c r="AD325" s="11">
        <f>Table1[[#This Row],[Freshwater % of Summed Score]]*Table1[[#This Row],[Scaled Summed Score]]</f>
        <v>0.11501125414611887</v>
      </c>
      <c r="AE325" s="18">
        <f>Table1[[#This Row],[Summed Raw Scores]]/MAX(Table1[Summed Raw Scores])</f>
        <v>0.15208620093498254</v>
      </c>
    </row>
    <row r="326" spans="1:31" x14ac:dyDescent="0.3">
      <c r="A326" s="8" t="s">
        <v>251</v>
      </c>
      <c r="B326" s="8" t="s">
        <v>259</v>
      </c>
      <c r="C326" s="8" t="s">
        <v>417</v>
      </c>
      <c r="D326" s="8" t="s">
        <v>250</v>
      </c>
      <c r="E326" s="8" t="s">
        <v>22</v>
      </c>
      <c r="F326" s="8" t="s">
        <v>22</v>
      </c>
      <c r="G326" s="8" t="s">
        <v>22</v>
      </c>
      <c r="H326" s="8" t="s">
        <v>22</v>
      </c>
      <c r="I326" s="8" t="s">
        <v>22</v>
      </c>
      <c r="J326" s="8" t="s">
        <v>22</v>
      </c>
      <c r="K326" s="8" t="s">
        <v>22</v>
      </c>
      <c r="L326" s="8" t="s">
        <v>22</v>
      </c>
      <c r="M326" s="8" t="s">
        <v>22</v>
      </c>
      <c r="N326" s="8" t="s">
        <v>22</v>
      </c>
      <c r="O326" s="9">
        <f>67236.2659153/1000</f>
        <v>67.236265915299995</v>
      </c>
      <c r="P326" s="28">
        <v>230</v>
      </c>
      <c r="Q326" s="9">
        <f>(Table1[[#This Row],[Linear Features (km)]]*0.4)*100</f>
        <v>2689.4506366119999</v>
      </c>
      <c r="R326" s="8" t="s">
        <v>22</v>
      </c>
      <c r="S326" s="8" t="s">
        <v>22</v>
      </c>
      <c r="T326" s="2" t="s">
        <v>22</v>
      </c>
      <c r="U326" s="2" t="s">
        <v>22</v>
      </c>
      <c r="V326" s="2" t="s">
        <v>22</v>
      </c>
      <c r="W326" s="2" t="s">
        <v>22</v>
      </c>
      <c r="X326" s="10">
        <v>931.86749999999995</v>
      </c>
      <c r="Y326" s="10">
        <f>Table1[[#This Row],[Raw Terrestrial Score]]/Table1[[#This Row],[Summed Raw Scores]]</f>
        <v>0.6366800340658586</v>
      </c>
      <c r="Z326" s="10">
        <v>531.76800000000003</v>
      </c>
      <c r="AA326" s="10">
        <f>Table1[[#This Row],[Raw Freshwater Score]]/Table1[[#This Row],[Summed Raw Scores]]</f>
        <v>0.36331996593414145</v>
      </c>
      <c r="AB326" s="10">
        <f>Table1[[#This Row],[Raw Terrestrial Score]]+Table1[[#This Row],[Raw Freshwater Score]]</f>
        <v>1463.6354999999999</v>
      </c>
      <c r="AC326" s="11">
        <f>Table1[[#This Row],[Terrestrial % of Summed Score]]*Table1[[#This Row],[Scaled Summed Score]]</f>
        <v>0.11450347208654744</v>
      </c>
      <c r="AD326" s="11">
        <f>Table1[[#This Row],[Freshwater % of Summed Score]]*Table1[[#This Row],[Scaled Summed Score]]</f>
        <v>6.5341137387578352E-2</v>
      </c>
      <c r="AE326" s="18">
        <f>Table1[[#This Row],[Summed Raw Scores]]/MAX(Table1[Summed Raw Scores])</f>
        <v>0.17984460947412578</v>
      </c>
    </row>
    <row r="327" spans="1:31" x14ac:dyDescent="0.3">
      <c r="A327" s="8" t="s">
        <v>252</v>
      </c>
      <c r="B327" s="8" t="s">
        <v>259</v>
      </c>
      <c r="C327" s="8" t="s">
        <v>418</v>
      </c>
      <c r="D327" s="8" t="s">
        <v>250</v>
      </c>
      <c r="E327" s="8" t="s">
        <v>22</v>
      </c>
      <c r="F327" s="8" t="s">
        <v>22</v>
      </c>
      <c r="G327" s="8" t="s">
        <v>22</v>
      </c>
      <c r="H327" s="8" t="s">
        <v>22</v>
      </c>
      <c r="I327" s="8" t="s">
        <v>22</v>
      </c>
      <c r="J327" s="8" t="s">
        <v>22</v>
      </c>
      <c r="K327" s="8" t="s">
        <v>22</v>
      </c>
      <c r="L327" s="8" t="s">
        <v>22</v>
      </c>
      <c r="M327" s="8" t="s">
        <v>22</v>
      </c>
      <c r="N327" s="8" t="s">
        <v>22</v>
      </c>
      <c r="O327" s="9">
        <f>138413.826987/1000</f>
        <v>138.41382698700002</v>
      </c>
      <c r="P327" s="28">
        <v>500</v>
      </c>
      <c r="Q327" s="9">
        <f>(Table1[[#This Row],[Linear Features (km)]]*0.4)*100</f>
        <v>5536.5530794800006</v>
      </c>
      <c r="R327" s="8" t="s">
        <v>22</v>
      </c>
      <c r="S327" s="8" t="s">
        <v>22</v>
      </c>
      <c r="T327" s="2" t="s">
        <v>22</v>
      </c>
      <c r="U327" s="2" t="s">
        <v>22</v>
      </c>
      <c r="V327" s="2" t="s">
        <v>22</v>
      </c>
      <c r="W327" s="2" t="s">
        <v>22</v>
      </c>
      <c r="X327" s="10">
        <v>2054.2539999999999</v>
      </c>
      <c r="Y327" s="10">
        <f>Table1[[#This Row],[Raw Terrestrial Score]]/Table1[[#This Row],[Summed Raw Scores]]</f>
        <v>0.53983043431530553</v>
      </c>
      <c r="Z327" s="10">
        <v>1751.115</v>
      </c>
      <c r="AA327" s="10">
        <f>Table1[[#This Row],[Raw Freshwater Score]]/Table1[[#This Row],[Summed Raw Scores]]</f>
        <v>0.46016956568469447</v>
      </c>
      <c r="AB327" s="10">
        <f>Table1[[#This Row],[Raw Terrestrial Score]]+Table1[[#This Row],[Raw Freshwater Score]]</f>
        <v>3805.3689999999997</v>
      </c>
      <c r="AC327" s="11">
        <f>Table1[[#This Row],[Terrestrial % of Summed Score]]*Table1[[#This Row],[Scaled Summed Score]]</f>
        <v>0.25241701802850558</v>
      </c>
      <c r="AD327" s="11">
        <f>Table1[[#This Row],[Freshwater % of Summed Score]]*Table1[[#This Row],[Scaled Summed Score]]</f>
        <v>0.21516873109410356</v>
      </c>
      <c r="AE327" s="18">
        <f>Table1[[#This Row],[Summed Raw Scores]]/MAX(Table1[Summed Raw Scores])</f>
        <v>0.46758574912260914</v>
      </c>
    </row>
    <row r="328" spans="1:31" x14ac:dyDescent="0.3">
      <c r="A328" s="8" t="s">
        <v>253</v>
      </c>
      <c r="B328" s="8" t="s">
        <v>259</v>
      </c>
      <c r="C328" s="8" t="s">
        <v>419</v>
      </c>
      <c r="D328" s="8" t="s">
        <v>250</v>
      </c>
      <c r="E328" s="8" t="s">
        <v>22</v>
      </c>
      <c r="F328" s="8" t="s">
        <v>22</v>
      </c>
      <c r="G328" s="8" t="s">
        <v>22</v>
      </c>
      <c r="H328" s="8" t="s">
        <v>22</v>
      </c>
      <c r="I328" s="8" t="s">
        <v>22</v>
      </c>
      <c r="J328" s="8" t="s">
        <v>22</v>
      </c>
      <c r="K328" s="8" t="s">
        <v>22</v>
      </c>
      <c r="L328" s="8" t="s">
        <v>22</v>
      </c>
      <c r="M328" s="8" t="s">
        <v>22</v>
      </c>
      <c r="N328" s="8" t="s">
        <v>22</v>
      </c>
      <c r="O328" s="9">
        <f>138747.847713/1000</f>
        <v>138.747847713</v>
      </c>
      <c r="P328" s="28">
        <v>500</v>
      </c>
      <c r="Q328" s="9">
        <f>(Table1[[#This Row],[Linear Features (km)]]*0.4)*100</f>
        <v>5549.9139085200004</v>
      </c>
      <c r="R328" s="8" t="s">
        <v>22</v>
      </c>
      <c r="S328" s="8" t="s">
        <v>22</v>
      </c>
      <c r="T328" s="2" t="s">
        <v>22</v>
      </c>
      <c r="U328" s="2" t="s">
        <v>22</v>
      </c>
      <c r="V328" s="2" t="s">
        <v>22</v>
      </c>
      <c r="W328" s="2" t="s">
        <v>22</v>
      </c>
      <c r="X328" s="10">
        <v>901.76589999999999</v>
      </c>
      <c r="Y328" s="10">
        <f>Table1[[#This Row],[Raw Terrestrial Score]]/Table1[[#This Row],[Summed Raw Scores]]</f>
        <v>0.49056072808971646</v>
      </c>
      <c r="Z328" s="10">
        <v>936.46910000000003</v>
      </c>
      <c r="AA328" s="10">
        <f>Table1[[#This Row],[Raw Freshwater Score]]/Table1[[#This Row],[Summed Raw Scores]]</f>
        <v>0.50943927191028349</v>
      </c>
      <c r="AB328" s="10">
        <f>Table1[[#This Row],[Raw Terrestrial Score]]+Table1[[#This Row],[Raw Freshwater Score]]</f>
        <v>1838.2350000000001</v>
      </c>
      <c r="AC328" s="11">
        <f>Table1[[#This Row],[Terrestrial % of Summed Score]]*Table1[[#This Row],[Scaled Summed Score]]</f>
        <v>0.11080472981325172</v>
      </c>
      <c r="AD328" s="11">
        <f>Table1[[#This Row],[Freshwater % of Summed Score]]*Table1[[#This Row],[Scaled Summed Score]]</f>
        <v>0.1150688949359906</v>
      </c>
      <c r="AE328" s="18">
        <f>Table1[[#This Row],[Summed Raw Scores]]/MAX(Table1[Summed Raw Scores])</f>
        <v>0.22587362474924233</v>
      </c>
    </row>
    <row r="329" spans="1:31" x14ac:dyDescent="0.3">
      <c r="A329" s="8" t="s">
        <v>254</v>
      </c>
      <c r="B329" s="8" t="s">
        <v>259</v>
      </c>
      <c r="C329" s="8" t="s">
        <v>420</v>
      </c>
      <c r="D329" s="8" t="s">
        <v>250</v>
      </c>
      <c r="E329" s="8" t="s">
        <v>22</v>
      </c>
      <c r="F329" s="8" t="s">
        <v>22</v>
      </c>
      <c r="G329" s="8" t="s">
        <v>22</v>
      </c>
      <c r="H329" s="8" t="s">
        <v>22</v>
      </c>
      <c r="I329" s="8" t="s">
        <v>22</v>
      </c>
      <c r="J329" s="8" t="s">
        <v>22</v>
      </c>
      <c r="K329" s="8" t="s">
        <v>22</v>
      </c>
      <c r="L329" s="8" t="s">
        <v>22</v>
      </c>
      <c r="M329" s="8" t="s">
        <v>22</v>
      </c>
      <c r="N329" s="8" t="s">
        <v>22</v>
      </c>
      <c r="O329" s="9">
        <f>330138.916532/1000</f>
        <v>330.138916532</v>
      </c>
      <c r="P329" s="28">
        <v>500</v>
      </c>
      <c r="Q329" s="9">
        <f>(Table1[[#This Row],[Linear Features (km)]]*0.4)*100</f>
        <v>13205.556661279999</v>
      </c>
      <c r="R329" s="8" t="s">
        <v>22</v>
      </c>
      <c r="S329" s="8" t="s">
        <v>22</v>
      </c>
      <c r="T329" s="2" t="s">
        <v>22</v>
      </c>
      <c r="U329" s="2" t="s">
        <v>22</v>
      </c>
      <c r="V329" s="2" t="s">
        <v>22</v>
      </c>
      <c r="W329" s="2" t="s">
        <v>22</v>
      </c>
      <c r="X329" s="10">
        <v>3966.8449999999998</v>
      </c>
      <c r="Y329" s="10">
        <f>Table1[[#This Row],[Raw Terrestrial Score]]/Table1[[#This Row],[Summed Raw Scores]]</f>
        <v>0.48742715646715906</v>
      </c>
      <c r="Z329" s="10">
        <v>4171.4889999999996</v>
      </c>
      <c r="AA329" s="10">
        <f>Table1[[#This Row],[Raw Freshwater Score]]/Table1[[#This Row],[Summed Raw Scores]]</f>
        <v>0.51257284353284105</v>
      </c>
      <c r="AB329" s="10">
        <f>Table1[[#This Row],[Raw Terrestrial Score]]+Table1[[#This Row],[Raw Freshwater Score]]</f>
        <v>8138.3339999999989</v>
      </c>
      <c r="AC329" s="11">
        <f>Table1[[#This Row],[Terrestrial % of Summed Score]]*Table1[[#This Row],[Scaled Summed Score]]</f>
        <v>0.48742715646715906</v>
      </c>
      <c r="AD329" s="11">
        <f>Table1[[#This Row],[Freshwater % of Summed Score]]*Table1[[#This Row],[Scaled Summed Score]]</f>
        <v>0.51257284353284105</v>
      </c>
      <c r="AE329" s="18">
        <f>Table1[[#This Row],[Summed Raw Scores]]/MAX(Table1[Summed Raw Scores])</f>
        <v>1</v>
      </c>
    </row>
    <row r="330" spans="1:31" x14ac:dyDescent="0.3">
      <c r="A330" s="8" t="s">
        <v>255</v>
      </c>
      <c r="B330" s="8" t="s">
        <v>259</v>
      </c>
      <c r="C330" s="8" t="s">
        <v>421</v>
      </c>
      <c r="D330" s="8" t="s">
        <v>250</v>
      </c>
      <c r="E330" s="8" t="s">
        <v>22</v>
      </c>
      <c r="F330" s="8" t="s">
        <v>22</v>
      </c>
      <c r="G330" s="8" t="s">
        <v>22</v>
      </c>
      <c r="H330" s="8" t="s">
        <v>22</v>
      </c>
      <c r="I330" s="8" t="s">
        <v>22</v>
      </c>
      <c r="J330" s="8" t="s">
        <v>22</v>
      </c>
      <c r="K330" s="8" t="s">
        <v>22</v>
      </c>
      <c r="L330" s="8" t="s">
        <v>22</v>
      </c>
      <c r="M330" s="8" t="s">
        <v>22</v>
      </c>
      <c r="N330" s="8" t="s">
        <v>22</v>
      </c>
      <c r="O330" s="9">
        <f>196893.054937999/1000</f>
        <v>196.89305493799901</v>
      </c>
      <c r="P330" s="28">
        <v>500</v>
      </c>
      <c r="Q330" s="9">
        <f>(Table1[[#This Row],[Linear Features (km)]]*0.4)*100</f>
        <v>7875.7221975199609</v>
      </c>
      <c r="R330" s="8" t="s">
        <v>22</v>
      </c>
      <c r="S330" s="8" t="s">
        <v>22</v>
      </c>
      <c r="T330" s="2" t="s">
        <v>22</v>
      </c>
      <c r="U330" s="2" t="s">
        <v>22</v>
      </c>
      <c r="V330" s="2" t="s">
        <v>22</v>
      </c>
      <c r="W330" s="2" t="s">
        <v>22</v>
      </c>
      <c r="X330" s="10">
        <v>2661.7840000000001</v>
      </c>
      <c r="Y330" s="10">
        <f>Table1[[#This Row],[Raw Terrestrial Score]]/Table1[[#This Row],[Summed Raw Scores]]</f>
        <v>0.44982163682455584</v>
      </c>
      <c r="Z330" s="10">
        <v>3255.6370000000002</v>
      </c>
      <c r="AA330" s="10">
        <f>Table1[[#This Row],[Raw Freshwater Score]]/Table1[[#This Row],[Summed Raw Scores]]</f>
        <v>0.55017836317544422</v>
      </c>
      <c r="AB330" s="10">
        <f>Table1[[#This Row],[Raw Terrestrial Score]]+Table1[[#This Row],[Raw Freshwater Score]]</f>
        <v>5917.4210000000003</v>
      </c>
      <c r="AC330" s="11">
        <f>Table1[[#This Row],[Terrestrial % of Summed Score]]*Table1[[#This Row],[Scaled Summed Score]]</f>
        <v>0.32706743173725733</v>
      </c>
      <c r="AD330" s="11">
        <f>Table1[[#This Row],[Freshwater % of Summed Score]]*Table1[[#This Row],[Scaled Summed Score]]</f>
        <v>0.4000372803573804</v>
      </c>
      <c r="AE330" s="18">
        <f>Table1[[#This Row],[Summed Raw Scores]]/MAX(Table1[Summed Raw Scores])</f>
        <v>0.72710471209463767</v>
      </c>
    </row>
    <row r="331" spans="1:31" x14ac:dyDescent="0.3">
      <c r="A331" s="8" t="s">
        <v>256</v>
      </c>
      <c r="B331" s="8" t="s">
        <v>259</v>
      </c>
      <c r="C331" s="8" t="s">
        <v>422</v>
      </c>
      <c r="D331" s="8" t="s">
        <v>250</v>
      </c>
      <c r="E331" s="28" t="s">
        <v>22</v>
      </c>
      <c r="F331" s="28" t="s">
        <v>22</v>
      </c>
      <c r="G331" s="28" t="s">
        <v>22</v>
      </c>
      <c r="H331" s="8" t="s">
        <v>22</v>
      </c>
      <c r="I331" s="8" t="s">
        <v>22</v>
      </c>
      <c r="J331" s="8" t="s">
        <v>22</v>
      </c>
      <c r="K331" s="8" t="s">
        <v>22</v>
      </c>
      <c r="L331" s="8" t="s">
        <v>22</v>
      </c>
      <c r="M331" s="28" t="s">
        <v>22</v>
      </c>
      <c r="N331" s="28" t="s">
        <v>22</v>
      </c>
      <c r="O331" s="9">
        <f>174721.972977/1000</f>
        <v>174.72197297700001</v>
      </c>
      <c r="P331" s="28">
        <v>500</v>
      </c>
      <c r="Q331" s="9">
        <f>(Table1[[#This Row],[Linear Features (km)]]*0.4)*100</f>
        <v>6988.8789190800007</v>
      </c>
      <c r="R331" s="28" t="s">
        <v>22</v>
      </c>
      <c r="S331" s="8" t="s">
        <v>22</v>
      </c>
      <c r="T331" s="2" t="s">
        <v>22</v>
      </c>
      <c r="U331" s="2" t="s">
        <v>22</v>
      </c>
      <c r="V331" s="2" t="s">
        <v>22</v>
      </c>
      <c r="W331" s="2" t="s">
        <v>22</v>
      </c>
      <c r="X331" s="10">
        <v>1812.671</v>
      </c>
      <c r="Y331" s="10">
        <f>Table1[[#This Row],[Raw Terrestrial Score]]/Table1[[#This Row],[Summed Raw Scores]]</f>
        <v>0.43855827738462472</v>
      </c>
      <c r="Z331" s="10">
        <v>2320.5790000000002</v>
      </c>
      <c r="AA331" s="10">
        <f>Table1[[#This Row],[Raw Freshwater Score]]/Table1[[#This Row],[Summed Raw Scores]]</f>
        <v>0.56144172261537539</v>
      </c>
      <c r="AB331" s="10">
        <f>Table1[[#This Row],[Raw Terrestrial Score]]+Table1[[#This Row],[Raw Freshwater Score]]</f>
        <v>4133.25</v>
      </c>
      <c r="AC331" s="11">
        <f>Table1[[#This Row],[Terrestrial % of Summed Score]]*Table1[[#This Row],[Scaled Summed Score]]</f>
        <v>0.2227324413080122</v>
      </c>
      <c r="AD331" s="11">
        <f>Table1[[#This Row],[Freshwater % of Summed Score]]*Table1[[#This Row],[Scaled Summed Score]]</f>
        <v>0.28514177471703672</v>
      </c>
      <c r="AE331" s="18">
        <f>Table1[[#This Row],[Summed Raw Scores]]/MAX(Table1[Summed Raw Scores])</f>
        <v>0.5078742160250489</v>
      </c>
    </row>
    <row r="332" spans="1:31" x14ac:dyDescent="0.3">
      <c r="A332" s="8" t="s">
        <v>257</v>
      </c>
      <c r="B332" s="8" t="s">
        <v>259</v>
      </c>
      <c r="C332" s="8" t="s">
        <v>423</v>
      </c>
      <c r="D332" s="8" t="s">
        <v>250</v>
      </c>
      <c r="E332" s="28" t="s">
        <v>22</v>
      </c>
      <c r="F332" s="28" t="s">
        <v>22</v>
      </c>
      <c r="G332" s="28" t="s">
        <v>22</v>
      </c>
      <c r="H332" s="8" t="s">
        <v>22</v>
      </c>
      <c r="I332" s="8" t="s">
        <v>22</v>
      </c>
      <c r="J332" s="8" t="s">
        <v>22</v>
      </c>
      <c r="K332" s="8" t="s">
        <v>22</v>
      </c>
      <c r="L332" s="8" t="s">
        <v>22</v>
      </c>
      <c r="M332" s="28" t="s">
        <v>22</v>
      </c>
      <c r="N332" s="28" t="s">
        <v>22</v>
      </c>
      <c r="O332" s="9">
        <f>130726.193069/1000</f>
        <v>130.726193069</v>
      </c>
      <c r="P332" s="28">
        <v>500</v>
      </c>
      <c r="Q332" s="9">
        <f>(Table1[[#This Row],[Linear Features (km)]]*0.4)*100</f>
        <v>5229.0477227600004</v>
      </c>
      <c r="R332" s="28" t="s">
        <v>22</v>
      </c>
      <c r="S332" s="8" t="s">
        <v>22</v>
      </c>
      <c r="T332" s="2" t="s">
        <v>22</v>
      </c>
      <c r="U332" s="2" t="s">
        <v>22</v>
      </c>
      <c r="V332" s="2" t="s">
        <v>22</v>
      </c>
      <c r="W332" s="2" t="s">
        <v>22</v>
      </c>
      <c r="X332" s="10">
        <v>619.12180000000001</v>
      </c>
      <c r="Y332" s="10">
        <f>Table1[[#This Row],[Raw Terrestrial Score]]/Table1[[#This Row],[Summed Raw Scores]]</f>
        <v>0.21754556524858143</v>
      </c>
      <c r="Z332" s="10">
        <v>2226.819</v>
      </c>
      <c r="AA332" s="10">
        <f>Table1[[#This Row],[Raw Freshwater Score]]/Table1[[#This Row],[Summed Raw Scores]]</f>
        <v>0.78245443475141863</v>
      </c>
      <c r="AB332" s="10">
        <f>Table1[[#This Row],[Raw Terrestrial Score]]+Table1[[#This Row],[Raw Freshwater Score]]</f>
        <v>2845.9407999999999</v>
      </c>
      <c r="AC332" s="11">
        <f>Table1[[#This Row],[Terrestrial % of Summed Score]]*Table1[[#This Row],[Scaled Summed Score]]</f>
        <v>7.6074759281199333E-2</v>
      </c>
      <c r="AD332" s="11">
        <f>Table1[[#This Row],[Freshwater % of Summed Score]]*Table1[[#This Row],[Scaled Summed Score]]</f>
        <v>0.27362098925898104</v>
      </c>
      <c r="AE332" s="18">
        <f>Table1[[#This Row],[Summed Raw Scores]]/MAX(Table1[Summed Raw Scores])</f>
        <v>0.34969574854018037</v>
      </c>
    </row>
    <row r="333" spans="1:31" x14ac:dyDescent="0.3">
      <c r="A333" s="8" t="s">
        <v>258</v>
      </c>
      <c r="B333" s="8" t="s">
        <v>259</v>
      </c>
      <c r="C333" s="8" t="s">
        <v>424</v>
      </c>
      <c r="D333" s="8" t="s">
        <v>250</v>
      </c>
      <c r="E333" s="28" t="s">
        <v>22</v>
      </c>
      <c r="F333" s="28" t="s">
        <v>22</v>
      </c>
      <c r="G333" s="28" t="s">
        <v>22</v>
      </c>
      <c r="H333" s="8" t="s">
        <v>22</v>
      </c>
      <c r="I333" s="8" t="s">
        <v>22</v>
      </c>
      <c r="J333" s="8" t="s">
        <v>22</v>
      </c>
      <c r="K333" s="8" t="s">
        <v>22</v>
      </c>
      <c r="L333" s="8" t="s">
        <v>22</v>
      </c>
      <c r="M333" s="28" t="s">
        <v>22</v>
      </c>
      <c r="N333" s="28" t="s">
        <v>22</v>
      </c>
      <c r="O333" s="9">
        <f>142790.050594/1000</f>
        <v>142.79005059400001</v>
      </c>
      <c r="P333" s="28">
        <v>500</v>
      </c>
      <c r="Q333" s="9">
        <f>(Table1[[#This Row],[Linear Features (km)]]*0.4)*100</f>
        <v>5711.6020237600005</v>
      </c>
      <c r="R333" s="28" t="s">
        <v>22</v>
      </c>
      <c r="S333" s="8" t="s">
        <v>22</v>
      </c>
      <c r="T333" s="2" t="s">
        <v>22</v>
      </c>
      <c r="U333" s="2" t="s">
        <v>22</v>
      </c>
      <c r="V333" s="2" t="s">
        <v>22</v>
      </c>
      <c r="W333" s="2" t="s">
        <v>22</v>
      </c>
      <c r="X333" s="10">
        <v>1285.02</v>
      </c>
      <c r="Y333" s="10">
        <f>Table1[[#This Row],[Raw Terrestrial Score]]/Table1[[#This Row],[Summed Raw Scores]]</f>
        <v>0.38473238013003452</v>
      </c>
      <c r="Z333" s="10">
        <v>2055.0160000000001</v>
      </c>
      <c r="AA333" s="10">
        <f>Table1[[#This Row],[Raw Freshwater Score]]/Table1[[#This Row],[Summed Raw Scores]]</f>
        <v>0.61526761986996548</v>
      </c>
      <c r="AB333" s="10">
        <f>Table1[[#This Row],[Raw Terrestrial Score]]+Table1[[#This Row],[Raw Freshwater Score]]</f>
        <v>3340.0360000000001</v>
      </c>
      <c r="AC333" s="11">
        <f>Table1[[#This Row],[Terrestrial % of Summed Score]]*Table1[[#This Row],[Scaled Summed Score]]</f>
        <v>0.15789718141329664</v>
      </c>
      <c r="AD333" s="11">
        <f>Table1[[#This Row],[Freshwater % of Summed Score]]*Table1[[#This Row],[Scaled Summed Score]]</f>
        <v>0.25251064898540665</v>
      </c>
      <c r="AE333" s="18">
        <f>Table1[[#This Row],[Summed Raw Scores]]/MAX(Table1[Summed Raw Scores])</f>
        <v>0.41040783039870327</v>
      </c>
    </row>
    <row r="334" spans="1:31" x14ac:dyDescent="0.3">
      <c r="A334" s="8" t="s">
        <v>48</v>
      </c>
      <c r="B334" s="8" t="s">
        <v>42</v>
      </c>
      <c r="C334" s="8" t="s">
        <v>30</v>
      </c>
      <c r="D334" s="8" t="s">
        <v>250</v>
      </c>
      <c r="E334" s="31">
        <v>54.183812750400001</v>
      </c>
      <c r="F334" s="31">
        <v>-127.97489492699999</v>
      </c>
      <c r="G334" s="31">
        <v>1000</v>
      </c>
      <c r="H334" s="9" t="s">
        <v>22</v>
      </c>
      <c r="I334" s="9">
        <v>1000</v>
      </c>
      <c r="J334" s="8" t="s">
        <v>22</v>
      </c>
      <c r="K334" s="8" t="s">
        <v>22</v>
      </c>
      <c r="L334" s="13">
        <v>182.65150565656566</v>
      </c>
      <c r="M334" s="32">
        <v>3.0727922061400563</v>
      </c>
      <c r="N334" s="25">
        <v>55.326406871194145</v>
      </c>
      <c r="O334" s="1">
        <f>Table1[[#This Row],[R1 Length (km)]]+Table1[[#This Row],[T1 Length (km)]]</f>
        <v>58.399199077334202</v>
      </c>
      <c r="P334" s="27">
        <v>500</v>
      </c>
      <c r="Q334" s="1">
        <f>(Table1[[#This Row],[Linear Features (km)]]*0.4)*100</f>
        <v>2335.9679630933683</v>
      </c>
      <c r="R334" s="25">
        <v>55.33</v>
      </c>
      <c r="S334" s="3">
        <f>Table1[[#This Row],[ATG (ha)]]/Table1[[#This Row],[Linear Area (ha)]]</f>
        <v>2.3686112512746164E-2</v>
      </c>
      <c r="T334" s="2" t="s">
        <v>22</v>
      </c>
      <c r="U334" s="2" t="s">
        <v>22</v>
      </c>
      <c r="V334" s="2" t="s">
        <v>22</v>
      </c>
      <c r="W334" s="2" t="s">
        <v>22</v>
      </c>
      <c r="X334" s="10">
        <v>582.53570000000002</v>
      </c>
      <c r="Y334" s="10">
        <f>Table1[[#This Row],[Raw Terrestrial Score]]/Table1[[#This Row],[Summed Raw Scores]]</f>
        <v>0.43675264580908857</v>
      </c>
      <c r="Z334" s="10">
        <v>751.25289999999995</v>
      </c>
      <c r="AA334" s="10">
        <f>Table1[[#This Row],[Raw Freshwater Score]]/Table1[[#This Row],[Summed Raw Scores]]</f>
        <v>0.56324735419091154</v>
      </c>
      <c r="AB334" s="10">
        <f>Table1[[#This Row],[Raw Terrestrial Score]]+Table1[[#This Row],[Raw Freshwater Score]]</f>
        <v>1333.7885999999999</v>
      </c>
      <c r="AC334" s="11">
        <f>Table1[[#This Row],[Terrestrial % of Summed Score]]*Table1[[#This Row],[Scaled Summed Score]]</f>
        <v>7.1579232309708613E-2</v>
      </c>
      <c r="AD334" s="11">
        <f>Table1[[#This Row],[Freshwater % of Summed Score]]*Table1[[#This Row],[Scaled Summed Score]]</f>
        <v>9.2310404070415394E-2</v>
      </c>
      <c r="AE334" s="18">
        <f>Table1[[#This Row],[Summed Raw Scores]]/MAX(Table1[Summed Raw Scores])</f>
        <v>0.16388963638012399</v>
      </c>
    </row>
    <row r="335" spans="1:31" x14ac:dyDescent="0.3">
      <c r="A335" s="8" t="s">
        <v>49</v>
      </c>
      <c r="B335" s="8" t="s">
        <v>42</v>
      </c>
      <c r="C335" s="8" t="s">
        <v>32</v>
      </c>
      <c r="D335" s="8" t="s">
        <v>250</v>
      </c>
      <c r="E335" s="32">
        <v>50.1539637132</v>
      </c>
      <c r="F335" s="32">
        <v>-123.68430182500001</v>
      </c>
      <c r="G335" s="31">
        <v>1000</v>
      </c>
      <c r="H335" s="9" t="s">
        <v>22</v>
      </c>
      <c r="I335" s="1">
        <v>495</v>
      </c>
      <c r="J335" s="8" t="s">
        <v>22</v>
      </c>
      <c r="K335" s="8" t="s">
        <v>22</v>
      </c>
      <c r="L335" s="13">
        <v>171.27576141414141</v>
      </c>
      <c r="M335" s="32">
        <v>1.9313709716799998</v>
      </c>
      <c r="N335" s="25">
        <v>64.098070312499999</v>
      </c>
      <c r="O335" s="1">
        <f>Table1[[#This Row],[R1 Length (km)]]+Table1[[#This Row],[T1 Length (km)]]</f>
        <v>66.029441284179995</v>
      </c>
      <c r="P335" s="27">
        <v>500</v>
      </c>
      <c r="Q335" s="1">
        <f>(Table1[[#This Row],[Linear Features (km)]]*0.4)*100</f>
        <v>2641.1776513671998</v>
      </c>
      <c r="R335" s="25">
        <v>65.650000000000006</v>
      </c>
      <c r="S335" s="3">
        <f>Table1[[#This Row],[ATG (ha)]]/Table1[[#This Row],[Linear Area (ha)]]</f>
        <v>2.4856336326341558E-2</v>
      </c>
      <c r="T335" s="2" t="s">
        <v>22</v>
      </c>
      <c r="U335" s="2" t="s">
        <v>22</v>
      </c>
      <c r="V335" s="2" t="s">
        <v>22</v>
      </c>
      <c r="W335" s="2" t="s">
        <v>22</v>
      </c>
      <c r="X335" s="10">
        <v>517.51030000000003</v>
      </c>
      <c r="Y335" s="10">
        <f>Table1[[#This Row],[Raw Terrestrial Score]]/Table1[[#This Row],[Summed Raw Scores]]</f>
        <v>0.29345465121468245</v>
      </c>
      <c r="Z335" s="10">
        <v>1246</v>
      </c>
      <c r="AA335" s="10">
        <f>Table1[[#This Row],[Raw Freshwater Score]]/Table1[[#This Row],[Summed Raw Scores]]</f>
        <v>0.70654534878531761</v>
      </c>
      <c r="AB335" s="10">
        <f>Table1[[#This Row],[Raw Terrestrial Score]]+Table1[[#This Row],[Raw Freshwater Score]]</f>
        <v>1763.5102999999999</v>
      </c>
      <c r="AC335" s="11">
        <f>Table1[[#This Row],[Terrestrial % of Summed Score]]*Table1[[#This Row],[Scaled Summed Score]]</f>
        <v>6.3589218628775868E-2</v>
      </c>
      <c r="AD335" s="11">
        <f>Table1[[#This Row],[Freshwater % of Summed Score]]*Table1[[#This Row],[Scaled Summed Score]]</f>
        <v>0.15310258831844456</v>
      </c>
      <c r="AE335" s="18">
        <f>Table1[[#This Row],[Summed Raw Scores]]/MAX(Table1[Summed Raw Scores])</f>
        <v>0.21669180694722043</v>
      </c>
    </row>
    <row r="336" spans="1:31" x14ac:dyDescent="0.3">
      <c r="A336" s="8" t="s">
        <v>50</v>
      </c>
      <c r="B336" s="8" t="s">
        <v>42</v>
      </c>
      <c r="C336" s="8" t="s">
        <v>32</v>
      </c>
      <c r="D336" s="8" t="s">
        <v>250</v>
      </c>
      <c r="E336" s="32">
        <v>49.755810000899999</v>
      </c>
      <c r="F336" s="32">
        <v>-123.601969999</v>
      </c>
      <c r="G336" s="31">
        <v>1000</v>
      </c>
      <c r="H336" s="9" t="s">
        <v>22</v>
      </c>
      <c r="I336" s="1">
        <v>495</v>
      </c>
      <c r="J336" s="28" t="s">
        <v>22</v>
      </c>
      <c r="K336" s="28" t="s">
        <v>22</v>
      </c>
      <c r="L336" s="13">
        <v>170.55434646464647</v>
      </c>
      <c r="M336" s="32">
        <v>0.42426406860400001</v>
      </c>
      <c r="N336" s="25">
        <v>31.430865786513319</v>
      </c>
      <c r="O336" s="1">
        <f>Table1[[#This Row],[R1 Length (km)]]+Table1[[#This Row],[T1 Length (km)]]</f>
        <v>31.855129855117319</v>
      </c>
      <c r="P336" s="27">
        <v>500</v>
      </c>
      <c r="Q336" s="1">
        <f>(Table1[[#This Row],[Linear Features (km)]]*0.4)*100</f>
        <v>1274.2051942046928</v>
      </c>
      <c r="R336" s="25">
        <v>31.43</v>
      </c>
      <c r="S336" s="3">
        <f>Table1[[#This Row],[ATG (ha)]]/Table1[[#This Row],[Linear Area (ha)]]</f>
        <v>2.466635683400846E-2</v>
      </c>
      <c r="T336" s="2" t="s">
        <v>22</v>
      </c>
      <c r="U336" s="2" t="s">
        <v>22</v>
      </c>
      <c r="V336" s="2" t="s">
        <v>22</v>
      </c>
      <c r="W336" s="2" t="s">
        <v>22</v>
      </c>
      <c r="X336" s="10">
        <v>301.83920000000001</v>
      </c>
      <c r="Y336" s="10">
        <f>Table1[[#This Row],[Raw Terrestrial Score]]/Table1[[#This Row],[Summed Raw Scores]]</f>
        <v>0.33717809426847106</v>
      </c>
      <c r="Z336" s="10">
        <v>593.35299999999995</v>
      </c>
      <c r="AA336" s="10">
        <f>Table1[[#This Row],[Raw Freshwater Score]]/Table1[[#This Row],[Summed Raw Scores]]</f>
        <v>0.66282190573152888</v>
      </c>
      <c r="AB336" s="10">
        <f>Table1[[#This Row],[Raw Terrestrial Score]]+Table1[[#This Row],[Raw Freshwater Score]]</f>
        <v>895.19219999999996</v>
      </c>
      <c r="AC336" s="11">
        <f>Table1[[#This Row],[Terrestrial % of Summed Score]]*Table1[[#This Row],[Scaled Summed Score]]</f>
        <v>3.7088573656475644E-2</v>
      </c>
      <c r="AD336" s="11">
        <f>Table1[[#This Row],[Freshwater % of Summed Score]]*Table1[[#This Row],[Scaled Summed Score]]</f>
        <v>7.2908410984361169E-2</v>
      </c>
      <c r="AE336" s="18">
        <f>Table1[[#This Row],[Summed Raw Scores]]/MAX(Table1[Summed Raw Scores])</f>
        <v>0.10999698464083682</v>
      </c>
    </row>
    <row r="337" spans="1:31" x14ac:dyDescent="0.3">
      <c r="A337" s="8" t="s">
        <v>51</v>
      </c>
      <c r="B337" s="8" t="s">
        <v>42</v>
      </c>
      <c r="C337" s="8" t="s">
        <v>32</v>
      </c>
      <c r="D337" s="8" t="s">
        <v>250</v>
      </c>
      <c r="E337" s="35">
        <v>49.912636246700004</v>
      </c>
      <c r="F337" s="35">
        <v>-123.731816256</v>
      </c>
      <c r="G337" s="33">
        <v>1000</v>
      </c>
      <c r="H337" s="9" t="s">
        <v>22</v>
      </c>
      <c r="I337" s="1">
        <v>495</v>
      </c>
      <c r="J337" s="36" t="s">
        <v>22</v>
      </c>
      <c r="K337" s="36" t="s">
        <v>22</v>
      </c>
      <c r="L337" s="13">
        <v>170.62377878787873</v>
      </c>
      <c r="M337" s="35">
        <v>10.0225371094</v>
      </c>
      <c r="N337" s="25">
        <v>34.413203435597197</v>
      </c>
      <c r="O337" s="1">
        <f>Table1[[#This Row],[R1 Length (km)]]+Table1[[#This Row],[T1 Length (km)]]</f>
        <v>44.435740544997195</v>
      </c>
      <c r="P337" s="27">
        <v>500</v>
      </c>
      <c r="Q337" s="1">
        <f>(Table1[[#This Row],[Linear Features (km)]]*0.4)*100</f>
        <v>1777.4296217998876</v>
      </c>
      <c r="R337" s="25">
        <v>11.75</v>
      </c>
      <c r="S337" s="3">
        <f>Table1[[#This Row],[ATG (ha)]]/Table1[[#This Row],[Linear Area (ha)]]</f>
        <v>6.6106696185818806E-3</v>
      </c>
      <c r="T337" s="2" t="s">
        <v>22</v>
      </c>
      <c r="U337" s="2" t="s">
        <v>22</v>
      </c>
      <c r="V337" s="2" t="s">
        <v>22</v>
      </c>
      <c r="W337" s="2" t="s">
        <v>22</v>
      </c>
      <c r="X337" s="10">
        <v>486.33510000000001</v>
      </c>
      <c r="Y337" s="10">
        <f>Table1[[#This Row],[Raw Terrestrial Score]]/Table1[[#This Row],[Summed Raw Scores]]</f>
        <v>0.40650020724748509</v>
      </c>
      <c r="Z337" s="10">
        <v>710.06060000000002</v>
      </c>
      <c r="AA337" s="10">
        <f>Table1[[#This Row],[Raw Freshwater Score]]/Table1[[#This Row],[Summed Raw Scores]]</f>
        <v>0.59349979275251497</v>
      </c>
      <c r="AB337" s="10">
        <f>Table1[[#This Row],[Raw Terrestrial Score]]+Table1[[#This Row],[Raw Freshwater Score]]</f>
        <v>1196.3957</v>
      </c>
      <c r="AC337" s="11">
        <f>Table1[[#This Row],[Terrestrial % of Summed Score]]*Table1[[#This Row],[Scaled Summed Score]]</f>
        <v>5.9758557463972364E-2</v>
      </c>
      <c r="AD337" s="11">
        <f>Table1[[#This Row],[Freshwater % of Summed Score]]*Table1[[#This Row],[Scaled Summed Score]]</f>
        <v>8.7248889023232537E-2</v>
      </c>
      <c r="AE337" s="18">
        <f>Table1[[#This Row],[Summed Raw Scores]]/MAX(Table1[Summed Raw Scores])</f>
        <v>0.1470074464872049</v>
      </c>
    </row>
    <row r="338" spans="1:31" x14ac:dyDescent="0.3">
      <c r="A338" s="8" t="s">
        <v>212</v>
      </c>
      <c r="B338" s="8" t="s">
        <v>114</v>
      </c>
      <c r="C338" s="8" t="s">
        <v>21</v>
      </c>
      <c r="D338" s="8" t="s">
        <v>250</v>
      </c>
      <c r="E338" s="33">
        <v>50.806605189999999</v>
      </c>
      <c r="F338" s="33">
        <v>-128.13496689999999</v>
      </c>
      <c r="G338" s="33">
        <v>147</v>
      </c>
      <c r="H338" s="8" t="s">
        <v>22</v>
      </c>
      <c r="I338" s="9">
        <v>42</v>
      </c>
      <c r="J338" s="33">
        <v>514.16819999999996</v>
      </c>
      <c r="K338" s="33">
        <v>77.965470085587228</v>
      </c>
      <c r="L338" s="9" t="s">
        <v>22</v>
      </c>
      <c r="M338" s="33">
        <v>3.5</v>
      </c>
      <c r="N338" s="33">
        <v>69</v>
      </c>
      <c r="O338" s="9">
        <f>Table1[[#This Row],[R1 Length (km)]]+Table1[[#This Row],[T1 Length (km)]]</f>
        <v>72.5</v>
      </c>
      <c r="P338" s="28">
        <v>130</v>
      </c>
      <c r="Q338" s="9">
        <f>(Table1[[#This Row],[Linear Features (km)]]*0.4)*100</f>
        <v>2900</v>
      </c>
      <c r="R338" s="25">
        <f>((PI()*(45^2))*Table1[[#This Row],[Number of Turbines - WIND]])/10000</f>
        <v>22.266037932317658</v>
      </c>
      <c r="S338" s="3">
        <f>Table1[[#This Row],[ATG (ha)]]/Table1[[#This Row],[Linear Area (ha)]]</f>
        <v>7.6779441145922956E-3</v>
      </c>
      <c r="T338" s="8" t="s">
        <v>115</v>
      </c>
      <c r="U338" s="8">
        <v>35</v>
      </c>
      <c r="V338" s="2" t="s">
        <v>22</v>
      </c>
      <c r="W338" s="2" t="s">
        <v>22</v>
      </c>
      <c r="X338" s="10">
        <f>812.5526+60.09337</f>
        <v>872.64597000000003</v>
      </c>
      <c r="Y338" s="10">
        <f>Table1[[#This Row],[Raw Terrestrial Score]]/Table1[[#This Row],[Summed Raw Scores]]</f>
        <v>0.22140457299461619</v>
      </c>
      <c r="Z338" s="10">
        <f>2817.373+251.39</f>
        <v>3068.7629999999999</v>
      </c>
      <c r="AA338" s="10">
        <f>Table1[[#This Row],[Raw Freshwater Score]]/Table1[[#This Row],[Summed Raw Scores]]</f>
        <v>0.77859542700538376</v>
      </c>
      <c r="AB338" s="10">
        <f>Table1[[#This Row],[Raw Terrestrial Score]]+Table1[[#This Row],[Raw Freshwater Score]]</f>
        <v>3941.40897</v>
      </c>
      <c r="AC338" s="11">
        <f>Table1[[#This Row],[Terrestrial % of Summed Score]]*Table1[[#This Row],[Scaled Summed Score]]</f>
        <v>0.10722661050775259</v>
      </c>
      <c r="AD338" s="11">
        <f>Table1[[#This Row],[Freshwater % of Summed Score]]*Table1[[#This Row],[Scaled Summed Score]]</f>
        <v>0.37707508686667324</v>
      </c>
      <c r="AE338" s="18">
        <f>Table1[[#This Row],[Summed Raw Scores]]/MAX(Table1[Summed Raw Scores])</f>
        <v>0.48430169737442585</v>
      </c>
    </row>
    <row r="339" spans="1:31" x14ac:dyDescent="0.3">
      <c r="A339" s="8" t="s">
        <v>213</v>
      </c>
      <c r="B339" s="8" t="s">
        <v>114</v>
      </c>
      <c r="C339" s="8" t="s">
        <v>21</v>
      </c>
      <c r="D339" s="8" t="s">
        <v>250</v>
      </c>
      <c r="E339" s="33">
        <v>50.776845999999999</v>
      </c>
      <c r="F339" s="33">
        <v>-127.8682787</v>
      </c>
      <c r="G339" s="33">
        <v>60</v>
      </c>
      <c r="H339" s="8" t="s">
        <v>22</v>
      </c>
      <c r="I339" s="9">
        <v>14.399999999999999</v>
      </c>
      <c r="J339" s="33">
        <v>188.21735999999999</v>
      </c>
      <c r="K339" s="33">
        <v>101.1195555834226</v>
      </c>
      <c r="L339" s="9" t="s">
        <v>22</v>
      </c>
      <c r="M339" s="33">
        <v>2.1798991699200001</v>
      </c>
      <c r="N339" s="33">
        <v>48.825691406250002</v>
      </c>
      <c r="O339" s="9">
        <f>Table1[[#This Row],[R1 Length (km)]]+Table1[[#This Row],[T1 Length (km)]]</f>
        <v>51.00559057617</v>
      </c>
      <c r="P339" s="28">
        <v>130</v>
      </c>
      <c r="Q339" s="9">
        <f>(Table1[[#This Row],[Linear Features (km)]]*0.4)*100</f>
        <v>2040.2236230468002</v>
      </c>
      <c r="R339" s="25">
        <f>((PI()*(45^2))*Table1[[#This Row],[Number of Turbines - WIND]])/10000</f>
        <v>7.6340701482231959</v>
      </c>
      <c r="S339" s="3">
        <f>Table1[[#This Row],[ATG (ha)]]/Table1[[#This Row],[Linear Area (ha)]]</f>
        <v>3.7417810783029444E-3</v>
      </c>
      <c r="T339" s="8" t="s">
        <v>115</v>
      </c>
      <c r="U339" s="8">
        <v>12</v>
      </c>
      <c r="V339" s="2" t="s">
        <v>22</v>
      </c>
      <c r="W339" s="2" t="s">
        <v>22</v>
      </c>
      <c r="X339" s="10">
        <f>594.317+9.293116</f>
        <v>603.61011600000006</v>
      </c>
      <c r="Y339" s="10">
        <f>Table1[[#This Row],[Raw Terrestrial Score]]/Table1[[#This Row],[Summed Raw Scores]]</f>
        <v>0.19563013194607334</v>
      </c>
      <c r="Z339" s="10">
        <f>2394.652+87.20386</f>
        <v>2481.8558600000001</v>
      </c>
      <c r="AA339" s="10">
        <f>Table1[[#This Row],[Raw Freshwater Score]]/Table1[[#This Row],[Summed Raw Scores]]</f>
        <v>0.80436986805392663</v>
      </c>
      <c r="AB339" s="10">
        <f>Table1[[#This Row],[Raw Terrestrial Score]]+Table1[[#This Row],[Raw Freshwater Score]]</f>
        <v>3085.4659760000004</v>
      </c>
      <c r="AC339" s="11">
        <f>Table1[[#This Row],[Terrestrial % of Summed Score]]*Table1[[#This Row],[Scaled Summed Score]]</f>
        <v>7.4168756897910568E-2</v>
      </c>
      <c r="AD339" s="11">
        <f>Table1[[#This Row],[Freshwater % of Summed Score]]*Table1[[#This Row],[Scaled Summed Score]]</f>
        <v>0.3049587126800154</v>
      </c>
      <c r="AE339" s="18">
        <f>Table1[[#This Row],[Summed Raw Scores]]/MAX(Table1[Summed Raw Scores])</f>
        <v>0.37912746957792598</v>
      </c>
    </row>
    <row r="340" spans="1:31" x14ac:dyDescent="0.3">
      <c r="A340" s="8" t="s">
        <v>214</v>
      </c>
      <c r="B340" s="8" t="s">
        <v>114</v>
      </c>
      <c r="C340" s="8" t="s">
        <v>21</v>
      </c>
      <c r="D340" s="8" t="s">
        <v>250</v>
      </c>
      <c r="E340" s="33">
        <v>50.739074709999997</v>
      </c>
      <c r="F340" s="33">
        <v>-127.770989</v>
      </c>
      <c r="G340" s="33">
        <v>255</v>
      </c>
      <c r="H340" s="8" t="s">
        <v>22</v>
      </c>
      <c r="I340" s="9">
        <v>61.199999999999996</v>
      </c>
      <c r="J340" s="33">
        <v>786.74436000000003</v>
      </c>
      <c r="K340" s="33">
        <v>93.499766923626581</v>
      </c>
      <c r="L340" s="9" t="s">
        <v>22</v>
      </c>
      <c r="M340" s="33">
        <v>0.7</v>
      </c>
      <c r="N340" s="33">
        <v>173.4</v>
      </c>
      <c r="O340" s="9">
        <f>Table1[[#This Row],[R1 Length (km)]]+Table1[[#This Row],[T1 Length (km)]]</f>
        <v>174.1</v>
      </c>
      <c r="P340" s="28">
        <v>230</v>
      </c>
      <c r="Q340" s="9">
        <f>(Table1[[#This Row],[Linear Features (km)]]*0.4)*100</f>
        <v>6964</v>
      </c>
      <c r="R340" s="25">
        <f>((PI()*(45^2))*Table1[[#This Row],[Number of Turbines - WIND]])/10000</f>
        <v>32.444798129948587</v>
      </c>
      <c r="S340" s="3">
        <f>Table1[[#This Row],[ATG (ha)]]/Table1[[#This Row],[Linear Area (ha)]]</f>
        <v>4.6589313799466668E-3</v>
      </c>
      <c r="T340" s="8" t="s">
        <v>115</v>
      </c>
      <c r="U340" s="8">
        <v>51</v>
      </c>
      <c r="V340" s="2" t="s">
        <v>22</v>
      </c>
      <c r="W340" s="2" t="s">
        <v>22</v>
      </c>
      <c r="X340" s="10">
        <f>726.3206+102.0428</f>
        <v>828.36339999999996</v>
      </c>
      <c r="Y340" s="10">
        <f>Table1[[#This Row],[Raw Terrestrial Score]]/Table1[[#This Row],[Summed Raw Scores]]</f>
        <v>0.23609139637415538</v>
      </c>
      <c r="Z340" s="10">
        <f>2361.518+318.7742</f>
        <v>2680.2921999999999</v>
      </c>
      <c r="AA340" s="10">
        <f>Table1[[#This Row],[Raw Freshwater Score]]/Table1[[#This Row],[Summed Raw Scores]]</f>
        <v>0.76390860362584456</v>
      </c>
      <c r="AB340" s="10">
        <f>Table1[[#This Row],[Raw Terrestrial Score]]+Table1[[#This Row],[Raw Freshwater Score]]</f>
        <v>3508.6556</v>
      </c>
      <c r="AC340" s="11">
        <f>Table1[[#This Row],[Terrestrial % of Summed Score]]*Table1[[#This Row],[Scaled Summed Score]]</f>
        <v>0.10178537769523838</v>
      </c>
      <c r="AD340" s="11">
        <f>Table1[[#This Row],[Freshwater % of Summed Score]]*Table1[[#This Row],[Scaled Summed Score]]</f>
        <v>0.32934163183767101</v>
      </c>
      <c r="AE340" s="18">
        <f>Table1[[#This Row],[Summed Raw Scores]]/MAX(Table1[Summed Raw Scores])</f>
        <v>0.43112700953290939</v>
      </c>
    </row>
    <row r="341" spans="1:31" x14ac:dyDescent="0.3">
      <c r="A341" s="8" t="s">
        <v>215</v>
      </c>
      <c r="B341" s="8" t="s">
        <v>114</v>
      </c>
      <c r="C341" s="8" t="s">
        <v>21</v>
      </c>
      <c r="D341" s="8" t="s">
        <v>250</v>
      </c>
      <c r="E341" s="33">
        <v>50.78142433</v>
      </c>
      <c r="F341" s="33">
        <v>-127.6862897</v>
      </c>
      <c r="G341" s="33">
        <v>117</v>
      </c>
      <c r="H341" s="8" t="s">
        <v>22</v>
      </c>
      <c r="I341" s="9">
        <v>27.599999999999998</v>
      </c>
      <c r="J341" s="33">
        <v>358.53366</v>
      </c>
      <c r="K341" s="33">
        <v>83.915463409001291</v>
      </c>
      <c r="L341" s="9" t="s">
        <v>22</v>
      </c>
      <c r="M341" s="33">
        <v>1.7</v>
      </c>
      <c r="N341" s="33">
        <v>36</v>
      </c>
      <c r="O341" s="9">
        <f>Table1[[#This Row],[R1 Length (km)]]+Table1[[#This Row],[T1 Length (km)]]</f>
        <v>37.700000000000003</v>
      </c>
      <c r="P341" s="28">
        <v>130</v>
      </c>
      <c r="Q341" s="9">
        <f>(Table1[[#This Row],[Linear Features (km)]]*0.4)*100</f>
        <v>1508.0000000000002</v>
      </c>
      <c r="R341" s="25">
        <f>((PI()*(45^2))*Table1[[#This Row],[Number of Turbines - WIND]])/10000</f>
        <v>14.631967784094462</v>
      </c>
      <c r="S341" s="3">
        <f>Table1[[#This Row],[ATG (ha)]]/Table1[[#This Row],[Linear Area (ha)]]</f>
        <v>9.7028964085507027E-3</v>
      </c>
      <c r="T341" s="8" t="s">
        <v>115</v>
      </c>
      <c r="U341" s="8">
        <v>23</v>
      </c>
      <c r="V341" s="2" t="s">
        <v>22</v>
      </c>
      <c r="W341" s="2" t="s">
        <v>22</v>
      </c>
      <c r="X341" s="10">
        <f>601.6127+37.97201</f>
        <v>639.58470999999997</v>
      </c>
      <c r="Y341" s="10">
        <f>Table1[[#This Row],[Raw Terrestrial Score]]/Table1[[#This Row],[Summed Raw Scores]]</f>
        <v>0.21139233202784649</v>
      </c>
      <c r="Z341" s="10">
        <f>2219.09+166.9067</f>
        <v>2385.9967000000001</v>
      </c>
      <c r="AA341" s="10">
        <f>Table1[[#This Row],[Raw Freshwater Score]]/Table1[[#This Row],[Summed Raw Scores]]</f>
        <v>0.78860766797215343</v>
      </c>
      <c r="AB341" s="10">
        <f>Table1[[#This Row],[Raw Terrestrial Score]]+Table1[[#This Row],[Raw Freshwater Score]]</f>
        <v>3025.5814100000002</v>
      </c>
      <c r="AC341" s="11">
        <f>Table1[[#This Row],[Terrestrial % of Summed Score]]*Table1[[#This Row],[Scaled Summed Score]]</f>
        <v>7.8589144903612962E-2</v>
      </c>
      <c r="AD341" s="11">
        <f>Table1[[#This Row],[Freshwater % of Summed Score]]*Table1[[#This Row],[Scaled Summed Score]]</f>
        <v>0.29317999236698816</v>
      </c>
      <c r="AE341" s="18">
        <f>Table1[[#This Row],[Summed Raw Scores]]/MAX(Table1[Summed Raw Scores])</f>
        <v>0.37176913727060118</v>
      </c>
    </row>
    <row r="342" spans="1:31" x14ac:dyDescent="0.3">
      <c r="A342" s="8" t="s">
        <v>216</v>
      </c>
      <c r="B342" s="8" t="s">
        <v>114</v>
      </c>
      <c r="C342" s="8" t="s">
        <v>21</v>
      </c>
      <c r="D342" s="8" t="s">
        <v>250</v>
      </c>
      <c r="E342" s="33">
        <v>50.644801700000002</v>
      </c>
      <c r="F342" s="33">
        <v>-126.9632505</v>
      </c>
      <c r="G342" s="33">
        <v>165</v>
      </c>
      <c r="H342" s="8" t="s">
        <v>22</v>
      </c>
      <c r="I342" s="9">
        <v>39.6</v>
      </c>
      <c r="J342" s="33">
        <v>522.07848000000001</v>
      </c>
      <c r="K342" s="33">
        <v>88.642968937247929</v>
      </c>
      <c r="L342" s="9" t="s">
        <v>22</v>
      </c>
      <c r="M342" s="33">
        <v>0.2</v>
      </c>
      <c r="N342" s="33">
        <v>122.2</v>
      </c>
      <c r="O342" s="9">
        <f>Table1[[#This Row],[R1 Length (km)]]+Table1[[#This Row],[T1 Length (km)]]</f>
        <v>122.4</v>
      </c>
      <c r="P342" s="28">
        <v>230</v>
      </c>
      <c r="Q342" s="9">
        <f>(Table1[[#This Row],[Linear Features (km)]]*0.4)*100</f>
        <v>4896.0000000000009</v>
      </c>
      <c r="R342" s="25">
        <f>((PI()*(45^2))*Table1[[#This Row],[Number of Turbines - WIND]])/10000</f>
        <v>20.993692907613791</v>
      </c>
      <c r="S342" s="3">
        <f>Table1[[#This Row],[ATG (ha)]]/Table1[[#This Row],[Linear Area (ha)]]</f>
        <v>4.2879274729603328E-3</v>
      </c>
      <c r="T342" s="8" t="s">
        <v>115</v>
      </c>
      <c r="U342" s="8">
        <v>33</v>
      </c>
      <c r="V342" s="2" t="s">
        <v>22</v>
      </c>
      <c r="W342" s="2" t="s">
        <v>22</v>
      </c>
      <c r="X342" s="10">
        <f>496.0617+35.21499</f>
        <v>531.27668999999992</v>
      </c>
      <c r="Y342" s="10">
        <f>Table1[[#This Row],[Raw Terrestrial Score]]/Table1[[#This Row],[Summed Raw Scores]]</f>
        <v>0.21818400202162319</v>
      </c>
      <c r="Z342" s="10">
        <f>1729.517+174.2001</f>
        <v>1903.7171000000001</v>
      </c>
      <c r="AA342" s="10">
        <f>Table1[[#This Row],[Raw Freshwater Score]]/Table1[[#This Row],[Summed Raw Scores]]</f>
        <v>0.78181599797837675</v>
      </c>
      <c r="AB342" s="10">
        <f>Table1[[#This Row],[Raw Terrestrial Score]]+Table1[[#This Row],[Raw Freshwater Score]]</f>
        <v>2434.99379</v>
      </c>
      <c r="AC342" s="11">
        <f>Table1[[#This Row],[Terrestrial % of Summed Score]]*Table1[[#This Row],[Scaled Summed Score]]</f>
        <v>6.5280767537926068E-2</v>
      </c>
      <c r="AD342" s="11">
        <f>Table1[[#This Row],[Freshwater % of Summed Score]]*Table1[[#This Row],[Scaled Summed Score]]</f>
        <v>0.2339197555666799</v>
      </c>
      <c r="AE342" s="18">
        <f>Table1[[#This Row],[Summed Raw Scores]]/MAX(Table1[Summed Raw Scores])</f>
        <v>0.29920052310460599</v>
      </c>
    </row>
    <row r="343" spans="1:31" x14ac:dyDescent="0.3">
      <c r="A343" s="8" t="s">
        <v>217</v>
      </c>
      <c r="B343" s="8" t="s">
        <v>114</v>
      </c>
      <c r="C343" s="8" t="s">
        <v>21</v>
      </c>
      <c r="D343" s="8"/>
      <c r="E343" s="33">
        <v>50.655786939999999</v>
      </c>
      <c r="F343" s="33">
        <v>-127.75765079999999</v>
      </c>
      <c r="G343" s="33">
        <v>39</v>
      </c>
      <c r="H343" s="8" t="s">
        <v>22</v>
      </c>
      <c r="I343" s="9">
        <v>9.6</v>
      </c>
      <c r="J343" s="33">
        <v>119.73168000000001</v>
      </c>
      <c r="K343" s="33">
        <v>108.76961582803685</v>
      </c>
      <c r="L343" s="9" t="s">
        <v>22</v>
      </c>
      <c r="M343" s="33">
        <v>1.2242640380900001</v>
      </c>
      <c r="N343" s="33">
        <v>21.085281250000001</v>
      </c>
      <c r="O343" s="9">
        <f>Table1[[#This Row],[R1 Length (km)]]+Table1[[#This Row],[T1 Length (km)]]</f>
        <v>22.30954528809</v>
      </c>
      <c r="P343" s="36">
        <v>69</v>
      </c>
      <c r="Q343" s="9">
        <f>(Table1[[#This Row],[Linear Features (km)]]*0.4)*100</f>
        <v>892.38181152360005</v>
      </c>
      <c r="R343" s="25">
        <f>((PI()*(45^2))*Table1[[#This Row],[Number of Turbines - WIND]])/10000</f>
        <v>5.0893800988154645</v>
      </c>
      <c r="S343" s="3">
        <f>Table1[[#This Row],[ATG (ha)]]/Table1[[#This Row],[Linear Area (ha)]]</f>
        <v>5.7031418985626315E-3</v>
      </c>
      <c r="T343" s="8" t="s">
        <v>115</v>
      </c>
      <c r="U343" s="8">
        <v>8</v>
      </c>
      <c r="V343" s="2" t="s">
        <v>22</v>
      </c>
      <c r="W343" s="2" t="s">
        <v>22</v>
      </c>
      <c r="X343" s="10">
        <f>99.20753+11.99719</f>
        <v>111.20472000000001</v>
      </c>
      <c r="Y343" s="10">
        <f>Table1[[#This Row],[Raw Terrestrial Score]]/Table1[[#This Row],[Summed Raw Scores]]</f>
        <v>0.23675074921406133</v>
      </c>
      <c r="Z343" s="10">
        <f>326.5075+32</f>
        <v>358.50749999999999</v>
      </c>
      <c r="AA343" s="10">
        <f>Table1[[#This Row],[Raw Freshwater Score]]/Table1[[#This Row],[Summed Raw Scores]]</f>
        <v>0.76324925078593864</v>
      </c>
      <c r="AB343" s="10">
        <f>Table1[[#This Row],[Raw Terrestrial Score]]+Table1[[#This Row],[Raw Freshwater Score]]</f>
        <v>469.71222</v>
      </c>
      <c r="AC343" s="11">
        <f>Table1[[#This Row],[Terrestrial % of Summed Score]]*Table1[[#This Row],[Scaled Summed Score]]</f>
        <v>1.3664310164709389E-2</v>
      </c>
      <c r="AD343" s="11">
        <f>Table1[[#This Row],[Freshwater % of Summed Score]]*Table1[[#This Row],[Scaled Summed Score]]</f>
        <v>4.4051706405758236E-2</v>
      </c>
      <c r="AE343" s="18">
        <f>Table1[[#This Row],[Summed Raw Scores]]/MAX(Table1[Summed Raw Scores])</f>
        <v>5.7716016570467626E-2</v>
      </c>
    </row>
    <row r="344" spans="1:31" x14ac:dyDescent="0.3">
      <c r="A344" s="8" t="s">
        <v>218</v>
      </c>
      <c r="B344" s="8" t="s">
        <v>114</v>
      </c>
      <c r="C344" s="8" t="s">
        <v>21</v>
      </c>
      <c r="D344" s="8" t="s">
        <v>250</v>
      </c>
      <c r="E344" s="33">
        <v>50.587989550000003</v>
      </c>
      <c r="F344" s="33">
        <v>-128.2024973</v>
      </c>
      <c r="G344" s="33">
        <v>54</v>
      </c>
      <c r="H344" s="8" t="s">
        <v>22</v>
      </c>
      <c r="I344" s="9">
        <v>13.2</v>
      </c>
      <c r="J344" s="33">
        <v>168.34091999999998</v>
      </c>
      <c r="K344" s="33">
        <v>94.726775014035169</v>
      </c>
      <c r="L344" s="9" t="s">
        <v>22</v>
      </c>
      <c r="M344" s="33">
        <v>0.68284271240200001</v>
      </c>
      <c r="N344" s="33">
        <v>211</v>
      </c>
      <c r="O344" s="9">
        <f>Table1[[#This Row],[R1 Length (km)]]+Table1[[#This Row],[T1 Length (km)]]</f>
        <v>211.68284271240199</v>
      </c>
      <c r="P344" s="28">
        <v>69</v>
      </c>
      <c r="Q344" s="9">
        <f>(Table1[[#This Row],[Linear Features (km)]]*0.4)*100</f>
        <v>8467.3137084960799</v>
      </c>
      <c r="R344" s="25">
        <f>((PI()*(45^2))*Table1[[#This Row],[Number of Turbines - WIND]])/10000</f>
        <v>4.453207586463531</v>
      </c>
      <c r="S344" s="3">
        <f>Table1[[#This Row],[ATG (ha)]]/Table1[[#This Row],[Linear Area (ha)]]</f>
        <v>5.2592920727564333E-4</v>
      </c>
      <c r="T344" s="8" t="s">
        <v>115</v>
      </c>
      <c r="U344" s="8">
        <v>7</v>
      </c>
      <c r="V344" s="2" t="s">
        <v>22</v>
      </c>
      <c r="W344" s="2" t="s">
        <v>22</v>
      </c>
      <c r="X344" s="10">
        <f>755.6585+19.5576</f>
        <v>775.21609999999998</v>
      </c>
      <c r="Y344" s="10">
        <f>Table1[[#This Row],[Raw Terrestrial Score]]/Table1[[#This Row],[Summed Raw Scores]]</f>
        <v>0.23532463971747541</v>
      </c>
      <c r="Z344" s="10">
        <f>2486.435+32.59</f>
        <v>2519.0250000000001</v>
      </c>
      <c r="AA344" s="10">
        <f>Table1[[#This Row],[Raw Freshwater Score]]/Table1[[#This Row],[Summed Raw Scores]]</f>
        <v>0.76467536028252459</v>
      </c>
      <c r="AB344" s="10">
        <f>Table1[[#This Row],[Raw Terrestrial Score]]+Table1[[#This Row],[Raw Freshwater Score]]</f>
        <v>3294.2411000000002</v>
      </c>
      <c r="AC344" s="11">
        <f>Table1[[#This Row],[Terrestrial % of Summed Score]]*Table1[[#This Row],[Scaled Summed Score]]</f>
        <v>9.5254888776990482E-2</v>
      </c>
      <c r="AD344" s="11">
        <f>Table1[[#This Row],[Freshwater % of Summed Score]]*Table1[[#This Row],[Scaled Summed Score]]</f>
        <v>0.3095258808498153</v>
      </c>
      <c r="AE344" s="18">
        <f>Table1[[#This Row],[Summed Raw Scores]]/MAX(Table1[Summed Raw Scores])</f>
        <v>0.40478076962680576</v>
      </c>
    </row>
    <row r="345" spans="1:31" x14ac:dyDescent="0.3">
      <c r="A345" s="8" t="s">
        <v>219</v>
      </c>
      <c r="B345" s="8" t="s">
        <v>114</v>
      </c>
      <c r="C345" s="8" t="s">
        <v>21</v>
      </c>
      <c r="D345" s="8"/>
      <c r="E345" s="31">
        <v>50.701239829999999</v>
      </c>
      <c r="F345" s="31">
        <v>-128.19938149999999</v>
      </c>
      <c r="G345" s="31">
        <v>33</v>
      </c>
      <c r="H345" s="8" t="s">
        <v>22</v>
      </c>
      <c r="I345" s="9">
        <v>8.4</v>
      </c>
      <c r="J345" s="31">
        <v>100.50348</v>
      </c>
      <c r="K345" s="31">
        <v>115.04631020901492</v>
      </c>
      <c r="L345" s="9" t="s">
        <v>22</v>
      </c>
      <c r="M345" s="31">
        <v>0.14142135620100002</v>
      </c>
      <c r="N345" s="31">
        <v>50.245585937500003</v>
      </c>
      <c r="O345" s="9">
        <f>Table1[[#This Row],[R1 Length (km)]]+Table1[[#This Row],[T1 Length (km)]]</f>
        <v>50.387007293701004</v>
      </c>
      <c r="P345" s="28">
        <v>69</v>
      </c>
      <c r="Q345" s="9">
        <f>(Table1[[#This Row],[Linear Features (km)]]*0.4)*100</f>
        <v>2015.4802917480404</v>
      </c>
      <c r="R345" s="25">
        <f>145718.9/10000</f>
        <v>14.57189</v>
      </c>
      <c r="S345" s="3">
        <f>Table1[[#This Row],[ATG (ha)]]/Table1[[#This Row],[Linear Area (ha)]]</f>
        <v>7.2299838701780092E-3</v>
      </c>
      <c r="T345" s="8" t="s">
        <v>136</v>
      </c>
      <c r="U345" s="2" t="s">
        <v>22</v>
      </c>
      <c r="V345" s="2" t="s">
        <v>22</v>
      </c>
      <c r="W345" s="2" t="s">
        <v>22</v>
      </c>
      <c r="X345" s="10">
        <v>112.66030000000001</v>
      </c>
      <c r="Y345" s="10">
        <f>Table1[[#This Row],[Raw Terrestrial Score]]/Table1[[#This Row],[Summed Raw Scores]]</f>
        <v>0.12677543938893188</v>
      </c>
      <c r="Z345" s="10">
        <v>776</v>
      </c>
      <c r="AA345" s="10">
        <f>Table1[[#This Row],[Raw Freshwater Score]]/Table1[[#This Row],[Summed Raw Scores]]</f>
        <v>0.87322456061106812</v>
      </c>
      <c r="AB345" s="10">
        <f>Table1[[#This Row],[Raw Terrestrial Score]]+Table1[[#This Row],[Raw Freshwater Score]]</f>
        <v>888.66030000000001</v>
      </c>
      <c r="AC345" s="11">
        <f>Table1[[#This Row],[Terrestrial % of Summed Score]]*Table1[[#This Row],[Scaled Summed Score]]</f>
        <v>1.3843164952433758E-2</v>
      </c>
      <c r="AD345" s="11">
        <f>Table1[[#This Row],[Freshwater % of Summed Score]]*Table1[[#This Row],[Scaled Summed Score]]</f>
        <v>9.535121070233786E-2</v>
      </c>
      <c r="AE345" s="18">
        <f>Table1[[#This Row],[Summed Raw Scores]]/MAX(Table1[Summed Raw Scores])</f>
        <v>0.10919437565477162</v>
      </c>
    </row>
    <row r="346" spans="1:31" x14ac:dyDescent="0.3">
      <c r="A346" s="8" t="s">
        <v>220</v>
      </c>
      <c r="B346" s="8" t="s">
        <v>114</v>
      </c>
      <c r="C346" s="8" t="s">
        <v>21</v>
      </c>
      <c r="D346" s="8" t="s">
        <v>250</v>
      </c>
      <c r="E346" s="31">
        <v>48.524384269999999</v>
      </c>
      <c r="F346" s="31">
        <v>-124.04424469999999</v>
      </c>
      <c r="G346" s="31">
        <v>48</v>
      </c>
      <c r="H346" s="8" t="s">
        <v>22</v>
      </c>
      <c r="I346" s="9">
        <v>12</v>
      </c>
      <c r="J346" s="33">
        <v>127.8522</v>
      </c>
      <c r="K346" s="33">
        <v>102.72014729515422</v>
      </c>
      <c r="L346" s="9" t="s">
        <v>22</v>
      </c>
      <c r="M346" s="31">
        <v>0.68284277343800004</v>
      </c>
      <c r="N346" s="31">
        <v>34.066906250000002</v>
      </c>
      <c r="O346" s="9">
        <f>Table1[[#This Row],[R1 Length (km)]]+Table1[[#This Row],[T1 Length (km)]]</f>
        <v>34.749749023438</v>
      </c>
      <c r="P346" s="28">
        <v>69</v>
      </c>
      <c r="Q346" s="9">
        <f>(Table1[[#This Row],[Linear Features (km)]]*0.4)*100</f>
        <v>1389.98996093752</v>
      </c>
      <c r="R346" s="25">
        <v>6.36</v>
      </c>
      <c r="S346" s="3">
        <f>Table1[[#This Row],[ATG (ha)]]/Table1[[#This Row],[Linear Area (ha)]]</f>
        <v>4.5755726147189649E-3</v>
      </c>
      <c r="T346" s="8" t="s">
        <v>136</v>
      </c>
      <c r="U346" s="2" t="s">
        <v>22</v>
      </c>
      <c r="V346" s="2" t="s">
        <v>22</v>
      </c>
      <c r="W346" s="2" t="s">
        <v>22</v>
      </c>
      <c r="X346" s="10">
        <v>62.828650000000003</v>
      </c>
      <c r="Y346" s="10">
        <f>Table1[[#This Row],[Raw Terrestrial Score]]/Table1[[#This Row],[Summed Raw Scores]]</f>
        <v>0.22483622263451236</v>
      </c>
      <c r="Z346" s="10">
        <v>216.61320000000001</v>
      </c>
      <c r="AA346" s="10">
        <f>Table1[[#This Row],[Raw Freshwater Score]]/Table1[[#This Row],[Summed Raw Scores]]</f>
        <v>0.77516377736548769</v>
      </c>
      <c r="AB346" s="10">
        <f>Table1[[#This Row],[Raw Terrestrial Score]]+Table1[[#This Row],[Raw Freshwater Score]]</f>
        <v>279.44184999999999</v>
      </c>
      <c r="AC346" s="11">
        <f>Table1[[#This Row],[Terrestrial % of Summed Score]]*Table1[[#This Row],[Scaled Summed Score]]</f>
        <v>7.7200874282131971E-3</v>
      </c>
      <c r="AD346" s="11">
        <f>Table1[[#This Row],[Freshwater % of Summed Score]]*Table1[[#This Row],[Scaled Summed Score]]</f>
        <v>2.6616405765602646E-2</v>
      </c>
      <c r="AE346" s="18">
        <f>Table1[[#This Row],[Summed Raw Scores]]/MAX(Table1[Summed Raw Scores])</f>
        <v>3.4336493193815841E-2</v>
      </c>
    </row>
    <row r="347" spans="1:31" x14ac:dyDescent="0.3">
      <c r="A347" s="8" t="s">
        <v>221</v>
      </c>
      <c r="B347" s="8" t="s">
        <v>114</v>
      </c>
      <c r="C347" s="8" t="s">
        <v>21</v>
      </c>
      <c r="D347" s="8" t="s">
        <v>250</v>
      </c>
      <c r="E347" s="31">
        <v>50.496697820000001</v>
      </c>
      <c r="F347" s="31">
        <v>-126.76762239999999</v>
      </c>
      <c r="G347" s="31">
        <v>48</v>
      </c>
      <c r="H347" s="8" t="s">
        <v>22</v>
      </c>
      <c r="I347" s="9">
        <v>12</v>
      </c>
      <c r="J347" s="33">
        <v>164.90700000000001</v>
      </c>
      <c r="K347" s="33">
        <v>88.165206651257805</v>
      </c>
      <c r="L347" s="9" t="s">
        <v>22</v>
      </c>
      <c r="M347" s="31">
        <v>0.7</v>
      </c>
      <c r="N347" s="31">
        <v>9.1999999999999993</v>
      </c>
      <c r="O347" s="9">
        <f>Table1[[#This Row],[R1 Length (km)]]+Table1[[#This Row],[T1 Length (km)]]</f>
        <v>9.8999999999999986</v>
      </c>
      <c r="P347" s="28">
        <v>130</v>
      </c>
      <c r="Q347" s="9">
        <f>(Table1[[#This Row],[Linear Features (km)]]*0.4)*100</f>
        <v>395.99999999999994</v>
      </c>
      <c r="R347" s="25">
        <v>6.36</v>
      </c>
      <c r="S347" s="3">
        <f>Table1[[#This Row],[ATG (ha)]]/Table1[[#This Row],[Linear Area (ha)]]</f>
        <v>1.6060606060606063E-2</v>
      </c>
      <c r="T347" s="8" t="s">
        <v>136</v>
      </c>
      <c r="U347" s="8" t="s">
        <v>22</v>
      </c>
      <c r="V347" s="2" t="s">
        <v>22</v>
      </c>
      <c r="W347" s="2" t="s">
        <v>22</v>
      </c>
      <c r="X347" s="10">
        <v>61.61515</v>
      </c>
      <c r="Y347" s="10">
        <f>Table1[[#This Row],[Raw Terrestrial Score]]/Table1[[#This Row],[Summed Raw Scores]]</f>
        <v>0.25778720254811877</v>
      </c>
      <c r="Z347" s="10">
        <v>177.40039999999999</v>
      </c>
      <c r="AA347" s="10">
        <f>Table1[[#This Row],[Raw Freshwater Score]]/Table1[[#This Row],[Summed Raw Scores]]</f>
        <v>0.74221279745188129</v>
      </c>
      <c r="AB347" s="10">
        <f>Table1[[#This Row],[Raw Terrestrial Score]]+Table1[[#This Row],[Raw Freshwater Score]]</f>
        <v>239.01554999999999</v>
      </c>
      <c r="AC347" s="11">
        <f>Table1[[#This Row],[Terrestrial % of Summed Score]]*Table1[[#This Row],[Scaled Summed Score]]</f>
        <v>7.5709782862192695E-3</v>
      </c>
      <c r="AD347" s="11">
        <f>Table1[[#This Row],[Freshwater % of Summed Score]]*Table1[[#This Row],[Scaled Summed Score]]</f>
        <v>2.1798122318400795E-2</v>
      </c>
      <c r="AE347" s="18">
        <f>Table1[[#This Row],[Summed Raw Scores]]/MAX(Table1[Summed Raw Scores])</f>
        <v>2.9369100604620064E-2</v>
      </c>
    </row>
    <row r="348" spans="1:31" x14ac:dyDescent="0.3">
      <c r="A348" s="8" t="s">
        <v>222</v>
      </c>
      <c r="B348" s="8" t="s">
        <v>114</v>
      </c>
      <c r="C348" s="8" t="s">
        <v>21</v>
      </c>
      <c r="D348" s="8" t="s">
        <v>250</v>
      </c>
      <c r="E348" s="31">
        <v>50.494692499999999</v>
      </c>
      <c r="F348" s="31">
        <v>-127.07283200000001</v>
      </c>
      <c r="G348" s="31">
        <v>33</v>
      </c>
      <c r="H348" s="8" t="s">
        <v>22</v>
      </c>
      <c r="I348" s="9">
        <v>8.4</v>
      </c>
      <c r="J348" s="31">
        <v>113.50331999999999</v>
      </c>
      <c r="K348" s="31">
        <v>87.113135229108053</v>
      </c>
      <c r="L348" s="9" t="s">
        <v>22</v>
      </c>
      <c r="M348" s="31">
        <v>1</v>
      </c>
      <c r="N348" s="31">
        <v>8.8000000000000007</v>
      </c>
      <c r="O348" s="9">
        <f>Table1[[#This Row],[R1 Length (km)]]+Table1[[#This Row],[T1 Length (km)]]</f>
        <v>9.8000000000000007</v>
      </c>
      <c r="P348" s="28">
        <v>130</v>
      </c>
      <c r="Q348" s="9">
        <f>(Table1[[#This Row],[Linear Features (km)]]*0.4)*100</f>
        <v>392.00000000000006</v>
      </c>
      <c r="R348" s="25">
        <f>((PI()*(45^2))*Table1[[#This Row],[Number of Turbines - WIND]])/10000</f>
        <v>4.453207586463531</v>
      </c>
      <c r="S348" s="3">
        <f>Table1[[#This Row],[ATG (ha)]]/Table1[[#This Row],[Linear Area (ha)]]</f>
        <v>1.1360223434855946E-2</v>
      </c>
      <c r="T348" s="8" t="s">
        <v>115</v>
      </c>
      <c r="U348" s="8">
        <v>7</v>
      </c>
      <c r="V348" s="2" t="s">
        <v>22</v>
      </c>
      <c r="W348" s="2" t="s">
        <v>22</v>
      </c>
      <c r="X348" s="10">
        <f>32.02947+19.03198</f>
        <v>51.061450000000008</v>
      </c>
      <c r="Y348" s="10">
        <f>Table1[[#This Row],[Raw Terrestrial Score]]/Table1[[#This Row],[Summed Raw Scores]]</f>
        <v>0.18320772036794358</v>
      </c>
      <c r="Z348" s="10">
        <f>185.5098+42.13671</f>
        <v>227.64651000000001</v>
      </c>
      <c r="AA348" s="10">
        <f>Table1[[#This Row],[Raw Freshwater Score]]/Table1[[#This Row],[Summed Raw Scores]]</f>
        <v>0.81679227963205647</v>
      </c>
      <c r="AB348" s="10">
        <f>Table1[[#This Row],[Raw Terrestrial Score]]+Table1[[#This Row],[Raw Freshwater Score]]</f>
        <v>278.70796000000001</v>
      </c>
      <c r="AC348" s="11">
        <f>Table1[[#This Row],[Terrestrial % of Summed Score]]*Table1[[#This Row],[Scaled Summed Score]]</f>
        <v>6.2741895331403221E-3</v>
      </c>
      <c r="AD348" s="11">
        <f>Table1[[#This Row],[Freshwater % of Summed Score]]*Table1[[#This Row],[Scaled Summed Score]]</f>
        <v>2.7972126727657042E-2</v>
      </c>
      <c r="AE348" s="18">
        <f>Table1[[#This Row],[Summed Raw Scores]]/MAX(Table1[Summed Raw Scores])</f>
        <v>3.4246316260797362E-2</v>
      </c>
    </row>
    <row r="349" spans="1:31" x14ac:dyDescent="0.3">
      <c r="A349" s="8" t="s">
        <v>223</v>
      </c>
      <c r="B349" s="8" t="s">
        <v>114</v>
      </c>
      <c r="C349" s="8" t="s">
        <v>21</v>
      </c>
      <c r="D349" s="8" t="s">
        <v>250</v>
      </c>
      <c r="E349" s="31">
        <v>50.446005470000003</v>
      </c>
      <c r="F349" s="31">
        <v>-127.2969015</v>
      </c>
      <c r="G349" s="31">
        <v>33</v>
      </c>
      <c r="H349" s="8" t="s">
        <v>22</v>
      </c>
      <c r="I349" s="9">
        <v>8.4</v>
      </c>
      <c r="J349" s="31">
        <v>129.44651999999999</v>
      </c>
      <c r="K349" s="31">
        <v>88.609477321999194</v>
      </c>
      <c r="L349" s="9" t="s">
        <v>22</v>
      </c>
      <c r="M349" s="31">
        <v>0.9</v>
      </c>
      <c r="N349" s="31">
        <v>17.8</v>
      </c>
      <c r="O349" s="9">
        <f>Table1[[#This Row],[R1 Length (km)]]+Table1[[#This Row],[T1 Length (km)]]</f>
        <v>18.7</v>
      </c>
      <c r="P349" s="28">
        <v>130</v>
      </c>
      <c r="Q349" s="9">
        <f>(Table1[[#This Row],[Linear Features (km)]]*0.4)*100</f>
        <v>748</v>
      </c>
      <c r="R349" s="25">
        <v>4.45</v>
      </c>
      <c r="S349" s="3">
        <f>Table1[[#This Row],[ATG (ha)]]/Table1[[#This Row],[Linear Area (ha)]]</f>
        <v>5.9491978609625667E-3</v>
      </c>
      <c r="T349" s="8" t="s">
        <v>136</v>
      </c>
      <c r="U349" s="2" t="s">
        <v>22</v>
      </c>
      <c r="V349" s="2" t="s">
        <v>22</v>
      </c>
      <c r="W349" s="2" t="s">
        <v>22</v>
      </c>
      <c r="X349" s="10">
        <v>94.02328</v>
      </c>
      <c r="Y349" s="10">
        <f>Table1[[#This Row],[Raw Terrestrial Score]]/Table1[[#This Row],[Summed Raw Scores]]</f>
        <v>0.33104075130742805</v>
      </c>
      <c r="Z349" s="10">
        <v>190</v>
      </c>
      <c r="AA349" s="10">
        <f>Table1[[#This Row],[Raw Freshwater Score]]/Table1[[#This Row],[Summed Raw Scores]]</f>
        <v>0.66895924869257195</v>
      </c>
      <c r="AB349" s="10">
        <f>Table1[[#This Row],[Raw Terrestrial Score]]+Table1[[#This Row],[Raw Freshwater Score]]</f>
        <v>284.02328</v>
      </c>
      <c r="AC349" s="11">
        <f>Table1[[#This Row],[Terrestrial % of Summed Score]]*Table1[[#This Row],[Scaled Summed Score]]</f>
        <v>1.155313605954241E-2</v>
      </c>
      <c r="AD349" s="11">
        <f>Table1[[#This Row],[Freshwater % of Summed Score]]*Table1[[#This Row],[Scaled Summed Score]]</f>
        <v>2.3346301589489939E-2</v>
      </c>
      <c r="AE349" s="18">
        <f>Table1[[#This Row],[Summed Raw Scores]]/MAX(Table1[Summed Raw Scores])</f>
        <v>3.4899437649032347E-2</v>
      </c>
    </row>
    <row r="350" spans="1:31" x14ac:dyDescent="0.3">
      <c r="A350" s="8" t="s">
        <v>224</v>
      </c>
      <c r="B350" s="8" t="s">
        <v>114</v>
      </c>
      <c r="C350" s="8" t="s">
        <v>21</v>
      </c>
      <c r="D350" s="8" t="s">
        <v>250</v>
      </c>
      <c r="E350" s="31">
        <v>50.563312949999997</v>
      </c>
      <c r="F350" s="31">
        <v>-127.93100939999999</v>
      </c>
      <c r="G350" s="31">
        <v>39</v>
      </c>
      <c r="H350" s="8" t="s">
        <v>22</v>
      </c>
      <c r="I350" s="9">
        <v>9.6</v>
      </c>
      <c r="J350" s="31">
        <v>131.15472</v>
      </c>
      <c r="K350" s="31">
        <v>103.77850274255869</v>
      </c>
      <c r="L350" s="9" t="s">
        <v>22</v>
      </c>
      <c r="M350" s="31">
        <v>0.44142135620099998</v>
      </c>
      <c r="N350" s="31">
        <v>37.785996093750001</v>
      </c>
      <c r="O350" s="9">
        <f>Table1[[#This Row],[R1 Length (km)]]+Table1[[#This Row],[T1 Length (km)]]</f>
        <v>38.227417449950998</v>
      </c>
      <c r="P350" s="28">
        <v>69</v>
      </c>
      <c r="Q350" s="9">
        <f>(Table1[[#This Row],[Linear Features (km)]]*0.4)*100</f>
        <v>1529.0966979980401</v>
      </c>
      <c r="R350" s="25">
        <v>5.08</v>
      </c>
      <c r="S350" s="3">
        <f>Table1[[#This Row],[ATG (ha)]]/Table1[[#This Row],[Linear Area (ha)]]</f>
        <v>3.3222228565733987E-3</v>
      </c>
      <c r="T350" s="8" t="s">
        <v>136</v>
      </c>
      <c r="U350" s="2" t="s">
        <v>22</v>
      </c>
      <c r="V350" s="2" t="s">
        <v>22</v>
      </c>
      <c r="W350" s="2" t="s">
        <v>22</v>
      </c>
      <c r="X350" s="10">
        <v>223.12790000000001</v>
      </c>
      <c r="Y350" s="10">
        <f>Table1[[#This Row],[Raw Terrestrial Score]]/Table1[[#This Row],[Summed Raw Scores]]</f>
        <v>0.34016650676825361</v>
      </c>
      <c r="Z350" s="10">
        <v>432.80939999999998</v>
      </c>
      <c r="AA350" s="10">
        <f>Table1[[#This Row],[Raw Freshwater Score]]/Table1[[#This Row],[Summed Raw Scores]]</f>
        <v>0.65983349323174634</v>
      </c>
      <c r="AB350" s="10">
        <f>Table1[[#This Row],[Raw Terrestrial Score]]+Table1[[#This Row],[Raw Freshwater Score]]</f>
        <v>655.93730000000005</v>
      </c>
      <c r="AC350" s="11">
        <f>Table1[[#This Row],[Terrestrial % of Summed Score]]*Table1[[#This Row],[Scaled Summed Score]]</f>
        <v>2.7416901296997649E-2</v>
      </c>
      <c r="AD350" s="11">
        <f>Table1[[#This Row],[Freshwater % of Summed Score]]*Table1[[#This Row],[Scaled Summed Score]]</f>
        <v>5.3181572542979935E-2</v>
      </c>
      <c r="AE350" s="18">
        <f>Table1[[#This Row],[Summed Raw Scores]]/MAX(Table1[Summed Raw Scores])</f>
        <v>8.0598473839977591E-2</v>
      </c>
    </row>
    <row r="351" spans="1:31" x14ac:dyDescent="0.3">
      <c r="A351" s="8" t="s">
        <v>225</v>
      </c>
      <c r="B351" s="8" t="s">
        <v>37</v>
      </c>
      <c r="C351" s="8" t="s">
        <v>59</v>
      </c>
      <c r="D351" s="8" t="s">
        <v>250</v>
      </c>
      <c r="E351" s="31">
        <v>51.936409428200001</v>
      </c>
      <c r="F351" s="31">
        <v>-122.97709502799999</v>
      </c>
      <c r="G351" s="31">
        <v>11.4920585116</v>
      </c>
      <c r="H351" s="9">
        <v>11</v>
      </c>
      <c r="I351" s="9" t="s">
        <v>22</v>
      </c>
      <c r="J351" s="31">
        <v>92</v>
      </c>
      <c r="K351" s="31">
        <v>132.65</v>
      </c>
      <c r="L351" s="9" t="s">
        <v>22</v>
      </c>
      <c r="M351" s="31">
        <v>0</v>
      </c>
      <c r="N351" s="31">
        <v>68.169799999999995</v>
      </c>
      <c r="O351" s="9">
        <f>Table1[[#This Row],[R1 Length (km)]]+Table1[[#This Row],[T1 Length (km)]]</f>
        <v>68.169799999999995</v>
      </c>
      <c r="P351" s="28">
        <v>230</v>
      </c>
      <c r="Q351" s="9">
        <f>(Table1[[#This Row],[Linear Features (km)]]*0.4)*100</f>
        <v>2726.7919999999999</v>
      </c>
      <c r="R351" s="25">
        <v>10</v>
      </c>
      <c r="S351" s="3">
        <f>Table1[[#This Row],[ATG (ha)]]/Table1[[#This Row],[Linear Area (ha)]]</f>
        <v>3.6673130917209674E-3</v>
      </c>
      <c r="T351" s="8" t="s">
        <v>22</v>
      </c>
      <c r="U351" s="8" t="s">
        <v>22</v>
      </c>
      <c r="V351" s="2" t="s">
        <v>22</v>
      </c>
      <c r="W351" s="2" t="s">
        <v>22</v>
      </c>
      <c r="X351" s="10">
        <v>595.16750000000002</v>
      </c>
      <c r="Y351" s="10">
        <f>Table1[[#This Row],[Raw Terrestrial Score]]/Table1[[#This Row],[Summed Raw Scores]]</f>
        <v>0.4524865463051605</v>
      </c>
      <c r="Z351" s="10">
        <v>720.15890000000002</v>
      </c>
      <c r="AA351" s="10">
        <f>Table1[[#This Row],[Raw Freshwater Score]]/Table1[[#This Row],[Summed Raw Scores]]</f>
        <v>0.54751345369483961</v>
      </c>
      <c r="AB351" s="10">
        <f>Table1[[#This Row],[Raw Terrestrial Score]]+Table1[[#This Row],[Raw Freshwater Score]]</f>
        <v>1315.3263999999999</v>
      </c>
      <c r="AC351" s="11">
        <f>Table1[[#This Row],[Terrestrial % of Summed Score]]*Table1[[#This Row],[Scaled Summed Score]]</f>
        <v>7.3131368164540814E-2</v>
      </c>
      <c r="AD351" s="11">
        <f>Table1[[#This Row],[Freshwater % of Summed Score]]*Table1[[#This Row],[Scaled Summed Score]]</f>
        <v>8.848972037765962E-2</v>
      </c>
      <c r="AE351" s="18">
        <f>Table1[[#This Row],[Summed Raw Scores]]/MAX(Table1[Summed Raw Scores])</f>
        <v>0.16162108854220042</v>
      </c>
    </row>
    <row r="352" spans="1:31" x14ac:dyDescent="0.3">
      <c r="A352" s="8" t="s">
        <v>226</v>
      </c>
      <c r="B352" s="8" t="s">
        <v>37</v>
      </c>
      <c r="C352" s="8" t="s">
        <v>32</v>
      </c>
      <c r="D352" s="8" t="s">
        <v>250</v>
      </c>
      <c r="E352" s="31">
        <v>49.079444444499998</v>
      </c>
      <c r="F352" s="31">
        <v>-122.483055556</v>
      </c>
      <c r="G352" s="31">
        <v>46.954864498399999</v>
      </c>
      <c r="H352" s="9">
        <v>45</v>
      </c>
      <c r="I352" s="9" t="s">
        <v>22</v>
      </c>
      <c r="J352" s="31">
        <v>374</v>
      </c>
      <c r="K352" s="31">
        <v>134.79</v>
      </c>
      <c r="L352" s="9" t="s">
        <v>22</v>
      </c>
      <c r="M352" s="31">
        <f>600/1000</f>
        <v>0.6</v>
      </c>
      <c r="N352" s="31">
        <v>3.67279</v>
      </c>
      <c r="O352" s="9">
        <f>Table1[[#This Row],[R1 Length (km)]]+Table1[[#This Row],[T1 Length (km)]]</f>
        <v>4.2727899999999996</v>
      </c>
      <c r="P352" s="28">
        <v>69</v>
      </c>
      <c r="Q352" s="9">
        <f>(Table1[[#This Row],[Linear Features (km)]]*0.4)*100</f>
        <v>170.91159999999999</v>
      </c>
      <c r="R352" s="25">
        <v>10</v>
      </c>
      <c r="S352" s="3">
        <f>Table1[[#This Row],[ATG (ha)]]/Table1[[#This Row],[Linear Area (ha)]]</f>
        <v>5.8509779324516301E-2</v>
      </c>
      <c r="T352" s="8" t="s">
        <v>22</v>
      </c>
      <c r="U352" s="8" t="s">
        <v>22</v>
      </c>
      <c r="V352" s="2" t="s">
        <v>22</v>
      </c>
      <c r="W352" s="2" t="s">
        <v>22</v>
      </c>
      <c r="X352" s="10">
        <v>93.829660000000004</v>
      </c>
      <c r="Y352" s="10">
        <f>Table1[[#This Row],[Raw Terrestrial Score]]/Table1[[#This Row],[Summed Raw Scores]]</f>
        <v>0.58156257125840793</v>
      </c>
      <c r="Z352" s="10">
        <v>67.510949999999994</v>
      </c>
      <c r="AA352" s="10">
        <f>Table1[[#This Row],[Raw Freshwater Score]]/Table1[[#This Row],[Summed Raw Scores]]</f>
        <v>0.41843742874159207</v>
      </c>
      <c r="AB352" s="10">
        <f>Table1[[#This Row],[Raw Terrestrial Score]]+Table1[[#This Row],[Raw Freshwater Score]]</f>
        <v>161.34061</v>
      </c>
      <c r="AC352" s="11">
        <f>Table1[[#This Row],[Terrestrial % of Summed Score]]*Table1[[#This Row],[Scaled Summed Score]]</f>
        <v>1.1529344949470003E-2</v>
      </c>
      <c r="AD352" s="11">
        <f>Table1[[#This Row],[Freshwater % of Summed Score]]*Table1[[#This Row],[Scaled Summed Score]]</f>
        <v>8.2954263120682929E-3</v>
      </c>
      <c r="AE352" s="18">
        <f>Table1[[#This Row],[Summed Raw Scores]]/MAX(Table1[Summed Raw Scores])</f>
        <v>1.9824771261538296E-2</v>
      </c>
    </row>
    <row r="353" spans="1:31" x14ac:dyDescent="0.3">
      <c r="A353" s="8" t="s">
        <v>227</v>
      </c>
      <c r="B353" s="8" t="s">
        <v>37</v>
      </c>
      <c r="C353" s="8" t="s">
        <v>32</v>
      </c>
      <c r="D353" s="8" t="s">
        <v>250</v>
      </c>
      <c r="E353" s="31">
        <v>49.079444444499998</v>
      </c>
      <c r="F353" s="31">
        <v>-122.483055556</v>
      </c>
      <c r="G353" s="31">
        <v>38.505777818399999</v>
      </c>
      <c r="H353" s="9">
        <v>37</v>
      </c>
      <c r="I353" s="9" t="s">
        <v>22</v>
      </c>
      <c r="J353" s="31">
        <v>307</v>
      </c>
      <c r="K353" s="31">
        <v>104.73</v>
      </c>
      <c r="L353" s="9" t="s">
        <v>22</v>
      </c>
      <c r="M353" s="31">
        <v>0</v>
      </c>
      <c r="N353" s="31">
        <v>3.67279</v>
      </c>
      <c r="O353" s="9">
        <f>Table1[[#This Row],[R1 Length (km)]]+Table1[[#This Row],[T1 Length (km)]]</f>
        <v>3.67279</v>
      </c>
      <c r="P353" s="28">
        <v>69</v>
      </c>
      <c r="Q353" s="9">
        <f>(Table1[[#This Row],[Linear Features (km)]]*0.4)*100</f>
        <v>146.91160000000002</v>
      </c>
      <c r="R353" s="25">
        <v>10</v>
      </c>
      <c r="S353" s="3">
        <f>Table1[[#This Row],[ATG (ha)]]/Table1[[#This Row],[Linear Area (ha)]]</f>
        <v>6.8068144380702397E-2</v>
      </c>
      <c r="T353" s="8" t="s">
        <v>22</v>
      </c>
      <c r="U353" s="8" t="s">
        <v>22</v>
      </c>
      <c r="V353" s="2" t="s">
        <v>22</v>
      </c>
      <c r="W353" s="2" t="s">
        <v>22</v>
      </c>
      <c r="X353" s="10">
        <v>93.829660000000004</v>
      </c>
      <c r="Y353" s="10">
        <f>Table1[[#This Row],[Raw Terrestrial Score]]/Table1[[#This Row],[Summed Raw Scores]]</f>
        <v>0.58156257125840793</v>
      </c>
      <c r="Z353" s="10">
        <v>67.510949999999994</v>
      </c>
      <c r="AA353" s="10">
        <f>Table1[[#This Row],[Raw Freshwater Score]]/Table1[[#This Row],[Summed Raw Scores]]</f>
        <v>0.41843742874159207</v>
      </c>
      <c r="AB353" s="10">
        <f>Table1[[#This Row],[Raw Terrestrial Score]]+Table1[[#This Row],[Raw Freshwater Score]]</f>
        <v>161.34061</v>
      </c>
      <c r="AC353" s="11">
        <f>Table1[[#This Row],[Terrestrial % of Summed Score]]*Table1[[#This Row],[Scaled Summed Score]]</f>
        <v>1.1529344949470003E-2</v>
      </c>
      <c r="AD353" s="11">
        <f>Table1[[#This Row],[Freshwater % of Summed Score]]*Table1[[#This Row],[Scaled Summed Score]]</f>
        <v>8.2954263120682929E-3</v>
      </c>
      <c r="AE353" s="18">
        <f>Table1[[#This Row],[Summed Raw Scores]]/MAX(Table1[Summed Raw Scores])</f>
        <v>1.9824771261538296E-2</v>
      </c>
    </row>
    <row r="354" spans="1:31" x14ac:dyDescent="0.3">
      <c r="A354" s="8" t="s">
        <v>228</v>
      </c>
      <c r="B354" s="8" t="s">
        <v>37</v>
      </c>
      <c r="C354" s="8" t="s">
        <v>32</v>
      </c>
      <c r="D354" s="8" t="s">
        <v>250</v>
      </c>
      <c r="E354" s="31">
        <v>49.079444444499998</v>
      </c>
      <c r="F354" s="31">
        <v>-122.483055556</v>
      </c>
      <c r="G354" s="31">
        <v>38.505777818399999</v>
      </c>
      <c r="H354" s="9">
        <v>37</v>
      </c>
      <c r="I354" s="9" t="s">
        <v>22</v>
      </c>
      <c r="J354" s="31">
        <v>307</v>
      </c>
      <c r="K354" s="31">
        <v>104.73</v>
      </c>
      <c r="L354" s="9" t="s">
        <v>22</v>
      </c>
      <c r="M354" s="31">
        <f>600/1000</f>
        <v>0.6</v>
      </c>
      <c r="N354" s="31">
        <v>3.67279</v>
      </c>
      <c r="O354" s="9">
        <f>Table1[[#This Row],[R1 Length (km)]]+Table1[[#This Row],[T1 Length (km)]]</f>
        <v>4.2727899999999996</v>
      </c>
      <c r="P354" s="28">
        <v>69</v>
      </c>
      <c r="Q354" s="9">
        <f>(Table1[[#This Row],[Linear Features (km)]]*0.4)*100</f>
        <v>170.91159999999999</v>
      </c>
      <c r="R354" s="25">
        <v>10</v>
      </c>
      <c r="S354" s="3">
        <f>Table1[[#This Row],[ATG (ha)]]/Table1[[#This Row],[Linear Area (ha)]]</f>
        <v>5.8509779324516301E-2</v>
      </c>
      <c r="T354" s="8" t="s">
        <v>22</v>
      </c>
      <c r="U354" s="8" t="s">
        <v>22</v>
      </c>
      <c r="V354" s="2" t="s">
        <v>22</v>
      </c>
      <c r="W354" s="2" t="s">
        <v>22</v>
      </c>
      <c r="X354" s="10">
        <v>93.829660000000004</v>
      </c>
      <c r="Y354" s="10">
        <f>Table1[[#This Row],[Raw Terrestrial Score]]/Table1[[#This Row],[Summed Raw Scores]]</f>
        <v>0.58156257125840793</v>
      </c>
      <c r="Z354" s="10">
        <v>67.510949999999994</v>
      </c>
      <c r="AA354" s="10">
        <f>Table1[[#This Row],[Raw Freshwater Score]]/Table1[[#This Row],[Summed Raw Scores]]</f>
        <v>0.41843742874159207</v>
      </c>
      <c r="AB354" s="10">
        <f>Table1[[#This Row],[Raw Terrestrial Score]]+Table1[[#This Row],[Raw Freshwater Score]]</f>
        <v>161.34061</v>
      </c>
      <c r="AC354" s="11">
        <f>Table1[[#This Row],[Terrestrial % of Summed Score]]*Table1[[#This Row],[Scaled Summed Score]]</f>
        <v>1.1529344949470003E-2</v>
      </c>
      <c r="AD354" s="11">
        <f>Table1[[#This Row],[Freshwater % of Summed Score]]*Table1[[#This Row],[Scaled Summed Score]]</f>
        <v>8.2954263120682929E-3</v>
      </c>
      <c r="AE354" s="18">
        <f>Table1[[#This Row],[Summed Raw Scores]]/MAX(Table1[Summed Raw Scores])</f>
        <v>1.9824771261538296E-2</v>
      </c>
    </row>
    <row r="355" spans="1:31" x14ac:dyDescent="0.3">
      <c r="A355" s="8" t="s">
        <v>229</v>
      </c>
      <c r="B355" s="8" t="s">
        <v>37</v>
      </c>
      <c r="C355" s="8" t="s">
        <v>27</v>
      </c>
      <c r="D355" s="8" t="s">
        <v>250</v>
      </c>
      <c r="E355" s="31">
        <v>58.805555556500003</v>
      </c>
      <c r="F355" s="31">
        <v>-122.697222223</v>
      </c>
      <c r="G355" s="31">
        <v>38.520155471000002</v>
      </c>
      <c r="H355" s="9">
        <v>37</v>
      </c>
      <c r="I355" s="9" t="s">
        <v>22</v>
      </c>
      <c r="J355" s="31">
        <v>307</v>
      </c>
      <c r="K355" s="31">
        <v>187.48</v>
      </c>
      <c r="L355" s="9" t="s">
        <v>22</v>
      </c>
      <c r="M355" s="31">
        <f>600/1000</f>
        <v>0.6</v>
      </c>
      <c r="N355" s="31">
        <v>351.05200000000002</v>
      </c>
      <c r="O355" s="9">
        <f>Table1[[#This Row],[R1 Length (km)]]+Table1[[#This Row],[T1 Length (km)]]</f>
        <v>351.65200000000004</v>
      </c>
      <c r="P355" s="28">
        <v>230</v>
      </c>
      <c r="Q355" s="9">
        <f>(Table1[[#This Row],[Linear Features (km)]]*0.4)*100</f>
        <v>14066.080000000002</v>
      </c>
      <c r="R355" s="25">
        <v>10</v>
      </c>
      <c r="S355" s="3">
        <f>Table1[[#This Row],[ATG (ha)]]/Table1[[#This Row],[Linear Area (ha)]]</f>
        <v>7.1093012409996243E-4</v>
      </c>
      <c r="T355" s="8" t="s">
        <v>22</v>
      </c>
      <c r="U355" s="8" t="s">
        <v>22</v>
      </c>
      <c r="V355" s="2" t="s">
        <v>22</v>
      </c>
      <c r="W355" s="2" t="s">
        <v>22</v>
      </c>
      <c r="X355" s="10">
        <v>1518.903</v>
      </c>
      <c r="Y355" s="10">
        <f>Table1[[#This Row],[Raw Terrestrial Score]]/Table1[[#This Row],[Summed Raw Scores]]</f>
        <v>0.36252415987596542</v>
      </c>
      <c r="Z355" s="10">
        <v>2670.895</v>
      </c>
      <c r="AA355" s="10">
        <f>Table1[[#This Row],[Raw Freshwater Score]]/Table1[[#This Row],[Summed Raw Scores]]</f>
        <v>0.63747584012403469</v>
      </c>
      <c r="AB355" s="10">
        <f>Table1[[#This Row],[Raw Terrestrial Score]]+Table1[[#This Row],[Raw Freshwater Score]]</f>
        <v>4189.7979999999998</v>
      </c>
      <c r="AC355" s="11">
        <f>Table1[[#This Row],[Terrestrial % of Summed Score]]*Table1[[#This Row],[Scaled Summed Score]]</f>
        <v>0.1866356185430581</v>
      </c>
      <c r="AD355" s="11">
        <f>Table1[[#This Row],[Freshwater % of Summed Score]]*Table1[[#This Row],[Scaled Summed Score]]</f>
        <v>0.32818694833610912</v>
      </c>
      <c r="AE355" s="18">
        <f>Table1[[#This Row],[Summed Raw Scores]]/MAX(Table1[Summed Raw Scores])</f>
        <v>0.51482256687916716</v>
      </c>
    </row>
    <row r="356" spans="1:31" x14ac:dyDescent="0.3">
      <c r="A356" s="8" t="s">
        <v>230</v>
      </c>
      <c r="B356" s="8" t="s">
        <v>37</v>
      </c>
      <c r="C356" s="8" t="s">
        <v>27</v>
      </c>
      <c r="D356" s="8" t="s">
        <v>250</v>
      </c>
      <c r="E356" s="31">
        <v>58.805555556500003</v>
      </c>
      <c r="F356" s="31">
        <v>-122.697222223</v>
      </c>
      <c r="G356" s="31">
        <v>38.520155471000002</v>
      </c>
      <c r="H356" s="9">
        <v>37</v>
      </c>
      <c r="I356" s="9" t="s">
        <v>22</v>
      </c>
      <c r="J356" s="31">
        <v>307</v>
      </c>
      <c r="K356" s="31">
        <v>187.48</v>
      </c>
      <c r="L356" s="9" t="s">
        <v>22</v>
      </c>
      <c r="M356" s="31">
        <v>0</v>
      </c>
      <c r="N356" s="31">
        <v>351.05200000000002</v>
      </c>
      <c r="O356" s="9">
        <f>Table1[[#This Row],[R1 Length (km)]]+Table1[[#This Row],[T1 Length (km)]]</f>
        <v>351.05200000000002</v>
      </c>
      <c r="P356" s="28">
        <v>230</v>
      </c>
      <c r="Q356" s="9">
        <f>(Table1[[#This Row],[Linear Features (km)]]*0.4)*100</f>
        <v>14042.080000000002</v>
      </c>
      <c r="R356" s="25">
        <v>10</v>
      </c>
      <c r="S356" s="3">
        <f>Table1[[#This Row],[ATG (ha)]]/Table1[[#This Row],[Linear Area (ha)]]</f>
        <v>7.1214520925674818E-4</v>
      </c>
      <c r="T356" s="8" t="s">
        <v>22</v>
      </c>
      <c r="U356" s="8" t="s">
        <v>22</v>
      </c>
      <c r="V356" s="2" t="s">
        <v>22</v>
      </c>
      <c r="W356" s="2" t="s">
        <v>22</v>
      </c>
      <c r="X356" s="10">
        <v>1518.903</v>
      </c>
      <c r="Y356" s="10">
        <f>Table1[[#This Row],[Raw Terrestrial Score]]/Table1[[#This Row],[Summed Raw Scores]]</f>
        <v>0.36252415987596542</v>
      </c>
      <c r="Z356" s="10">
        <v>2670.895</v>
      </c>
      <c r="AA356" s="10">
        <f>Table1[[#This Row],[Raw Freshwater Score]]/Table1[[#This Row],[Summed Raw Scores]]</f>
        <v>0.63747584012403469</v>
      </c>
      <c r="AB356" s="10">
        <f>Table1[[#This Row],[Raw Terrestrial Score]]+Table1[[#This Row],[Raw Freshwater Score]]</f>
        <v>4189.7979999999998</v>
      </c>
      <c r="AC356" s="11">
        <f>Table1[[#This Row],[Terrestrial % of Summed Score]]*Table1[[#This Row],[Scaled Summed Score]]</f>
        <v>0.1866356185430581</v>
      </c>
      <c r="AD356" s="11">
        <f>Table1[[#This Row],[Freshwater % of Summed Score]]*Table1[[#This Row],[Scaled Summed Score]]</f>
        <v>0.32818694833610912</v>
      </c>
      <c r="AE356" s="18">
        <f>Table1[[#This Row],[Summed Raw Scores]]/MAX(Table1[Summed Raw Scores])</f>
        <v>0.51482256687916716</v>
      </c>
    </row>
    <row r="357" spans="1:31" x14ac:dyDescent="0.3">
      <c r="A357" s="8" t="s">
        <v>231</v>
      </c>
      <c r="B357" s="8" t="s">
        <v>37</v>
      </c>
      <c r="C357" s="8" t="s">
        <v>27</v>
      </c>
      <c r="D357" s="8" t="s">
        <v>250</v>
      </c>
      <c r="E357" s="31">
        <v>58.805555556500003</v>
      </c>
      <c r="F357" s="31">
        <v>-122.697222223</v>
      </c>
      <c r="G357" s="31">
        <v>38.520155471000002</v>
      </c>
      <c r="H357" s="9">
        <v>37</v>
      </c>
      <c r="I357" s="9" t="s">
        <v>22</v>
      </c>
      <c r="J357" s="31">
        <v>307</v>
      </c>
      <c r="K357" s="31">
        <v>187.48</v>
      </c>
      <c r="L357" s="9" t="s">
        <v>22</v>
      </c>
      <c r="M357" s="31">
        <v>0</v>
      </c>
      <c r="N357" s="31">
        <v>351.05200000000002</v>
      </c>
      <c r="O357" s="9">
        <f>Table1[[#This Row],[R1 Length (km)]]+Table1[[#This Row],[T1 Length (km)]]</f>
        <v>351.05200000000002</v>
      </c>
      <c r="P357" s="28">
        <v>230</v>
      </c>
      <c r="Q357" s="9">
        <f>(Table1[[#This Row],[Linear Features (km)]]*0.4)*100</f>
        <v>14042.080000000002</v>
      </c>
      <c r="R357" s="25">
        <v>10</v>
      </c>
      <c r="S357" s="3">
        <f>Table1[[#This Row],[ATG (ha)]]/Table1[[#This Row],[Linear Area (ha)]]</f>
        <v>7.1214520925674818E-4</v>
      </c>
      <c r="T357" s="8" t="s">
        <v>22</v>
      </c>
      <c r="U357" s="8" t="s">
        <v>22</v>
      </c>
      <c r="V357" s="2" t="s">
        <v>22</v>
      </c>
      <c r="W357" s="2" t="s">
        <v>22</v>
      </c>
      <c r="X357" s="10">
        <v>1518.903</v>
      </c>
      <c r="Y357" s="10">
        <f>Table1[[#This Row],[Raw Terrestrial Score]]/Table1[[#This Row],[Summed Raw Scores]]</f>
        <v>0.36252415987596542</v>
      </c>
      <c r="Z357" s="10">
        <v>2670.895</v>
      </c>
      <c r="AA357" s="10">
        <f>Table1[[#This Row],[Raw Freshwater Score]]/Table1[[#This Row],[Summed Raw Scores]]</f>
        <v>0.63747584012403469</v>
      </c>
      <c r="AB357" s="10">
        <f>Table1[[#This Row],[Raw Terrestrial Score]]+Table1[[#This Row],[Raw Freshwater Score]]</f>
        <v>4189.7979999999998</v>
      </c>
      <c r="AC357" s="11">
        <f>Table1[[#This Row],[Terrestrial % of Summed Score]]*Table1[[#This Row],[Scaled Summed Score]]</f>
        <v>0.1866356185430581</v>
      </c>
      <c r="AD357" s="11">
        <f>Table1[[#This Row],[Freshwater % of Summed Score]]*Table1[[#This Row],[Scaled Summed Score]]</f>
        <v>0.32818694833610912</v>
      </c>
      <c r="AE357" s="18">
        <f>Table1[[#This Row],[Summed Raw Scores]]/MAX(Table1[Summed Raw Scores])</f>
        <v>0.51482256687916716</v>
      </c>
    </row>
    <row r="358" spans="1:31" x14ac:dyDescent="0.3">
      <c r="A358" s="8" t="s">
        <v>232</v>
      </c>
      <c r="B358" s="8" t="s">
        <v>37</v>
      </c>
      <c r="C358" s="8" t="s">
        <v>30</v>
      </c>
      <c r="D358" s="8" t="s">
        <v>250</v>
      </c>
      <c r="E358" s="31">
        <v>58.433333333900002</v>
      </c>
      <c r="F358" s="31">
        <v>-130.024166667</v>
      </c>
      <c r="G358" s="31">
        <v>54</v>
      </c>
      <c r="H358" s="9">
        <v>10</v>
      </c>
      <c r="I358" s="9" t="s">
        <v>22</v>
      </c>
      <c r="J358" s="31">
        <v>86</v>
      </c>
      <c r="K358" s="31">
        <v>205.12</v>
      </c>
      <c r="L358" s="9" t="s">
        <v>22</v>
      </c>
      <c r="M358" s="31">
        <f>473.463877529/1000</f>
        <v>0.47346387752899999</v>
      </c>
      <c r="N358" s="31">
        <v>255.387</v>
      </c>
      <c r="O358" s="9">
        <f>Table1[[#This Row],[R1 Length (km)]]+Table1[[#This Row],[T1 Length (km)]]</f>
        <v>255.86046387752901</v>
      </c>
      <c r="P358" s="28">
        <v>130</v>
      </c>
      <c r="Q358" s="9">
        <f>(Table1[[#This Row],[Linear Features (km)]]*0.4)*100</f>
        <v>10234.418555101161</v>
      </c>
      <c r="R358" s="25">
        <v>10</v>
      </c>
      <c r="S358" s="3">
        <f>Table1[[#This Row],[ATG (ha)]]/Table1[[#This Row],[Linear Area (ha)]]</f>
        <v>9.7709507835358955E-4</v>
      </c>
      <c r="T358" s="8" t="s">
        <v>22</v>
      </c>
      <c r="U358" s="8" t="s">
        <v>22</v>
      </c>
      <c r="V358" s="2" t="s">
        <v>22</v>
      </c>
      <c r="W358" s="2" t="s">
        <v>22</v>
      </c>
      <c r="X358" s="10">
        <v>528.02369999999996</v>
      </c>
      <c r="Y358" s="10">
        <f>Table1[[#This Row],[Raw Terrestrial Score]]/Table1[[#This Row],[Summed Raw Scores]]</f>
        <v>0.15420812904958872</v>
      </c>
      <c r="Z358" s="10">
        <v>2896.0740000000001</v>
      </c>
      <c r="AA358" s="10">
        <f>Table1[[#This Row],[Raw Freshwater Score]]/Table1[[#This Row],[Summed Raw Scores]]</f>
        <v>0.8457918709504112</v>
      </c>
      <c r="AB358" s="10">
        <f>Table1[[#This Row],[Raw Terrestrial Score]]+Table1[[#This Row],[Raw Freshwater Score]]</f>
        <v>3424.0977000000003</v>
      </c>
      <c r="AC358" s="11">
        <f>Table1[[#This Row],[Terrestrial % of Summed Score]]*Table1[[#This Row],[Scaled Summed Score]]</f>
        <v>6.4881055508412416E-2</v>
      </c>
      <c r="AD358" s="11">
        <f>Table1[[#This Row],[Freshwater % of Summed Score]]*Table1[[#This Row],[Scaled Summed Score]]</f>
        <v>0.35585587910252892</v>
      </c>
      <c r="AE358" s="18">
        <f>Table1[[#This Row],[Summed Raw Scores]]/MAX(Table1[Summed Raw Scores])</f>
        <v>0.42073693461094136</v>
      </c>
    </row>
    <row r="359" spans="1:31" x14ac:dyDescent="0.3">
      <c r="A359" s="8" t="s">
        <v>233</v>
      </c>
      <c r="B359" s="8" t="s">
        <v>37</v>
      </c>
      <c r="C359" s="8" t="s">
        <v>27</v>
      </c>
      <c r="D359" s="8" t="s">
        <v>250</v>
      </c>
      <c r="E359" s="31">
        <v>55.700000000499998</v>
      </c>
      <c r="F359" s="31">
        <v>-121.633333333</v>
      </c>
      <c r="G359" s="31">
        <v>9.2094357002400002</v>
      </c>
      <c r="H359" s="9">
        <v>9</v>
      </c>
      <c r="I359" s="9" t="s">
        <v>22</v>
      </c>
      <c r="J359" s="31">
        <v>73</v>
      </c>
      <c r="K359" s="31">
        <v>213.94</v>
      </c>
      <c r="L359" s="9" t="s">
        <v>22</v>
      </c>
      <c r="M359" s="31">
        <v>0</v>
      </c>
      <c r="N359" s="31">
        <v>0.42426399999999997</v>
      </c>
      <c r="O359" s="9">
        <f>Table1[[#This Row],[R1 Length (km)]]+Table1[[#This Row],[T1 Length (km)]]</f>
        <v>0.42426399999999997</v>
      </c>
      <c r="P359" s="28">
        <v>25</v>
      </c>
      <c r="Q359" s="9">
        <f>(Table1[[#This Row],[Linear Features (km)]]*0.4)*100</f>
        <v>16.970560000000003</v>
      </c>
      <c r="R359" s="25">
        <v>10</v>
      </c>
      <c r="S359" s="3">
        <f>Table1[[#This Row],[ATG (ha)]]/Table1[[#This Row],[Linear Area (ha)]]</f>
        <v>0.58925574642203904</v>
      </c>
      <c r="T359" s="8" t="s">
        <v>22</v>
      </c>
      <c r="U359" s="8" t="s">
        <v>22</v>
      </c>
      <c r="V359" s="2" t="s">
        <v>22</v>
      </c>
      <c r="W359" s="2" t="s">
        <v>22</v>
      </c>
      <c r="X359" s="10">
        <v>5.7417999999999997E-2</v>
      </c>
      <c r="Y359" s="10">
        <f>Table1[[#This Row],[Raw Terrestrial Score]]/Table1[[#This Row],[Summed Raw Scores]]</f>
        <v>5.4300191598781182E-2</v>
      </c>
      <c r="Z359" s="10">
        <v>1</v>
      </c>
      <c r="AA359" s="10">
        <f>Table1[[#This Row],[Raw Freshwater Score]]/Table1[[#This Row],[Summed Raw Scores]]</f>
        <v>0.94569980840121881</v>
      </c>
      <c r="AB359" s="10">
        <f>Table1[[#This Row],[Raw Terrestrial Score]]+Table1[[#This Row],[Raw Freshwater Score]]</f>
        <v>1.057418</v>
      </c>
      <c r="AC359" s="11">
        <f>Table1[[#This Row],[Terrestrial % of Summed Score]]*Table1[[#This Row],[Scaled Summed Score]]</f>
        <v>7.0552523403438593E-6</v>
      </c>
      <c r="AD359" s="11">
        <f>Table1[[#This Row],[Freshwater % of Summed Score]]*Table1[[#This Row],[Scaled Summed Score]]</f>
        <v>1.2287527152363126E-4</v>
      </c>
      <c r="AE359" s="18">
        <f>Table1[[#This Row],[Summed Raw Scores]]/MAX(Table1[Summed Raw Scores])</f>
        <v>1.2993052386397512E-4</v>
      </c>
    </row>
    <row r="360" spans="1:31" x14ac:dyDescent="0.3">
      <c r="A360" s="8" t="s">
        <v>234</v>
      </c>
      <c r="B360" s="8" t="s">
        <v>37</v>
      </c>
      <c r="C360" s="8" t="s">
        <v>27</v>
      </c>
      <c r="D360" s="8" t="s">
        <v>250</v>
      </c>
      <c r="E360" s="31">
        <v>55.700000000499998</v>
      </c>
      <c r="F360" s="31">
        <v>-121.633333333</v>
      </c>
      <c r="G360" s="31">
        <v>0.92358257850000003</v>
      </c>
      <c r="H360" s="9">
        <v>1</v>
      </c>
      <c r="I360" s="9" t="s">
        <v>22</v>
      </c>
      <c r="J360" s="31">
        <v>7</v>
      </c>
      <c r="K360" s="31">
        <v>213.94</v>
      </c>
      <c r="L360" s="9" t="s">
        <v>22</v>
      </c>
      <c r="M360" s="31">
        <v>0</v>
      </c>
      <c r="N360" s="31">
        <v>0.42426399999999997</v>
      </c>
      <c r="O360" s="9">
        <f>Table1[[#This Row],[R1 Length (km)]]+Table1[[#This Row],[T1 Length (km)]]</f>
        <v>0.42426399999999997</v>
      </c>
      <c r="P360" s="28">
        <v>25</v>
      </c>
      <c r="Q360" s="9">
        <f>(Table1[[#This Row],[Linear Features (km)]]*0.4)*100</f>
        <v>16.970560000000003</v>
      </c>
      <c r="R360" s="25">
        <v>10</v>
      </c>
      <c r="S360" s="3">
        <f>Table1[[#This Row],[ATG (ha)]]/Table1[[#This Row],[Linear Area (ha)]]</f>
        <v>0.58925574642203904</v>
      </c>
      <c r="T360" s="8" t="s">
        <v>22</v>
      </c>
      <c r="U360" s="8" t="s">
        <v>22</v>
      </c>
      <c r="V360" s="2" t="s">
        <v>22</v>
      </c>
      <c r="W360" s="2" t="s">
        <v>22</v>
      </c>
      <c r="X360" s="10">
        <v>5.7417999999999997E-2</v>
      </c>
      <c r="Y360" s="10">
        <f>Table1[[#This Row],[Raw Terrestrial Score]]/Table1[[#This Row],[Summed Raw Scores]]</f>
        <v>5.4300191598781182E-2</v>
      </c>
      <c r="Z360" s="10">
        <v>1</v>
      </c>
      <c r="AA360" s="10">
        <f>Table1[[#This Row],[Raw Freshwater Score]]/Table1[[#This Row],[Summed Raw Scores]]</f>
        <v>0.94569980840121881</v>
      </c>
      <c r="AB360" s="10">
        <f>Table1[[#This Row],[Raw Terrestrial Score]]+Table1[[#This Row],[Raw Freshwater Score]]</f>
        <v>1.057418</v>
      </c>
      <c r="AC360" s="11">
        <f>Table1[[#This Row],[Terrestrial % of Summed Score]]*Table1[[#This Row],[Scaled Summed Score]]</f>
        <v>7.0552523403438593E-6</v>
      </c>
      <c r="AD360" s="11">
        <f>Table1[[#This Row],[Freshwater % of Summed Score]]*Table1[[#This Row],[Scaled Summed Score]]</f>
        <v>1.2287527152363126E-4</v>
      </c>
      <c r="AE360" s="18">
        <f>Table1[[#This Row],[Summed Raw Scores]]/MAX(Table1[Summed Raw Scores])</f>
        <v>1.2993052386397512E-4</v>
      </c>
    </row>
    <row r="361" spans="1:31" x14ac:dyDescent="0.3">
      <c r="A361" s="8" t="s">
        <v>235</v>
      </c>
      <c r="B361" s="8" t="s">
        <v>37</v>
      </c>
      <c r="C361" s="8" t="s">
        <v>30</v>
      </c>
      <c r="D361" s="8" t="s">
        <v>250</v>
      </c>
      <c r="E361" s="9">
        <v>54.052777778600003</v>
      </c>
      <c r="F361" s="9">
        <v>-128.65</v>
      </c>
      <c r="G361" s="9">
        <v>13.691422297000001</v>
      </c>
      <c r="H361" s="9">
        <v>13</v>
      </c>
      <c r="I361" s="9" t="s">
        <v>22</v>
      </c>
      <c r="J361" s="9">
        <v>109</v>
      </c>
      <c r="K361" s="9">
        <v>133.66</v>
      </c>
      <c r="L361" s="9" t="s">
        <v>22</v>
      </c>
      <c r="M361" s="31">
        <v>0</v>
      </c>
      <c r="N361" s="31">
        <v>4.7698499999999999</v>
      </c>
      <c r="O361" s="9">
        <f>Table1[[#This Row],[R1 Length (km)]]+Table1[[#This Row],[T1 Length (km)]]</f>
        <v>4.7698499999999999</v>
      </c>
      <c r="P361" s="28">
        <v>25</v>
      </c>
      <c r="Q361" s="9">
        <f>(Table1[[#This Row],[Linear Features (km)]]*0.4)*100</f>
        <v>190.79399999999998</v>
      </c>
      <c r="R361" s="1">
        <v>10</v>
      </c>
      <c r="S361" s="3">
        <f>Table1[[#This Row],[ATG (ha)]]/Table1[[#This Row],[Linear Area (ha)]]</f>
        <v>5.241254966089081E-2</v>
      </c>
      <c r="T361" s="8" t="s">
        <v>22</v>
      </c>
      <c r="U361" s="8" t="s">
        <v>22</v>
      </c>
      <c r="V361" s="2" t="s">
        <v>22</v>
      </c>
      <c r="W361" s="2" t="s">
        <v>22</v>
      </c>
      <c r="X361" s="10">
        <v>25.632370000000002</v>
      </c>
      <c r="Y361" s="10">
        <f>Table1[[#This Row],[Raw Terrestrial Score]]/Table1[[#This Row],[Summed Raw Scores]]</f>
        <v>0.31019768645144752</v>
      </c>
      <c r="Z361" s="10">
        <v>57</v>
      </c>
      <c r="AA361" s="10">
        <f>Table1[[#This Row],[Raw Freshwater Score]]/Table1[[#This Row],[Summed Raw Scores]]</f>
        <v>0.68980231354855237</v>
      </c>
      <c r="AB361" s="10">
        <f>Table1[[#This Row],[Raw Terrestrial Score]]+Table1[[#This Row],[Raw Freshwater Score]]</f>
        <v>82.632370000000009</v>
      </c>
      <c r="AC361" s="11">
        <f>Table1[[#This Row],[Terrestrial % of Summed Score]]*Table1[[#This Row],[Scaled Summed Score]]</f>
        <v>3.1495844235441806E-3</v>
      </c>
      <c r="AD361" s="11">
        <f>Table1[[#This Row],[Freshwater % of Summed Score]]*Table1[[#This Row],[Scaled Summed Score]]</f>
        <v>7.0038904768469816E-3</v>
      </c>
      <c r="AE361" s="18">
        <f>Table1[[#This Row],[Summed Raw Scores]]/MAX(Table1[Summed Raw Scores])</f>
        <v>1.0153474900391164E-2</v>
      </c>
    </row>
    <row r="362" spans="1:31" x14ac:dyDescent="0.3">
      <c r="A362" s="8" t="s">
        <v>112</v>
      </c>
      <c r="B362" s="8" t="s">
        <v>97</v>
      </c>
      <c r="C362" s="8" t="s">
        <v>30</v>
      </c>
      <c r="D362" s="8" t="s">
        <v>250</v>
      </c>
      <c r="E362" s="12">
        <v>54.5</v>
      </c>
      <c r="F362" s="12">
        <v>-128.35</v>
      </c>
      <c r="G362" s="9">
        <v>51.2</v>
      </c>
      <c r="H362" s="9">
        <v>40</v>
      </c>
      <c r="I362" s="9">
        <v>8</v>
      </c>
      <c r="J362" s="13">
        <v>208.4</v>
      </c>
      <c r="K362" s="13">
        <v>81.381647398843924</v>
      </c>
      <c r="L362" s="9" t="s">
        <v>22</v>
      </c>
      <c r="M362" s="32">
        <v>0</v>
      </c>
      <c r="N362" s="25">
        <v>16.482337649085515</v>
      </c>
      <c r="O362" s="1">
        <f>Table1[[#This Row],[R1 Length (km)]]+Table1[[#This Row],[T1 Length (km)]]</f>
        <v>16.482337649085515</v>
      </c>
      <c r="P362" s="27">
        <v>69</v>
      </c>
      <c r="Q362" s="1">
        <f>(Table1[[#This Row],[Linear Features (km)]]*0.4)*100</f>
        <v>659.29350596342067</v>
      </c>
      <c r="R362" s="1">
        <v>16.48</v>
      </c>
      <c r="S362" s="3">
        <f>Table1[[#This Row],[ATG (ha)]]/Table1[[#This Row],[Linear Area (ha)]]</f>
        <v>2.4996454311980366E-2</v>
      </c>
      <c r="T362" s="2" t="s">
        <v>22</v>
      </c>
      <c r="U362" s="2" t="s">
        <v>22</v>
      </c>
      <c r="V362" s="2" t="s">
        <v>22</v>
      </c>
      <c r="W362" s="2" t="s">
        <v>22</v>
      </c>
      <c r="X362" s="10">
        <v>31.08278</v>
      </c>
      <c r="Y362" s="10">
        <f>Table1[[#This Row],[Raw Terrestrial Score]]/Table1[[#This Row],[Summed Raw Scores]]</f>
        <v>0.10707205545974206</v>
      </c>
      <c r="Z362" s="10">
        <v>259.21499999999997</v>
      </c>
      <c r="AA362" s="10">
        <f>Table1[[#This Row],[Raw Freshwater Score]]/Table1[[#This Row],[Summed Raw Scores]]</f>
        <v>0.89292794454025792</v>
      </c>
      <c r="AB362" s="10">
        <f>Table1[[#This Row],[Raw Terrestrial Score]]+Table1[[#This Row],[Raw Freshwater Score]]</f>
        <v>290.29777999999999</v>
      </c>
      <c r="AC362" s="11">
        <f>Table1[[#This Row],[Terrestrial % of Summed Score]]*Table1[[#This Row],[Scaled Summed Score]]</f>
        <v>3.8193050322092954E-3</v>
      </c>
      <c r="AD362" s="11">
        <f>Table1[[#This Row],[Freshwater % of Summed Score]]*Table1[[#This Row],[Scaled Summed Score]]</f>
        <v>3.1851113507998081E-2</v>
      </c>
      <c r="AE362" s="18">
        <f>Table1[[#This Row],[Summed Raw Scores]]/MAX(Table1[Summed Raw Scores])</f>
        <v>3.5670418540207374E-2</v>
      </c>
    </row>
  </sheetData>
  <conditionalFormatting sqref="T198:U360 S206:U322 S331:U360 AF2:AF197 H206:I322 L206:L322 O206:O360 Q206:Q360 X206:AD360 E323:N330 R323:S330 H331:I360 L331:L360 E2:AD205">
    <cfRule type="containsText" dxfId="18" priority="21" operator="containsText" text="NA">
      <formula>NOT(ISERROR(SEARCH("NA",E2)))</formula>
    </cfRule>
  </conditionalFormatting>
  <conditionalFormatting sqref="J213 J238 J253:J254 J264 J271 J273 J290 J303 J307 J316">
    <cfRule type="containsText" dxfId="17" priority="1" operator="containsText" text="NA">
      <formula>NOT(ISERROR(SEARCH("NA",J213)))</formula>
    </cfRule>
    <cfRule type="containsBlanks" dxfId="16" priority="2">
      <formula>LEN(TRIM(J213))=0</formula>
    </cfRule>
  </conditionalFormatting>
  <conditionalFormatting sqref="J331:K335">
    <cfRule type="containsText" dxfId="15" priority="7" operator="containsText" text="NA">
      <formula>NOT(ISERROR(SEARCH("NA",J331)))</formula>
    </cfRule>
    <cfRule type="containsBlanks" dxfId="14" priority="8">
      <formula>LEN(TRIM(J331))=0</formula>
    </cfRule>
  </conditionalFormatting>
  <conditionalFormatting sqref="K213 K238 K253:K254 K264 K271 K273 K290 K303 K307 K316">
    <cfRule type="containsText" dxfId="13" priority="3" operator="containsText" text="NA">
      <formula>NOT(ISERROR(SEARCH("NA",K213)))</formula>
    </cfRule>
    <cfRule type="containsBlanks" dxfId="12" priority="4">
      <formula>LEN(TRIM(K213))=0</formula>
    </cfRule>
  </conditionalFormatting>
  <conditionalFormatting sqref="R2:W62 AF2:AF197 E2:S205 U48:U79 T63:U79 V63:W197 U81:U92 T86:U91 T95:U197 H206:I322 L206:L322 S206:S322 O206:O360 Q206:Q360 E323:N330 R323:S330 H331:I360 L331:L360 S331:S360 X2:AD362">
    <cfRule type="containsBlanks" dxfId="11" priority="23">
      <formula>LEN(TRIM(E2))=0</formula>
    </cfRule>
  </conditionalFormatting>
  <conditionalFormatting sqref="T1:U360 R198:T205 S206:T322 S331:T360 R361:W362 R363:T1048576">
    <cfRule type="beginsWith" dxfId="10" priority="19" operator="beginsWith" text="R">
      <formula>LEFT(R1,LEN("R"))="R"</formula>
    </cfRule>
  </conditionalFormatting>
  <conditionalFormatting sqref="T2:U360 R198:T205 S206:T322 S331:T360 R361:W362 R363:T1048576">
    <cfRule type="beginsWith" dxfId="9" priority="20" operator="beginsWith" text="P">
      <formula>LEFT(R2,LEN("P"))="P"</formula>
    </cfRule>
  </conditionalFormatting>
  <conditionalFormatting sqref="T198:U360">
    <cfRule type="containsBlanks" dxfId="8" priority="16">
      <formula>LEN(TRIM(T198))=0</formula>
    </cfRule>
  </conditionalFormatting>
  <conditionalFormatting sqref="T361:W362">
    <cfRule type="containsBlanks" dxfId="7" priority="13">
      <formula>LEN(TRIM(T361))=0</formula>
    </cfRule>
    <cfRule type="containsText" dxfId="6" priority="14" operator="containsText" text="NA">
      <formula>NOT(ISERROR(SEARCH("NA",T361)))</formula>
    </cfRule>
  </conditionalFormatting>
  <conditionalFormatting sqref="V198:W205">
    <cfRule type="containsBlanks" dxfId="5" priority="15">
      <formula>LEN(TRIM(V198))=0</formula>
    </cfRule>
  </conditionalFormatting>
  <conditionalFormatting sqref="V320:W360">
    <cfRule type="containsBlanks" dxfId="4" priority="9">
      <formula>LEN(TRIM(V320))=0</formula>
    </cfRule>
    <cfRule type="beginsWith" dxfId="3" priority="10" operator="beginsWith" text="R">
      <formula>LEFT(V320,LEN("R"))="R"</formula>
    </cfRule>
    <cfRule type="beginsWith" dxfId="2" priority="11" operator="beginsWith" text="P">
      <formula>LEFT(V320,LEN("P"))="P"</formula>
    </cfRule>
    <cfRule type="containsText" dxfId="1" priority="12" operator="containsText" text="NA">
      <formula>NOT(ISERROR(SEARCH("NA",V320)))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2025-02-19T21:41:07Z</dcterms:modified>
</cp:coreProperties>
</file>